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zantovaj\Documents\ORM\Jitka\akce 2020\ZŠ P. Holého - plavecký pavilon\rozpočet aktualizace 10_22\"/>
    </mc:Choice>
  </mc:AlternateContent>
  <bookViews>
    <workbookView xWindow="150" yWindow="600" windowWidth="28455" windowHeight="12465" activeTab="4"/>
  </bookViews>
  <sheets>
    <sheet name="Rekapitulace stavby" sheetId="1" r:id="rId1"/>
    <sheet name="E 1 - Vyklizení objektu, ..." sheetId="2" r:id="rId2"/>
    <sheet name="E 2 - Sanace betonové kon..." sheetId="3" r:id="rId3"/>
    <sheet name="E 3 - Vyzdění severního p..." sheetId="4" r:id="rId4"/>
    <sheet name="E 4 - Oddělení bourané a ..." sheetId="5" r:id="rId5"/>
    <sheet name="E 5 - Dozdívky a vybourán..." sheetId="6" r:id="rId6"/>
    <sheet name="E 6 - Provedení střechy p..." sheetId="7" r:id="rId7"/>
    <sheet name="E 7 - Vybourání stávající..." sheetId="8" r:id="rId8"/>
    <sheet name="E 8 - Provedení otvoru pr..." sheetId="9" r:id="rId9"/>
    <sheet name="E 9 - Hrubá stavba nové d..." sheetId="10" r:id="rId10"/>
    <sheet name="E10 - Vybourání dispozice..." sheetId="11" r:id="rId11"/>
    <sheet name="E11 - Hrubá stavba nové d..." sheetId="12" r:id="rId12"/>
    <sheet name="E12 - Osazení výplní pláš..." sheetId="13" r:id="rId13"/>
    <sheet name="E13 - Oprava a stavební ú..." sheetId="14" r:id="rId14"/>
    <sheet name="E14 - Dokončovací práce -..." sheetId="15" r:id="rId15"/>
    <sheet name="E15 - Vyrovnání terénu po..." sheetId="16" r:id="rId16"/>
    <sheet name="SO 2 - UT" sheetId="17" r:id="rId17"/>
    <sheet name="UT" sheetId="23" r:id="rId18"/>
    <sheet name="SO 3 - elektroinstalace" sheetId="18" r:id="rId19"/>
    <sheet name="elektro" sheetId="24" r:id="rId20"/>
    <sheet name="SO 4 - ZTI" sheetId="19" r:id="rId21"/>
    <sheet name="SO 5 - VZT" sheetId="20" r:id="rId22"/>
    <sheet name="VZT" sheetId="25" r:id="rId23"/>
    <sheet name="VON - vedlejší a ostatní ..." sheetId="21" r:id="rId24"/>
    <sheet name="Pokyny pro vyplnění" sheetId="22" r:id="rId25"/>
  </sheets>
  <definedNames>
    <definedName name="_xlnm._FilterDatabase" localSheetId="1" hidden="1">'E 1 - Vyklizení objektu, ...'!$C$87:$K$176</definedName>
    <definedName name="_xlnm._FilterDatabase" localSheetId="2" hidden="1">'E 2 - Sanace betonové kon...'!$C$85:$K$266</definedName>
    <definedName name="_xlnm._FilterDatabase" localSheetId="3" hidden="1">'E 3 - Vyzdění severního p...'!$C$88:$K$300</definedName>
    <definedName name="_xlnm._FilterDatabase" localSheetId="4" hidden="1">'E 4 - Oddělení bourané a ...'!$C$87:$K$215</definedName>
    <definedName name="_xlnm._FilterDatabase" localSheetId="5" hidden="1">'E 5 - Dozdívky a vybourán...'!$C$91:$K$543</definedName>
    <definedName name="_xlnm._FilterDatabase" localSheetId="6" hidden="1">'E 6 - Provedení střechy p...'!$C$90:$K$249</definedName>
    <definedName name="_xlnm._FilterDatabase" localSheetId="7" hidden="1">'E 7 - Vybourání stávající...'!$C$85:$K$238</definedName>
    <definedName name="_xlnm._FilterDatabase" localSheetId="8" hidden="1">'E 8 - Provedení otvoru pr...'!$C$88:$K$234</definedName>
    <definedName name="_xlnm._FilterDatabase" localSheetId="9" hidden="1">'E 9 - Hrubá stavba nové d...'!$C$84:$K$190</definedName>
    <definedName name="_xlnm._FilterDatabase" localSheetId="10" hidden="1">'E10 - Vybourání dispozice...'!$C$86:$K$299</definedName>
    <definedName name="_xlnm._FilterDatabase" localSheetId="11" hidden="1">'E11 - Hrubá stavba nové d...'!$C$90:$K$374</definedName>
    <definedName name="_xlnm._FilterDatabase" localSheetId="12" hidden="1">'E12 - Osazení výplní pláš...'!$C$87:$K$321</definedName>
    <definedName name="_xlnm._FilterDatabase" localSheetId="13" hidden="1">'E13 - Oprava a stavební ú...'!$C$98:$K$865</definedName>
    <definedName name="_xlnm._FilterDatabase" localSheetId="14" hidden="1">'E14 - Dokončovací práce -...'!$C$98:$K$691</definedName>
    <definedName name="_xlnm._FilterDatabase" localSheetId="15" hidden="1">'E15 - Vyrovnání terénu po...'!$C$83:$K$163</definedName>
    <definedName name="_xlnm._FilterDatabase" localSheetId="16" hidden="1">'SO 2 - UT'!$C$81:$K$100</definedName>
    <definedName name="_xlnm._FilterDatabase" localSheetId="18" hidden="1">'SO 3 - elektroinstalace'!$C$81:$K$96</definedName>
    <definedName name="_xlnm._FilterDatabase" localSheetId="20" hidden="1">'SO 4 - ZTI'!$C$92:$K$445</definedName>
    <definedName name="_xlnm._FilterDatabase" localSheetId="21" hidden="1">'SO 5 - VZT'!$C$81:$K$96</definedName>
    <definedName name="_xlnm._FilterDatabase" localSheetId="23" hidden="1">'VON - vedlejší a ostatní ...'!$C$81:$K$103</definedName>
    <definedName name="_xlnm.Print_Titles" localSheetId="1">'E 1 - Vyklizení objektu, ...'!$87:$87</definedName>
    <definedName name="_xlnm.Print_Titles" localSheetId="2">'E 2 - Sanace betonové kon...'!$85:$85</definedName>
    <definedName name="_xlnm.Print_Titles" localSheetId="3">'E 3 - Vyzdění severního p...'!$88:$88</definedName>
    <definedName name="_xlnm.Print_Titles" localSheetId="4">'E 4 - Oddělení bourané a ...'!$87:$87</definedName>
    <definedName name="_xlnm.Print_Titles" localSheetId="5">'E 5 - Dozdívky a vybourán...'!$91:$91</definedName>
    <definedName name="_xlnm.Print_Titles" localSheetId="6">'E 6 - Provedení střechy p...'!$90:$90</definedName>
    <definedName name="_xlnm.Print_Titles" localSheetId="7">'E 7 - Vybourání stávající...'!$85:$85</definedName>
    <definedName name="_xlnm.Print_Titles" localSheetId="8">'E 8 - Provedení otvoru pr...'!$88:$88</definedName>
    <definedName name="_xlnm.Print_Titles" localSheetId="9">'E 9 - Hrubá stavba nové d...'!$84:$84</definedName>
    <definedName name="_xlnm.Print_Titles" localSheetId="10">'E10 - Vybourání dispozice...'!$86:$86</definedName>
    <definedName name="_xlnm.Print_Titles" localSheetId="11">'E11 - Hrubá stavba nové d...'!$90:$90</definedName>
    <definedName name="_xlnm.Print_Titles" localSheetId="12">'E12 - Osazení výplní pláš...'!$87:$87</definedName>
    <definedName name="_xlnm.Print_Titles" localSheetId="13">'E13 - Oprava a stavební ú...'!$98:$98</definedName>
    <definedName name="_xlnm.Print_Titles" localSheetId="14">'E14 - Dokončovací práce -...'!$98:$98</definedName>
    <definedName name="_xlnm.Print_Titles" localSheetId="15">'E15 - Vyrovnání terénu po...'!$83:$83</definedName>
    <definedName name="_xlnm.Print_Titles" localSheetId="0">'Rekapitulace stavby'!$52:$52</definedName>
    <definedName name="_xlnm.Print_Titles" localSheetId="16">'SO 2 - UT'!$81:$81</definedName>
    <definedName name="_xlnm.Print_Titles" localSheetId="18">'SO 3 - elektroinstalace'!$81:$81</definedName>
    <definedName name="_xlnm.Print_Titles" localSheetId="20">'SO 4 - ZTI'!$92:$92</definedName>
    <definedName name="_xlnm.Print_Titles" localSheetId="21">'SO 5 - VZT'!$81:$81</definedName>
    <definedName name="_xlnm.Print_Titles" localSheetId="23">'VON - vedlejší a ostatní ...'!$81:$81</definedName>
    <definedName name="_xlnm.Print_Area" localSheetId="1">'E 1 - Vyklizení objektu, ...'!$C$4:$J$39,'E 1 - Vyklizení objektu, ...'!$C$45:$J$69,'E 1 - Vyklizení objektu, ...'!$C$75:$K$176</definedName>
    <definedName name="_xlnm.Print_Area" localSheetId="2">'E 2 - Sanace betonové kon...'!$C$4:$J$39,'E 2 - Sanace betonové kon...'!$C$45:$J$67,'E 2 - Sanace betonové kon...'!$C$73:$K$266</definedName>
    <definedName name="_xlnm.Print_Area" localSheetId="3">'E 3 - Vyzdění severního p...'!$C$4:$J$39,'E 3 - Vyzdění severního p...'!$C$45:$J$70,'E 3 - Vyzdění severního p...'!$C$76:$K$300</definedName>
    <definedName name="_xlnm.Print_Area" localSheetId="4">'E 4 - Oddělení bourané a ...'!$C$4:$J$39,'E 4 - Oddělení bourané a ...'!$C$45:$J$69,'E 4 - Oddělení bourané a ...'!$C$75:$K$215</definedName>
    <definedName name="_xlnm.Print_Area" localSheetId="5">'E 5 - Dozdívky a vybourán...'!$C$4:$J$39,'E 5 - Dozdívky a vybourán...'!$C$45:$J$73,'E 5 - Dozdívky a vybourán...'!$C$79:$K$543</definedName>
    <definedName name="_xlnm.Print_Area" localSheetId="6">'E 6 - Provedení střechy p...'!$C$4:$J$39,'E 6 - Provedení střechy p...'!$C$45:$J$72,'E 6 - Provedení střechy p...'!$C$78:$K$249</definedName>
    <definedName name="_xlnm.Print_Area" localSheetId="7">'E 7 - Vybourání stávající...'!$C$4:$J$39,'E 7 - Vybourání stávající...'!$C$45:$J$67,'E 7 - Vybourání stávající...'!$C$73:$K$238</definedName>
    <definedName name="_xlnm.Print_Area" localSheetId="8">'E 8 - Provedení otvoru pr...'!$C$4:$J$39,'E 8 - Provedení otvoru pr...'!$C$45:$J$70,'E 8 - Provedení otvoru pr...'!$C$76:$K$234</definedName>
    <definedName name="_xlnm.Print_Area" localSheetId="9">'E 9 - Hrubá stavba nové d...'!$C$4:$J$39,'E 9 - Hrubá stavba nové d...'!$C$45:$J$66,'E 9 - Hrubá stavba nové d...'!$C$72:$K$190</definedName>
    <definedName name="_xlnm.Print_Area" localSheetId="10">'E10 - Vybourání dispozice...'!$C$4:$J$39,'E10 - Vybourání dispozice...'!$C$45:$J$68,'E10 - Vybourání dispozice...'!$C$74:$K$299</definedName>
    <definedName name="_xlnm.Print_Area" localSheetId="11">'E11 - Hrubá stavba nové d...'!$C$4:$J$39,'E11 - Hrubá stavba nové d...'!$C$45:$J$72,'E11 - Hrubá stavba nové d...'!$C$78:$K$374</definedName>
    <definedName name="_xlnm.Print_Area" localSheetId="12">'E12 - Osazení výplní pláš...'!$C$4:$J$39,'E12 - Osazení výplní pláš...'!$C$45:$J$69,'E12 - Osazení výplní pláš...'!$C$75:$K$321</definedName>
    <definedName name="_xlnm.Print_Area" localSheetId="13">'E13 - Oprava a stavební ú...'!$C$4:$J$39,'E13 - Oprava a stavební ú...'!$C$45:$J$80,'E13 - Oprava a stavební ú...'!$C$86:$K$865</definedName>
    <definedName name="_xlnm.Print_Area" localSheetId="14">'E14 - Dokončovací práce -...'!$C$4:$J$39,'E14 - Dokončovací práce -...'!$C$45:$J$80,'E14 - Dokončovací práce -...'!$C$86:$K$691</definedName>
    <definedName name="_xlnm.Print_Area" localSheetId="15">'E15 - Vyrovnání terénu po...'!$C$4:$J$39,'E15 - Vyrovnání terénu po...'!$C$45:$J$65,'E15 - Vyrovnání terénu po...'!$C$71:$K$163</definedName>
    <definedName name="_xlnm.Print_Area" localSheetId="24">'Pokyny pro vyplnění'!$B$2:$K$71,'Pokyny pro vyplnění'!$B$74:$K$118,'Pokyny pro vyplnění'!$B$121:$K$161,'Pokyny pro vyplnění'!$B$164:$K$218</definedName>
    <definedName name="_xlnm.Print_Area" localSheetId="0">'Rekapitulace stavby'!$D$4:$AO$36,'Rekapitulace stavby'!$C$42:$AQ$75</definedName>
    <definedName name="_xlnm.Print_Area" localSheetId="16">'SO 2 - UT'!$C$4:$J$39,'SO 2 - UT'!$C$45:$J$63,'SO 2 - UT'!$C$69:$K$100</definedName>
    <definedName name="_xlnm.Print_Area" localSheetId="18">'SO 3 - elektroinstalace'!$C$4:$J$39,'SO 3 - elektroinstalace'!$C$45:$J$63,'SO 3 - elektroinstalace'!$C$69:$K$96</definedName>
    <definedName name="_xlnm.Print_Area" localSheetId="20">'SO 4 - ZTI'!$C$4:$J$39,'SO 4 - ZTI'!$C$45:$J$74,'SO 4 - ZTI'!$C$80:$K$445</definedName>
    <definedName name="_xlnm.Print_Area" localSheetId="21">'SO 5 - VZT'!$C$4:$J$39,'SO 5 - VZT'!$C$45:$J$63,'SO 5 - VZT'!$C$69:$K$96</definedName>
    <definedName name="_xlnm.Print_Area" localSheetId="23">'VON - vedlejší a ostatní ...'!$C$4:$J$39,'VON - vedlejší a ostatní ...'!$C$45:$J$63,'VON - vedlejší a ostatní ...'!$C$69:$K$103</definedName>
  </definedNames>
  <calcPr calcId="152511"/>
</workbook>
</file>

<file path=xl/calcChain.xml><?xml version="1.0" encoding="utf-8"?>
<calcChain xmlns="http://schemas.openxmlformats.org/spreadsheetml/2006/main">
  <c r="BJ89" i="25" l="1"/>
  <c r="BI89" i="25"/>
  <c r="AC89" i="25" s="1"/>
  <c r="BD89" i="25"/>
  <c r="AP89" i="25"/>
  <c r="AX89" i="25" s="1"/>
  <c r="AO89" i="25"/>
  <c r="BH89" i="25" s="1"/>
  <c r="AB89" i="25" s="1"/>
  <c r="AK89" i="25"/>
  <c r="AJ89" i="25"/>
  <c r="AH89" i="25"/>
  <c r="AG89" i="25"/>
  <c r="AF89" i="25"/>
  <c r="AE89" i="25"/>
  <c r="AD89" i="25"/>
  <c r="Z89" i="25"/>
  <c r="M89" i="25"/>
  <c r="BF89" i="25" s="1"/>
  <c r="K89" i="25"/>
  <c r="AL89" i="25" s="1"/>
  <c r="BJ87" i="25"/>
  <c r="BD87" i="25"/>
  <c r="AX87" i="25"/>
  <c r="AP87" i="25"/>
  <c r="BI87" i="25" s="1"/>
  <c r="AC87" i="25" s="1"/>
  <c r="AO87" i="25"/>
  <c r="BH87" i="25" s="1"/>
  <c r="AB87" i="25" s="1"/>
  <c r="AK87" i="25"/>
  <c r="AJ87" i="25"/>
  <c r="AH87" i="25"/>
  <c r="AG87" i="25"/>
  <c r="AF87" i="25"/>
  <c r="AE87" i="25"/>
  <c r="AD87" i="25"/>
  <c r="Z87" i="25"/>
  <c r="M87" i="25"/>
  <c r="BF87" i="25" s="1"/>
  <c r="K87" i="25"/>
  <c r="AL87" i="25" s="1"/>
  <c r="BJ85" i="25"/>
  <c r="BD85" i="25"/>
  <c r="AP85" i="25"/>
  <c r="BI85" i="25" s="1"/>
  <c r="AO85" i="25"/>
  <c r="BH85" i="25" s="1"/>
  <c r="AK85" i="25"/>
  <c r="AJ85" i="25"/>
  <c r="AH85" i="25"/>
  <c r="AG85" i="25"/>
  <c r="AF85" i="25"/>
  <c r="AE85" i="25"/>
  <c r="AD85" i="25"/>
  <c r="AC85" i="25"/>
  <c r="AB85" i="25"/>
  <c r="Z85" i="25"/>
  <c r="M85" i="25"/>
  <c r="BF85" i="25" s="1"/>
  <c r="K85" i="25"/>
  <c r="AL85" i="25" s="1"/>
  <c r="BJ84" i="25"/>
  <c r="BF84" i="25"/>
  <c r="BD84" i="25"/>
  <c r="AP84" i="25"/>
  <c r="BI84" i="25" s="1"/>
  <c r="AE84" i="25" s="1"/>
  <c r="AO84" i="25"/>
  <c r="BH84" i="25" s="1"/>
  <c r="AD84" i="25" s="1"/>
  <c r="AL84" i="25"/>
  <c r="AK84" i="25"/>
  <c r="AJ84" i="25"/>
  <c r="AH84" i="25"/>
  <c r="AG84" i="25"/>
  <c r="AF84" i="25"/>
  <c r="AC84" i="25"/>
  <c r="AB84" i="25"/>
  <c r="Z84" i="25"/>
  <c r="M84" i="25"/>
  <c r="K84" i="25"/>
  <c r="J84" i="25"/>
  <c r="BJ83" i="25"/>
  <c r="BD83" i="25"/>
  <c r="AP83" i="25"/>
  <c r="BI83" i="25" s="1"/>
  <c r="AE83" i="25" s="1"/>
  <c r="AO83" i="25"/>
  <c r="AW83" i="25" s="1"/>
  <c r="AK83" i="25"/>
  <c r="AJ83" i="25"/>
  <c r="AH83" i="25"/>
  <c r="AG83" i="25"/>
  <c r="AF83" i="25"/>
  <c r="AC83" i="25"/>
  <c r="AB83" i="25"/>
  <c r="Z83" i="25"/>
  <c r="M83" i="25"/>
  <c r="BF83" i="25" s="1"/>
  <c r="K83" i="25"/>
  <c r="AL83" i="25" s="1"/>
  <c r="BJ82" i="25"/>
  <c r="BD82" i="25"/>
  <c r="AW82" i="25"/>
  <c r="AP82" i="25"/>
  <c r="BI82" i="25" s="1"/>
  <c r="AE82" i="25" s="1"/>
  <c r="AO82" i="25"/>
  <c r="BH82" i="25" s="1"/>
  <c r="AD82" i="25" s="1"/>
  <c r="AK82" i="25"/>
  <c r="AJ82" i="25"/>
  <c r="AH82" i="25"/>
  <c r="AG82" i="25"/>
  <c r="AF82" i="25"/>
  <c r="AC82" i="25"/>
  <c r="AB82" i="25"/>
  <c r="Z82" i="25"/>
  <c r="M82" i="25"/>
  <c r="BF82" i="25" s="1"/>
  <c r="K82" i="25"/>
  <c r="AL82" i="25" s="1"/>
  <c r="J82" i="25"/>
  <c r="I82" i="25"/>
  <c r="BJ81" i="25"/>
  <c r="BD81" i="25"/>
  <c r="AX81" i="25"/>
  <c r="AP81" i="25"/>
  <c r="J81" i="25" s="1"/>
  <c r="AO81" i="25"/>
  <c r="BH81" i="25" s="1"/>
  <c r="AD81" i="25" s="1"/>
  <c r="AK81" i="25"/>
  <c r="AJ81" i="25"/>
  <c r="AH81" i="25"/>
  <c r="AG81" i="25"/>
  <c r="AF81" i="25"/>
  <c r="AC81" i="25"/>
  <c r="AB81" i="25"/>
  <c r="Z81" i="25"/>
  <c r="M81" i="25"/>
  <c r="BF81" i="25" s="1"/>
  <c r="K81" i="25"/>
  <c r="AL81" i="25" s="1"/>
  <c r="BJ80" i="25"/>
  <c r="BF80" i="25"/>
  <c r="BD80" i="25"/>
  <c r="AP80" i="25"/>
  <c r="BI80" i="25" s="1"/>
  <c r="AE80" i="25" s="1"/>
  <c r="AO80" i="25"/>
  <c r="BH80" i="25" s="1"/>
  <c r="AD80" i="25" s="1"/>
  <c r="AL80" i="25"/>
  <c r="AK80" i="25"/>
  <c r="AJ80" i="25"/>
  <c r="AH80" i="25"/>
  <c r="AG80" i="25"/>
  <c r="AF80" i="25"/>
  <c r="AC80" i="25"/>
  <c r="AB80" i="25"/>
  <c r="Z80" i="25"/>
  <c r="M80" i="25"/>
  <c r="K80" i="25"/>
  <c r="BJ78" i="25"/>
  <c r="BD78" i="25"/>
  <c r="AP78" i="25"/>
  <c r="BI78" i="25" s="1"/>
  <c r="AE78" i="25" s="1"/>
  <c r="AO78" i="25"/>
  <c r="AW78" i="25" s="1"/>
  <c r="AK78" i="25"/>
  <c r="AJ78" i="25"/>
  <c r="AH78" i="25"/>
  <c r="AG78" i="25"/>
  <c r="AF78" i="25"/>
  <c r="AC78" i="25"/>
  <c r="AB78" i="25"/>
  <c r="Z78" i="25"/>
  <c r="M78" i="25"/>
  <c r="BF78" i="25" s="1"/>
  <c r="K78" i="25"/>
  <c r="AL78" i="25" s="1"/>
  <c r="BJ77" i="25"/>
  <c r="BD77" i="25"/>
  <c r="AW77" i="25"/>
  <c r="AP77" i="25"/>
  <c r="BI77" i="25" s="1"/>
  <c r="AE77" i="25" s="1"/>
  <c r="AO77" i="25"/>
  <c r="BH77" i="25" s="1"/>
  <c r="AD77" i="25" s="1"/>
  <c r="AK77" i="25"/>
  <c r="AJ77" i="25"/>
  <c r="AH77" i="25"/>
  <c r="AG77" i="25"/>
  <c r="AF77" i="25"/>
  <c r="AC77" i="25"/>
  <c r="AB77" i="25"/>
  <c r="Z77" i="25"/>
  <c r="M77" i="25"/>
  <c r="BF77" i="25" s="1"/>
  <c r="K77" i="25"/>
  <c r="AL77" i="25" s="1"/>
  <c r="J77" i="25"/>
  <c r="I77" i="25"/>
  <c r="BJ75" i="25"/>
  <c r="BD75" i="25"/>
  <c r="AP75" i="25"/>
  <c r="BI75" i="25" s="1"/>
  <c r="AE75" i="25" s="1"/>
  <c r="AO75" i="25"/>
  <c r="BH75" i="25" s="1"/>
  <c r="AD75" i="25" s="1"/>
  <c r="AK75" i="25"/>
  <c r="AJ75" i="25"/>
  <c r="AH75" i="25"/>
  <c r="AG75" i="25"/>
  <c r="AF75" i="25"/>
  <c r="AC75" i="25"/>
  <c r="AB75" i="25"/>
  <c r="Z75" i="25"/>
  <c r="M75" i="25"/>
  <c r="BF75" i="25" s="1"/>
  <c r="K75" i="25"/>
  <c r="AL75" i="25" s="1"/>
  <c r="BJ74" i="25"/>
  <c r="BD74" i="25"/>
  <c r="AW74" i="25"/>
  <c r="AP74" i="25"/>
  <c r="BI74" i="25" s="1"/>
  <c r="AE74" i="25" s="1"/>
  <c r="AO74" i="25"/>
  <c r="BH74" i="25" s="1"/>
  <c r="AD74" i="25" s="1"/>
  <c r="AL74" i="25"/>
  <c r="AK74" i="25"/>
  <c r="AJ74" i="25"/>
  <c r="AH74" i="25"/>
  <c r="AG74" i="25"/>
  <c r="AF74" i="25"/>
  <c r="AC74" i="25"/>
  <c r="AB74" i="25"/>
  <c r="Z74" i="25"/>
  <c r="M74" i="25"/>
  <c r="BF74" i="25" s="1"/>
  <c r="K74" i="25"/>
  <c r="BJ73" i="25"/>
  <c r="BD73" i="25"/>
  <c r="AP73" i="25"/>
  <c r="AX73" i="25" s="1"/>
  <c r="AO73" i="25"/>
  <c r="AW73" i="25" s="1"/>
  <c r="AK73" i="25"/>
  <c r="AJ73" i="25"/>
  <c r="AH73" i="25"/>
  <c r="AG73" i="25"/>
  <c r="AF73" i="25"/>
  <c r="AC73" i="25"/>
  <c r="AB73" i="25"/>
  <c r="Z73" i="25"/>
  <c r="M73" i="25"/>
  <c r="BF73" i="25" s="1"/>
  <c r="K73" i="25"/>
  <c r="AL73" i="25" s="1"/>
  <c r="I73" i="25"/>
  <c r="BJ71" i="25"/>
  <c r="BF71" i="25"/>
  <c r="BD71" i="25"/>
  <c r="AP71" i="25"/>
  <c r="BI71" i="25" s="1"/>
  <c r="AE71" i="25" s="1"/>
  <c r="AO71" i="25"/>
  <c r="BH71" i="25" s="1"/>
  <c r="AD71" i="25" s="1"/>
  <c r="AK71" i="25"/>
  <c r="AJ71" i="25"/>
  <c r="AH71" i="25"/>
  <c r="AG71" i="25"/>
  <c r="AF71" i="25"/>
  <c r="AC71" i="25"/>
  <c r="AB71" i="25"/>
  <c r="Z71" i="25"/>
  <c r="M71" i="25"/>
  <c r="K71" i="25"/>
  <c r="AL71" i="25" s="1"/>
  <c r="J71" i="25"/>
  <c r="I71" i="25"/>
  <c r="BJ70" i="25"/>
  <c r="BD70" i="25"/>
  <c r="AP70" i="25"/>
  <c r="J70" i="25" s="1"/>
  <c r="AO70" i="25"/>
  <c r="BH70" i="25" s="1"/>
  <c r="AD70" i="25" s="1"/>
  <c r="AK70" i="25"/>
  <c r="AJ70" i="25"/>
  <c r="AH70" i="25"/>
  <c r="AG70" i="25"/>
  <c r="AF70" i="25"/>
  <c r="AC70" i="25"/>
  <c r="AB70" i="25"/>
  <c r="Z70" i="25"/>
  <c r="M70" i="25"/>
  <c r="BF70" i="25" s="1"/>
  <c r="K70" i="25"/>
  <c r="AL70" i="25" s="1"/>
  <c r="BJ68" i="25"/>
  <c r="BD68" i="25"/>
  <c r="AP68" i="25"/>
  <c r="BI68" i="25" s="1"/>
  <c r="AE68" i="25" s="1"/>
  <c r="AO68" i="25"/>
  <c r="BH68" i="25" s="1"/>
  <c r="AD68" i="25" s="1"/>
  <c r="AL68" i="25"/>
  <c r="AK68" i="25"/>
  <c r="AJ68" i="25"/>
  <c r="AH68" i="25"/>
  <c r="AG68" i="25"/>
  <c r="AF68" i="25"/>
  <c r="AC68" i="25"/>
  <c r="AB68" i="25"/>
  <c r="Z68" i="25"/>
  <c r="M68" i="25"/>
  <c r="BF68" i="25" s="1"/>
  <c r="K68" i="25"/>
  <c r="BJ67" i="25"/>
  <c r="BD67" i="25"/>
  <c r="AP67" i="25"/>
  <c r="BI67" i="25" s="1"/>
  <c r="AE67" i="25" s="1"/>
  <c r="AO67" i="25"/>
  <c r="AW67" i="25" s="1"/>
  <c r="AK67" i="25"/>
  <c r="AJ67" i="25"/>
  <c r="AH67" i="25"/>
  <c r="AG67" i="25"/>
  <c r="AF67" i="25"/>
  <c r="AC67" i="25"/>
  <c r="AB67" i="25"/>
  <c r="Z67" i="25"/>
  <c r="M67" i="25"/>
  <c r="BF67" i="25" s="1"/>
  <c r="K67" i="25"/>
  <c r="AL67" i="25" s="1"/>
  <c r="I67" i="25"/>
  <c r="BJ65" i="25"/>
  <c r="BD65" i="25"/>
  <c r="AP65" i="25"/>
  <c r="BI65" i="25" s="1"/>
  <c r="AE65" i="25" s="1"/>
  <c r="AO65" i="25"/>
  <c r="BH65" i="25" s="1"/>
  <c r="AD65" i="25" s="1"/>
  <c r="AK65" i="25"/>
  <c r="AJ65" i="25"/>
  <c r="AH65" i="25"/>
  <c r="AG65" i="25"/>
  <c r="AF65" i="25"/>
  <c r="AC65" i="25"/>
  <c r="AB65" i="25"/>
  <c r="Z65" i="25"/>
  <c r="M65" i="25"/>
  <c r="BF65" i="25" s="1"/>
  <c r="K65" i="25"/>
  <c r="AL65" i="25" s="1"/>
  <c r="J65" i="25"/>
  <c r="I65" i="25"/>
  <c r="BJ64" i="25"/>
  <c r="BD64" i="25"/>
  <c r="AW64" i="25"/>
  <c r="AP64" i="25"/>
  <c r="J64" i="25" s="1"/>
  <c r="AO64" i="25"/>
  <c r="BH64" i="25" s="1"/>
  <c r="AD64" i="25" s="1"/>
  <c r="AK64" i="25"/>
  <c r="AJ64" i="25"/>
  <c r="AH64" i="25"/>
  <c r="AG64" i="25"/>
  <c r="AF64" i="25"/>
  <c r="AC64" i="25"/>
  <c r="AB64" i="25"/>
  <c r="Z64" i="25"/>
  <c r="M64" i="25"/>
  <c r="BF64" i="25" s="1"/>
  <c r="K64" i="25"/>
  <c r="AL64" i="25" s="1"/>
  <c r="BJ63" i="25"/>
  <c r="BF63" i="25"/>
  <c r="BD63" i="25"/>
  <c r="AW63" i="25"/>
  <c r="AP63" i="25"/>
  <c r="BI63" i="25" s="1"/>
  <c r="AE63" i="25" s="1"/>
  <c r="AO63" i="25"/>
  <c r="BH63" i="25" s="1"/>
  <c r="AD63" i="25" s="1"/>
  <c r="AK63" i="25"/>
  <c r="AJ63" i="25"/>
  <c r="AH63" i="25"/>
  <c r="AG63" i="25"/>
  <c r="AF63" i="25"/>
  <c r="AC63" i="25"/>
  <c r="AB63" i="25"/>
  <c r="Z63" i="25"/>
  <c r="M63" i="25"/>
  <c r="K63" i="25"/>
  <c r="AL63" i="25" s="1"/>
  <c r="I63" i="25"/>
  <c r="BJ62" i="25"/>
  <c r="BD62" i="25"/>
  <c r="AP62" i="25"/>
  <c r="AX62" i="25" s="1"/>
  <c r="AO62" i="25"/>
  <c r="AW62" i="25" s="1"/>
  <c r="AK62" i="25"/>
  <c r="AJ62" i="25"/>
  <c r="AH62" i="25"/>
  <c r="AG62" i="25"/>
  <c r="AF62" i="25"/>
  <c r="AC62" i="25"/>
  <c r="AB62" i="25"/>
  <c r="Z62" i="25"/>
  <c r="M62" i="25"/>
  <c r="BF62" i="25" s="1"/>
  <c r="K62" i="25"/>
  <c r="AL62" i="25" s="1"/>
  <c r="I62" i="25"/>
  <c r="BJ61" i="25"/>
  <c r="BD61" i="25"/>
  <c r="AP61" i="25"/>
  <c r="BI61" i="25" s="1"/>
  <c r="AE61" i="25" s="1"/>
  <c r="AO61" i="25"/>
  <c r="BH61" i="25" s="1"/>
  <c r="AD61" i="25" s="1"/>
  <c r="AK61" i="25"/>
  <c r="AJ61" i="25"/>
  <c r="AH61" i="25"/>
  <c r="AG61" i="25"/>
  <c r="AF61" i="25"/>
  <c r="AC61" i="25"/>
  <c r="AB61" i="25"/>
  <c r="Z61" i="25"/>
  <c r="M61" i="25"/>
  <c r="BF61" i="25" s="1"/>
  <c r="K61" i="25"/>
  <c r="AL61" i="25" s="1"/>
  <c r="J61" i="25"/>
  <c r="I61" i="25"/>
  <c r="BJ60" i="25"/>
  <c r="BD60" i="25"/>
  <c r="AW60" i="25"/>
  <c r="AP60" i="25"/>
  <c r="J60" i="25" s="1"/>
  <c r="AO60" i="25"/>
  <c r="BH60" i="25" s="1"/>
  <c r="AD60" i="25" s="1"/>
  <c r="AK60" i="25"/>
  <c r="AJ60" i="25"/>
  <c r="AH60" i="25"/>
  <c r="AG60" i="25"/>
  <c r="AF60" i="25"/>
  <c r="AC60" i="25"/>
  <c r="AB60" i="25"/>
  <c r="Z60" i="25"/>
  <c r="M60" i="25"/>
  <c r="BF60" i="25" s="1"/>
  <c r="K60" i="25"/>
  <c r="AL60" i="25" s="1"/>
  <c r="BJ59" i="25"/>
  <c r="BD59" i="25"/>
  <c r="AW59" i="25"/>
  <c r="AP59" i="25"/>
  <c r="BI59" i="25" s="1"/>
  <c r="AE59" i="25" s="1"/>
  <c r="AO59" i="25"/>
  <c r="BH59" i="25" s="1"/>
  <c r="AD59" i="25" s="1"/>
  <c r="AK59" i="25"/>
  <c r="AJ59" i="25"/>
  <c r="AH59" i="25"/>
  <c r="AG59" i="25"/>
  <c r="AF59" i="25"/>
  <c r="AC59" i="25"/>
  <c r="AB59" i="25"/>
  <c r="Z59" i="25"/>
  <c r="M59" i="25"/>
  <c r="BF59" i="25" s="1"/>
  <c r="K59" i="25"/>
  <c r="AL59" i="25" s="1"/>
  <c r="I59" i="25"/>
  <c r="BJ58" i="25"/>
  <c r="BD58" i="25"/>
  <c r="AP58" i="25"/>
  <c r="AX58" i="25" s="1"/>
  <c r="AO58" i="25"/>
  <c r="AW58" i="25" s="1"/>
  <c r="AK58" i="25"/>
  <c r="AJ58" i="25"/>
  <c r="AH58" i="25"/>
  <c r="AG58" i="25"/>
  <c r="AF58" i="25"/>
  <c r="AC58" i="25"/>
  <c r="AB58" i="25"/>
  <c r="Z58" i="25"/>
  <c r="M58" i="25"/>
  <c r="BF58" i="25" s="1"/>
  <c r="K58" i="25"/>
  <c r="AL58" i="25" s="1"/>
  <c r="I58" i="25"/>
  <c r="BJ57" i="25"/>
  <c r="BD57" i="25"/>
  <c r="AP57" i="25"/>
  <c r="BI57" i="25" s="1"/>
  <c r="AE57" i="25" s="1"/>
  <c r="AO57" i="25"/>
  <c r="BH57" i="25" s="1"/>
  <c r="AD57" i="25" s="1"/>
  <c r="AK57" i="25"/>
  <c r="AJ57" i="25"/>
  <c r="AH57" i="25"/>
  <c r="AG57" i="25"/>
  <c r="AF57" i="25"/>
  <c r="AC57" i="25"/>
  <c r="AB57" i="25"/>
  <c r="Z57" i="25"/>
  <c r="M57" i="25"/>
  <c r="BF57" i="25" s="1"/>
  <c r="K57" i="25"/>
  <c r="AL57" i="25" s="1"/>
  <c r="J57" i="25"/>
  <c r="I57" i="25"/>
  <c r="BJ55" i="25"/>
  <c r="BD55" i="25"/>
  <c r="AP55" i="25"/>
  <c r="BI55" i="25" s="1"/>
  <c r="AE55" i="25" s="1"/>
  <c r="AO55" i="25"/>
  <c r="BH55" i="25" s="1"/>
  <c r="AD55" i="25" s="1"/>
  <c r="AK55" i="25"/>
  <c r="AJ55" i="25"/>
  <c r="AH55" i="25"/>
  <c r="AG55" i="25"/>
  <c r="AF55" i="25"/>
  <c r="AC55" i="25"/>
  <c r="AB55" i="25"/>
  <c r="Z55" i="25"/>
  <c r="M55" i="25"/>
  <c r="BF55" i="25" s="1"/>
  <c r="K55" i="25"/>
  <c r="AL55" i="25" s="1"/>
  <c r="BJ54" i="25"/>
  <c r="BF54" i="25"/>
  <c r="BD54" i="25"/>
  <c r="AP54" i="25"/>
  <c r="BI54" i="25" s="1"/>
  <c r="AE54" i="25" s="1"/>
  <c r="AO54" i="25"/>
  <c r="BH54" i="25" s="1"/>
  <c r="AD54" i="25" s="1"/>
  <c r="AK54" i="25"/>
  <c r="AJ54" i="25"/>
  <c r="AH54" i="25"/>
  <c r="AG54" i="25"/>
  <c r="AF54" i="25"/>
  <c r="AC54" i="25"/>
  <c r="AB54" i="25"/>
  <c r="Z54" i="25"/>
  <c r="M54" i="25"/>
  <c r="K54" i="25"/>
  <c r="AL54" i="25" s="1"/>
  <c r="BJ52" i="25"/>
  <c r="BD52" i="25"/>
  <c r="AP52" i="25"/>
  <c r="AX52" i="25" s="1"/>
  <c r="AO52" i="25"/>
  <c r="AW52" i="25" s="1"/>
  <c r="AK52" i="25"/>
  <c r="AJ52" i="25"/>
  <c r="AH52" i="25"/>
  <c r="AG52" i="25"/>
  <c r="AF52" i="25"/>
  <c r="AC52" i="25"/>
  <c r="AB52" i="25"/>
  <c r="Z52" i="25"/>
  <c r="M52" i="25"/>
  <c r="BF52" i="25" s="1"/>
  <c r="K52" i="25"/>
  <c r="AL52" i="25" s="1"/>
  <c r="BJ51" i="25"/>
  <c r="BD51" i="25"/>
  <c r="AP51" i="25"/>
  <c r="BI51" i="25" s="1"/>
  <c r="AE51" i="25" s="1"/>
  <c r="AO51" i="25"/>
  <c r="BH51" i="25" s="1"/>
  <c r="AD51" i="25" s="1"/>
  <c r="AK51" i="25"/>
  <c r="AJ51" i="25"/>
  <c r="AH51" i="25"/>
  <c r="AG51" i="25"/>
  <c r="AF51" i="25"/>
  <c r="AC51" i="25"/>
  <c r="AB51" i="25"/>
  <c r="Z51" i="25"/>
  <c r="M51" i="25"/>
  <c r="BF51" i="25" s="1"/>
  <c r="K51" i="25"/>
  <c r="AL51" i="25" s="1"/>
  <c r="J51" i="25"/>
  <c r="I51" i="25"/>
  <c r="BJ50" i="25"/>
  <c r="BD50" i="25"/>
  <c r="AW50" i="25"/>
  <c r="AP50" i="25"/>
  <c r="BI50" i="25" s="1"/>
  <c r="AE50" i="25" s="1"/>
  <c r="AO50" i="25"/>
  <c r="BH50" i="25" s="1"/>
  <c r="AD50" i="25" s="1"/>
  <c r="AK50" i="25"/>
  <c r="AJ50" i="25"/>
  <c r="AH50" i="25"/>
  <c r="AG50" i="25"/>
  <c r="AF50" i="25"/>
  <c r="AC50" i="25"/>
  <c r="AB50" i="25"/>
  <c r="Z50" i="25"/>
  <c r="M50" i="25"/>
  <c r="BF50" i="25" s="1"/>
  <c r="K50" i="25"/>
  <c r="AL50" i="25" s="1"/>
  <c r="BJ49" i="25"/>
  <c r="BD49" i="25"/>
  <c r="AW49" i="25"/>
  <c r="AP49" i="25"/>
  <c r="BI49" i="25" s="1"/>
  <c r="AE49" i="25" s="1"/>
  <c r="AO49" i="25"/>
  <c r="BH49" i="25" s="1"/>
  <c r="AD49" i="25" s="1"/>
  <c r="AK49" i="25"/>
  <c r="AJ49" i="25"/>
  <c r="AH49" i="25"/>
  <c r="AG49" i="25"/>
  <c r="AF49" i="25"/>
  <c r="AC49" i="25"/>
  <c r="AB49" i="25"/>
  <c r="Z49" i="25"/>
  <c r="M49" i="25"/>
  <c r="BF49" i="25" s="1"/>
  <c r="K49" i="25"/>
  <c r="AL49" i="25" s="1"/>
  <c r="I49" i="25"/>
  <c r="BJ48" i="25"/>
  <c r="BH48" i="25"/>
  <c r="AD48" i="25" s="1"/>
  <c r="BD48" i="25"/>
  <c r="AP48" i="25"/>
  <c r="AX48" i="25" s="1"/>
  <c r="AO48" i="25"/>
  <c r="AW48" i="25" s="1"/>
  <c r="AK48" i="25"/>
  <c r="AJ48" i="25"/>
  <c r="AH48" i="25"/>
  <c r="AG48" i="25"/>
  <c r="AF48" i="25"/>
  <c r="AC48" i="25"/>
  <c r="AB48" i="25"/>
  <c r="Z48" i="25"/>
  <c r="M48" i="25"/>
  <c r="BF48" i="25" s="1"/>
  <c r="K48" i="25"/>
  <c r="AL48" i="25" s="1"/>
  <c r="BJ47" i="25"/>
  <c r="BD47" i="25"/>
  <c r="AP47" i="25"/>
  <c r="BI47" i="25" s="1"/>
  <c r="AE47" i="25" s="1"/>
  <c r="AO47" i="25"/>
  <c r="BH47" i="25" s="1"/>
  <c r="AD47" i="25" s="1"/>
  <c r="AK47" i="25"/>
  <c r="AJ47" i="25"/>
  <c r="AH47" i="25"/>
  <c r="AG47" i="25"/>
  <c r="AF47" i="25"/>
  <c r="AC47" i="25"/>
  <c r="AB47" i="25"/>
  <c r="Z47" i="25"/>
  <c r="M47" i="25"/>
  <c r="BF47" i="25" s="1"/>
  <c r="K47" i="25"/>
  <c r="AL47" i="25" s="1"/>
  <c r="BJ45" i="25"/>
  <c r="BD45" i="25"/>
  <c r="AP45" i="25"/>
  <c r="BI45" i="25" s="1"/>
  <c r="AE45" i="25" s="1"/>
  <c r="AO45" i="25"/>
  <c r="BH45" i="25" s="1"/>
  <c r="AD45" i="25" s="1"/>
  <c r="AK45" i="25"/>
  <c r="AJ45" i="25"/>
  <c r="AH45" i="25"/>
  <c r="AG45" i="25"/>
  <c r="AF45" i="25"/>
  <c r="AC45" i="25"/>
  <c r="AB45" i="25"/>
  <c r="Z45" i="25"/>
  <c r="M45" i="25"/>
  <c r="BF45" i="25" s="1"/>
  <c r="K45" i="25"/>
  <c r="AL45" i="25" s="1"/>
  <c r="I45" i="25"/>
  <c r="BJ44" i="25"/>
  <c r="BF44" i="25"/>
  <c r="BD44" i="25"/>
  <c r="AW44" i="25"/>
  <c r="AP44" i="25"/>
  <c r="BI44" i="25" s="1"/>
  <c r="AE44" i="25" s="1"/>
  <c r="AO44" i="25"/>
  <c r="BH44" i="25" s="1"/>
  <c r="AD44" i="25" s="1"/>
  <c r="AK44" i="25"/>
  <c r="AJ44" i="25"/>
  <c r="AH44" i="25"/>
  <c r="AG44" i="25"/>
  <c r="AF44" i="25"/>
  <c r="AC44" i="25"/>
  <c r="AB44" i="25"/>
  <c r="Z44" i="25"/>
  <c r="M44" i="25"/>
  <c r="K44" i="25"/>
  <c r="AL44" i="25" s="1"/>
  <c r="J44" i="25"/>
  <c r="I44" i="25"/>
  <c r="BJ43" i="25"/>
  <c r="BF43" i="25"/>
  <c r="BD43" i="25"/>
  <c r="AP43" i="25"/>
  <c r="AX43" i="25" s="1"/>
  <c r="AO43" i="25"/>
  <c r="AW43" i="25" s="1"/>
  <c r="AL43" i="25"/>
  <c r="AK43" i="25"/>
  <c r="AJ43" i="25"/>
  <c r="AH43" i="25"/>
  <c r="AG43" i="25"/>
  <c r="AF43" i="25"/>
  <c r="AC43" i="25"/>
  <c r="AB43" i="25"/>
  <c r="Z43" i="25"/>
  <c r="M43" i="25"/>
  <c r="K43" i="25"/>
  <c r="BJ41" i="25"/>
  <c r="BF41" i="25"/>
  <c r="BD41" i="25"/>
  <c r="AP41" i="25"/>
  <c r="BI41" i="25" s="1"/>
  <c r="AE41" i="25" s="1"/>
  <c r="AO41" i="25"/>
  <c r="BH41" i="25" s="1"/>
  <c r="AD41" i="25" s="1"/>
  <c r="AK41" i="25"/>
  <c r="AJ41" i="25"/>
  <c r="AH41" i="25"/>
  <c r="AG41" i="25"/>
  <c r="AF41" i="25"/>
  <c r="AC41" i="25"/>
  <c r="AB41" i="25"/>
  <c r="Z41" i="25"/>
  <c r="M41" i="25"/>
  <c r="K41" i="25"/>
  <c r="AL41" i="25" s="1"/>
  <c r="J41" i="25"/>
  <c r="I41" i="25"/>
  <c r="BJ40" i="25"/>
  <c r="BD40" i="25"/>
  <c r="AP40" i="25"/>
  <c r="J40" i="25" s="1"/>
  <c r="AO40" i="25"/>
  <c r="BH40" i="25" s="1"/>
  <c r="AD40" i="25" s="1"/>
  <c r="AK40" i="25"/>
  <c r="AJ40" i="25"/>
  <c r="AH40" i="25"/>
  <c r="AG40" i="25"/>
  <c r="AF40" i="25"/>
  <c r="AC40" i="25"/>
  <c r="AB40" i="25"/>
  <c r="Z40" i="25"/>
  <c r="M40" i="25"/>
  <c r="BF40" i="25" s="1"/>
  <c r="K40" i="25"/>
  <c r="AL40" i="25" s="1"/>
  <c r="BJ38" i="25"/>
  <c r="BD38" i="25"/>
  <c r="AP38" i="25"/>
  <c r="BI38" i="25" s="1"/>
  <c r="AE38" i="25" s="1"/>
  <c r="AO38" i="25"/>
  <c r="BH38" i="25" s="1"/>
  <c r="AD38" i="25" s="1"/>
  <c r="AL38" i="25"/>
  <c r="AK38" i="25"/>
  <c r="AJ38" i="25"/>
  <c r="AH38" i="25"/>
  <c r="AG38" i="25"/>
  <c r="AF38" i="25"/>
  <c r="AC38" i="25"/>
  <c r="AB38" i="25"/>
  <c r="Z38" i="25"/>
  <c r="M38" i="25"/>
  <c r="BF38" i="25" s="1"/>
  <c r="K38" i="25"/>
  <c r="BJ37" i="25"/>
  <c r="BD37" i="25"/>
  <c r="AP37" i="25"/>
  <c r="AX37" i="25" s="1"/>
  <c r="AO37" i="25"/>
  <c r="AW37" i="25" s="1"/>
  <c r="AK37" i="25"/>
  <c r="AJ37" i="25"/>
  <c r="AH37" i="25"/>
  <c r="AG37" i="25"/>
  <c r="AF37" i="25"/>
  <c r="AC37" i="25"/>
  <c r="AB37" i="25"/>
  <c r="Z37" i="25"/>
  <c r="M37" i="25"/>
  <c r="BF37" i="25" s="1"/>
  <c r="K37" i="25"/>
  <c r="AL37" i="25" s="1"/>
  <c r="BJ35" i="25"/>
  <c r="BF35" i="25"/>
  <c r="BD35" i="25"/>
  <c r="AP35" i="25"/>
  <c r="BI35" i="25" s="1"/>
  <c r="AE35" i="25" s="1"/>
  <c r="AO35" i="25"/>
  <c r="BH35" i="25" s="1"/>
  <c r="AD35" i="25" s="1"/>
  <c r="AK35" i="25"/>
  <c r="AJ35" i="25"/>
  <c r="AH35" i="25"/>
  <c r="AG35" i="25"/>
  <c r="AF35" i="25"/>
  <c r="AC35" i="25"/>
  <c r="AB35" i="25"/>
  <c r="Z35" i="25"/>
  <c r="M35" i="25"/>
  <c r="K35" i="25"/>
  <c r="AL35" i="25" s="1"/>
  <c r="J35" i="25"/>
  <c r="I35" i="25"/>
  <c r="BJ34" i="25"/>
  <c r="BD34" i="25"/>
  <c r="AP34" i="25"/>
  <c r="J34" i="25" s="1"/>
  <c r="AO34" i="25"/>
  <c r="BH34" i="25" s="1"/>
  <c r="AD34" i="25" s="1"/>
  <c r="AK34" i="25"/>
  <c r="AJ34" i="25"/>
  <c r="AH34" i="25"/>
  <c r="AG34" i="25"/>
  <c r="AF34" i="25"/>
  <c r="AC34" i="25"/>
  <c r="AB34" i="25"/>
  <c r="Z34" i="25"/>
  <c r="M34" i="25"/>
  <c r="BF34" i="25" s="1"/>
  <c r="K34" i="25"/>
  <c r="AL34" i="25" s="1"/>
  <c r="BJ33" i="25"/>
  <c r="BF33" i="25"/>
  <c r="BD33" i="25"/>
  <c r="AP33" i="25"/>
  <c r="BI33" i="25" s="1"/>
  <c r="AE33" i="25" s="1"/>
  <c r="AO33" i="25"/>
  <c r="BH33" i="25" s="1"/>
  <c r="AD33" i="25" s="1"/>
  <c r="AL33" i="25"/>
  <c r="AK33" i="25"/>
  <c r="AJ33" i="25"/>
  <c r="AH33" i="25"/>
  <c r="AG33" i="25"/>
  <c r="AF33" i="25"/>
  <c r="AC33" i="25"/>
  <c r="AB33" i="25"/>
  <c r="Z33" i="25"/>
  <c r="M33" i="25"/>
  <c r="K33" i="25"/>
  <c r="I33" i="25"/>
  <c r="BJ32" i="25"/>
  <c r="BD32" i="25"/>
  <c r="AP32" i="25"/>
  <c r="BI32" i="25" s="1"/>
  <c r="AE32" i="25" s="1"/>
  <c r="AO32" i="25"/>
  <c r="AW32" i="25" s="1"/>
  <c r="AK32" i="25"/>
  <c r="AJ32" i="25"/>
  <c r="AH32" i="25"/>
  <c r="AG32" i="25"/>
  <c r="AF32" i="25"/>
  <c r="AC32" i="25"/>
  <c r="AB32" i="25"/>
  <c r="Z32" i="25"/>
  <c r="M32" i="25"/>
  <c r="BF32" i="25" s="1"/>
  <c r="K32" i="25"/>
  <c r="AL32" i="25" s="1"/>
  <c r="I32" i="25"/>
  <c r="BJ31" i="25"/>
  <c r="BF31" i="25"/>
  <c r="BD31" i="25"/>
  <c r="AW31" i="25"/>
  <c r="AP31" i="25"/>
  <c r="BI31" i="25" s="1"/>
  <c r="AE31" i="25" s="1"/>
  <c r="AO31" i="25"/>
  <c r="BH31" i="25" s="1"/>
  <c r="AD31" i="25" s="1"/>
  <c r="AK31" i="25"/>
  <c r="AJ31" i="25"/>
  <c r="AH31" i="25"/>
  <c r="AG31" i="25"/>
  <c r="AF31" i="25"/>
  <c r="AC31" i="25"/>
  <c r="AB31" i="25"/>
  <c r="Z31" i="25"/>
  <c r="M31" i="25"/>
  <c r="K31" i="25"/>
  <c r="AL31" i="25" s="1"/>
  <c r="J31" i="25"/>
  <c r="I31" i="25"/>
  <c r="BJ30" i="25"/>
  <c r="BD30" i="25"/>
  <c r="AW30" i="25"/>
  <c r="AP30" i="25"/>
  <c r="BI30" i="25" s="1"/>
  <c r="AE30" i="25" s="1"/>
  <c r="AO30" i="25"/>
  <c r="BH30" i="25" s="1"/>
  <c r="AD30" i="25" s="1"/>
  <c r="AK30" i="25"/>
  <c r="AJ30" i="25"/>
  <c r="AH30" i="25"/>
  <c r="AG30" i="25"/>
  <c r="AF30" i="25"/>
  <c r="AC30" i="25"/>
  <c r="AB30" i="25"/>
  <c r="Z30" i="25"/>
  <c r="M30" i="25"/>
  <c r="BF30" i="25" s="1"/>
  <c r="K30" i="25"/>
  <c r="AL30" i="25" s="1"/>
  <c r="BJ29" i="25"/>
  <c r="BD29" i="25"/>
  <c r="AW29" i="25"/>
  <c r="AP29" i="25"/>
  <c r="BI29" i="25" s="1"/>
  <c r="AE29" i="25" s="1"/>
  <c r="AO29" i="25"/>
  <c r="BH29" i="25" s="1"/>
  <c r="AD29" i="25" s="1"/>
  <c r="AL29" i="25"/>
  <c r="AK29" i="25"/>
  <c r="AJ29" i="25"/>
  <c r="AH29" i="25"/>
  <c r="AG29" i="25"/>
  <c r="AF29" i="25"/>
  <c r="AC29" i="25"/>
  <c r="AB29" i="25"/>
  <c r="Z29" i="25"/>
  <c r="M29" i="25"/>
  <c r="BF29" i="25" s="1"/>
  <c r="K29" i="25"/>
  <c r="I29" i="25"/>
  <c r="BJ28" i="25"/>
  <c r="BD28" i="25"/>
  <c r="AP28" i="25"/>
  <c r="AX28" i="25" s="1"/>
  <c r="AO28" i="25"/>
  <c r="AW28" i="25" s="1"/>
  <c r="AK28" i="25"/>
  <c r="AJ28" i="25"/>
  <c r="AH28" i="25"/>
  <c r="AG28" i="25"/>
  <c r="AF28" i="25"/>
  <c r="AC28" i="25"/>
  <c r="AB28" i="25"/>
  <c r="Z28" i="25"/>
  <c r="M28" i="25"/>
  <c r="BF28" i="25" s="1"/>
  <c r="K28" i="25"/>
  <c r="AL28" i="25" s="1"/>
  <c r="BJ27" i="25"/>
  <c r="BD27" i="25"/>
  <c r="AP27" i="25"/>
  <c r="BI27" i="25" s="1"/>
  <c r="AE27" i="25" s="1"/>
  <c r="AO27" i="25"/>
  <c r="BH27" i="25" s="1"/>
  <c r="AD27" i="25" s="1"/>
  <c r="AK27" i="25"/>
  <c r="AJ27" i="25"/>
  <c r="AH27" i="25"/>
  <c r="AG27" i="25"/>
  <c r="AF27" i="25"/>
  <c r="AC27" i="25"/>
  <c r="AB27" i="25"/>
  <c r="Z27" i="25"/>
  <c r="M27" i="25"/>
  <c r="BF27" i="25" s="1"/>
  <c r="K27" i="25"/>
  <c r="AL27" i="25" s="1"/>
  <c r="J27" i="25"/>
  <c r="I27" i="25"/>
  <c r="BJ26" i="25"/>
  <c r="BD26" i="25"/>
  <c r="AW26" i="25"/>
  <c r="AP26" i="25"/>
  <c r="J26" i="25" s="1"/>
  <c r="AO26" i="25"/>
  <c r="BH26" i="25" s="1"/>
  <c r="AD26" i="25" s="1"/>
  <c r="AK26" i="25"/>
  <c r="AJ26" i="25"/>
  <c r="AH26" i="25"/>
  <c r="AG26" i="25"/>
  <c r="AF26" i="25"/>
  <c r="AC26" i="25"/>
  <c r="AB26" i="25"/>
  <c r="Z26" i="25"/>
  <c r="M26" i="25"/>
  <c r="BF26" i="25" s="1"/>
  <c r="K26" i="25"/>
  <c r="AL26" i="25" s="1"/>
  <c r="BJ25" i="25"/>
  <c r="BF25" i="25"/>
  <c r="BD25" i="25"/>
  <c r="AW25" i="25"/>
  <c r="AP25" i="25"/>
  <c r="BI25" i="25" s="1"/>
  <c r="AE25" i="25" s="1"/>
  <c r="AO25" i="25"/>
  <c r="BH25" i="25" s="1"/>
  <c r="AD25" i="25" s="1"/>
  <c r="AK25" i="25"/>
  <c r="AJ25" i="25"/>
  <c r="AH25" i="25"/>
  <c r="AG25" i="25"/>
  <c r="AF25" i="25"/>
  <c r="AC25" i="25"/>
  <c r="AB25" i="25"/>
  <c r="Z25" i="25"/>
  <c r="M25" i="25"/>
  <c r="K25" i="25"/>
  <c r="AL25" i="25" s="1"/>
  <c r="BJ24" i="25"/>
  <c r="BD24" i="25"/>
  <c r="AP24" i="25"/>
  <c r="AX24" i="25" s="1"/>
  <c r="AO24" i="25"/>
  <c r="AW24" i="25" s="1"/>
  <c r="AK24" i="25"/>
  <c r="AJ24" i="25"/>
  <c r="AH24" i="25"/>
  <c r="AG24" i="25"/>
  <c r="AF24" i="25"/>
  <c r="AC24" i="25"/>
  <c r="AB24" i="25"/>
  <c r="Z24" i="25"/>
  <c r="M24" i="25"/>
  <c r="BF24" i="25" s="1"/>
  <c r="K24" i="25"/>
  <c r="AL24" i="25" s="1"/>
  <c r="I24" i="25"/>
  <c r="BJ23" i="25"/>
  <c r="BD23" i="25"/>
  <c r="AP23" i="25"/>
  <c r="BI23" i="25" s="1"/>
  <c r="AE23" i="25" s="1"/>
  <c r="AO23" i="25"/>
  <c r="BH23" i="25" s="1"/>
  <c r="AD23" i="25" s="1"/>
  <c r="AK23" i="25"/>
  <c r="AJ23" i="25"/>
  <c r="AH23" i="25"/>
  <c r="AG23" i="25"/>
  <c r="AF23" i="25"/>
  <c r="AC23" i="25"/>
  <c r="AB23" i="25"/>
  <c r="Z23" i="25"/>
  <c r="M23" i="25"/>
  <c r="BF23" i="25" s="1"/>
  <c r="K23" i="25"/>
  <c r="AL23" i="25" s="1"/>
  <c r="BJ22" i="25"/>
  <c r="BD22" i="25"/>
  <c r="AX22" i="25"/>
  <c r="AP22" i="25"/>
  <c r="BI22" i="25" s="1"/>
  <c r="AE22" i="25" s="1"/>
  <c r="AO22" i="25"/>
  <c r="BH22" i="25" s="1"/>
  <c r="AD22" i="25" s="1"/>
  <c r="AK22" i="25"/>
  <c r="AJ22" i="25"/>
  <c r="AH22" i="25"/>
  <c r="AG22" i="25"/>
  <c r="AF22" i="25"/>
  <c r="AC22" i="25"/>
  <c r="AB22" i="25"/>
  <c r="Z22" i="25"/>
  <c r="M22" i="25"/>
  <c r="BF22" i="25" s="1"/>
  <c r="K22" i="25"/>
  <c r="AL22" i="25" s="1"/>
  <c r="BJ21" i="25"/>
  <c r="BF21" i="25"/>
  <c r="BD21" i="25"/>
  <c r="AP21" i="25"/>
  <c r="BI21" i="25" s="1"/>
  <c r="AE21" i="25" s="1"/>
  <c r="AO21" i="25"/>
  <c r="BH21" i="25" s="1"/>
  <c r="AD21" i="25" s="1"/>
  <c r="AK21" i="25"/>
  <c r="AJ21" i="25"/>
  <c r="AH21" i="25"/>
  <c r="AG21" i="25"/>
  <c r="AF21" i="25"/>
  <c r="AC21" i="25"/>
  <c r="AB21" i="25"/>
  <c r="Z21" i="25"/>
  <c r="M21" i="25"/>
  <c r="K21" i="25"/>
  <c r="J21" i="25"/>
  <c r="I21" i="25"/>
  <c r="BJ19" i="25"/>
  <c r="BF19" i="25"/>
  <c r="BD19" i="25"/>
  <c r="AP19" i="25"/>
  <c r="BI19" i="25" s="1"/>
  <c r="AO19" i="25"/>
  <c r="AW19" i="25" s="1"/>
  <c r="AK19" i="25"/>
  <c r="AJ19" i="25"/>
  <c r="AH19" i="25"/>
  <c r="AG19" i="25"/>
  <c r="AF19" i="25"/>
  <c r="AE19" i="25"/>
  <c r="AD19" i="25"/>
  <c r="AC19" i="25"/>
  <c r="AB19" i="25"/>
  <c r="Z19" i="25"/>
  <c r="M19" i="25"/>
  <c r="K19" i="25"/>
  <c r="AL19" i="25" s="1"/>
  <c r="BJ18" i="25"/>
  <c r="BH18" i="25"/>
  <c r="AD18" i="25" s="1"/>
  <c r="BD18" i="25"/>
  <c r="AP18" i="25"/>
  <c r="AX18" i="25" s="1"/>
  <c r="AO18" i="25"/>
  <c r="AW18" i="25" s="1"/>
  <c r="AK18" i="25"/>
  <c r="AJ18" i="25"/>
  <c r="AH18" i="25"/>
  <c r="AG18" i="25"/>
  <c r="AF18" i="25"/>
  <c r="AC18" i="25"/>
  <c r="AB18" i="25"/>
  <c r="Z18" i="25"/>
  <c r="M18" i="25"/>
  <c r="BF18" i="25" s="1"/>
  <c r="K18" i="25"/>
  <c r="AL18" i="25" s="1"/>
  <c r="J18" i="25"/>
  <c r="I18" i="25"/>
  <c r="BJ16" i="25"/>
  <c r="BD16" i="25"/>
  <c r="AX16" i="25"/>
  <c r="AP16" i="25"/>
  <c r="BI16" i="25" s="1"/>
  <c r="AE16" i="25" s="1"/>
  <c r="AO16" i="25"/>
  <c r="BH16" i="25" s="1"/>
  <c r="AD16" i="25" s="1"/>
  <c r="AK16" i="25"/>
  <c r="AJ16" i="25"/>
  <c r="AH16" i="25"/>
  <c r="AG16" i="25"/>
  <c r="AF16" i="25"/>
  <c r="AC16" i="25"/>
  <c r="AB16" i="25"/>
  <c r="Z16" i="25"/>
  <c r="M16" i="25"/>
  <c r="BF16" i="25" s="1"/>
  <c r="K16" i="25"/>
  <c r="J16" i="25"/>
  <c r="BJ15" i="25"/>
  <c r="BD15" i="25"/>
  <c r="AP15" i="25"/>
  <c r="BI15" i="25" s="1"/>
  <c r="AE15" i="25" s="1"/>
  <c r="AO15" i="25"/>
  <c r="BH15" i="25" s="1"/>
  <c r="AD15" i="25" s="1"/>
  <c r="AK15" i="25"/>
  <c r="AJ15" i="25"/>
  <c r="AH15" i="25"/>
  <c r="AG15" i="25"/>
  <c r="AF15" i="25"/>
  <c r="AC15" i="25"/>
  <c r="AB15" i="25"/>
  <c r="Z15" i="25"/>
  <c r="M15" i="25"/>
  <c r="BF15" i="25" s="1"/>
  <c r="K15" i="25"/>
  <c r="AL15" i="25" s="1"/>
  <c r="BJ14" i="25"/>
  <c r="BF14" i="25"/>
  <c r="BD14" i="25"/>
  <c r="AP14" i="25"/>
  <c r="BI14" i="25" s="1"/>
  <c r="AE14" i="25" s="1"/>
  <c r="AO14" i="25"/>
  <c r="AW14" i="25" s="1"/>
  <c r="AK14" i="25"/>
  <c r="AJ14" i="25"/>
  <c r="AH14" i="25"/>
  <c r="AG14" i="25"/>
  <c r="AF14" i="25"/>
  <c r="AC14" i="25"/>
  <c r="AB14" i="25"/>
  <c r="Z14" i="25"/>
  <c r="M14" i="25"/>
  <c r="K14" i="25"/>
  <c r="AL14" i="25" s="1"/>
  <c r="J14" i="25"/>
  <c r="BJ13" i="25"/>
  <c r="BD13" i="25"/>
  <c r="AP13" i="25"/>
  <c r="AX13" i="25" s="1"/>
  <c r="AO13" i="25"/>
  <c r="BH13" i="25" s="1"/>
  <c r="AD13" i="25" s="1"/>
  <c r="AK13" i="25"/>
  <c r="AJ13" i="25"/>
  <c r="AH13" i="25"/>
  <c r="AG13" i="25"/>
  <c r="AF13" i="25"/>
  <c r="AC13" i="25"/>
  <c r="AB13" i="25"/>
  <c r="Z13" i="25"/>
  <c r="M13" i="25"/>
  <c r="BF13" i="25" s="1"/>
  <c r="K13" i="25"/>
  <c r="AL13" i="25" s="1"/>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I9" i="24"/>
  <c r="BJ83" i="23"/>
  <c r="BD83" i="23"/>
  <c r="AP83" i="23"/>
  <c r="AX83" i="23" s="1"/>
  <c r="AO83" i="23"/>
  <c r="BH83" i="23" s="1"/>
  <c r="AB83" i="23" s="1"/>
  <c r="AK83" i="23"/>
  <c r="AJ83" i="23"/>
  <c r="AH83" i="23"/>
  <c r="AG83" i="23"/>
  <c r="AF83" i="23"/>
  <c r="AE83" i="23"/>
  <c r="AD83" i="23"/>
  <c r="Z83" i="23"/>
  <c r="M83" i="23"/>
  <c r="BF83" i="23" s="1"/>
  <c r="K83" i="23"/>
  <c r="AL83" i="23" s="1"/>
  <c r="I83" i="23"/>
  <c r="BJ81" i="23"/>
  <c r="BI81" i="23"/>
  <c r="AC81" i="23" s="1"/>
  <c r="BD81" i="23"/>
  <c r="AX81" i="23"/>
  <c r="AP81" i="23"/>
  <c r="AO81" i="23"/>
  <c r="BH81" i="23" s="1"/>
  <c r="AB81" i="23" s="1"/>
  <c r="AK81" i="23"/>
  <c r="AT80" i="23" s="1"/>
  <c r="AJ81" i="23"/>
  <c r="AH81" i="23"/>
  <c r="AG81" i="23"/>
  <c r="AF81" i="23"/>
  <c r="AE81" i="23"/>
  <c r="AD81" i="23"/>
  <c r="Z81" i="23"/>
  <c r="M81" i="23"/>
  <c r="BF81" i="23" s="1"/>
  <c r="K81" i="23"/>
  <c r="AL81" i="23" s="1"/>
  <c r="J81" i="23"/>
  <c r="BJ79" i="23"/>
  <c r="Z79" i="23" s="1"/>
  <c r="BD79" i="23"/>
  <c r="AP79" i="23"/>
  <c r="BI79" i="23" s="1"/>
  <c r="AO79" i="23"/>
  <c r="BH79" i="23" s="1"/>
  <c r="AK79" i="23"/>
  <c r="AJ79" i="23"/>
  <c r="AH79" i="23"/>
  <c r="AG79" i="23"/>
  <c r="AF79" i="23"/>
  <c r="AE79" i="23"/>
  <c r="AD79" i="23"/>
  <c r="AC79" i="23"/>
  <c r="AB79" i="23"/>
  <c r="M79" i="23"/>
  <c r="BF79" i="23" s="1"/>
  <c r="K79" i="23"/>
  <c r="AL79" i="23" s="1"/>
  <c r="BJ78" i="23"/>
  <c r="BD78" i="23"/>
  <c r="AP78" i="23"/>
  <c r="BI78" i="23" s="1"/>
  <c r="AE78" i="23" s="1"/>
  <c r="AO78" i="23"/>
  <c r="AW78" i="23" s="1"/>
  <c r="AK78" i="23"/>
  <c r="AJ78" i="23"/>
  <c r="AH78" i="23"/>
  <c r="AG78" i="23"/>
  <c r="AF78" i="23"/>
  <c r="AC78" i="23"/>
  <c r="AB78" i="23"/>
  <c r="Z78" i="23"/>
  <c r="M78" i="23"/>
  <c r="BF78" i="23" s="1"/>
  <c r="K78" i="23"/>
  <c r="AL78" i="23" s="1"/>
  <c r="J78" i="23"/>
  <c r="BJ77" i="23"/>
  <c r="BF77" i="23"/>
  <c r="BD77" i="23"/>
  <c r="AP77" i="23"/>
  <c r="AX77" i="23" s="1"/>
  <c r="AO77" i="23"/>
  <c r="AW77" i="23" s="1"/>
  <c r="AL77" i="23"/>
  <c r="AK77" i="23"/>
  <c r="AJ77" i="23"/>
  <c r="AH77" i="23"/>
  <c r="AG77" i="23"/>
  <c r="AF77" i="23"/>
  <c r="AC77" i="23"/>
  <c r="AB77" i="23"/>
  <c r="Z77" i="23"/>
  <c r="M77" i="23"/>
  <c r="K77" i="23"/>
  <c r="BJ76" i="23"/>
  <c r="BD76" i="23"/>
  <c r="AP76" i="23"/>
  <c r="AX76" i="23" s="1"/>
  <c r="AO76" i="23"/>
  <c r="BH76" i="23" s="1"/>
  <c r="AD76" i="23" s="1"/>
  <c r="AK76" i="23"/>
  <c r="AJ76" i="23"/>
  <c r="AH76" i="23"/>
  <c r="AG76" i="23"/>
  <c r="AF76" i="23"/>
  <c r="AC76" i="23"/>
  <c r="AB76" i="23"/>
  <c r="Z76" i="23"/>
  <c r="M76" i="23"/>
  <c r="BF76" i="23" s="1"/>
  <c r="K76" i="23"/>
  <c r="AL76" i="23" s="1"/>
  <c r="BJ75" i="23"/>
  <c r="BD75" i="23"/>
  <c r="AX75" i="23"/>
  <c r="AP75" i="23"/>
  <c r="BI75" i="23" s="1"/>
  <c r="AE75" i="23" s="1"/>
  <c r="AO75" i="23"/>
  <c r="BH75" i="23" s="1"/>
  <c r="AD75" i="23" s="1"/>
  <c r="AK75" i="23"/>
  <c r="AJ75" i="23"/>
  <c r="AH75" i="23"/>
  <c r="AG75" i="23"/>
  <c r="AF75" i="23"/>
  <c r="AC75" i="23"/>
  <c r="AB75" i="23"/>
  <c r="Z75" i="23"/>
  <c r="M75" i="23"/>
  <c r="BF75" i="23" s="1"/>
  <c r="K75" i="23"/>
  <c r="AL75" i="23" s="1"/>
  <c r="BJ74" i="23"/>
  <c r="BD74" i="23"/>
  <c r="AP74" i="23"/>
  <c r="BI74" i="23" s="1"/>
  <c r="AE74" i="23" s="1"/>
  <c r="AO74" i="23"/>
  <c r="AW74" i="23" s="1"/>
  <c r="AK74" i="23"/>
  <c r="AJ74" i="23"/>
  <c r="AH74" i="23"/>
  <c r="AG74" i="23"/>
  <c r="AF74" i="23"/>
  <c r="AC74" i="23"/>
  <c r="AB74" i="23"/>
  <c r="Z74" i="23"/>
  <c r="M74" i="23"/>
  <c r="BF74" i="23" s="1"/>
  <c r="K74" i="23"/>
  <c r="AL74" i="23" s="1"/>
  <c r="J74" i="23"/>
  <c r="I74" i="23"/>
  <c r="BJ73" i="23"/>
  <c r="BD73" i="23"/>
  <c r="AP73" i="23"/>
  <c r="AX73" i="23" s="1"/>
  <c r="AO73" i="23"/>
  <c r="AW73" i="23" s="1"/>
  <c r="AK73" i="23"/>
  <c r="AJ73" i="23"/>
  <c r="AH73" i="23"/>
  <c r="AG73" i="23"/>
  <c r="AF73" i="23"/>
  <c r="AC73" i="23"/>
  <c r="AB73" i="23"/>
  <c r="Z73" i="23"/>
  <c r="M73" i="23"/>
  <c r="BF73" i="23" s="1"/>
  <c r="K73" i="23"/>
  <c r="AL73" i="23" s="1"/>
  <c r="I73" i="23"/>
  <c r="BJ72" i="23"/>
  <c r="BD72" i="23"/>
  <c r="AP72" i="23"/>
  <c r="BI72" i="23" s="1"/>
  <c r="AE72" i="23" s="1"/>
  <c r="AO72" i="23"/>
  <c r="BH72" i="23" s="1"/>
  <c r="AD72" i="23" s="1"/>
  <c r="AK72" i="23"/>
  <c r="AJ72" i="23"/>
  <c r="AH72" i="23"/>
  <c r="AG72" i="23"/>
  <c r="AF72" i="23"/>
  <c r="AC72" i="23"/>
  <c r="AB72" i="23"/>
  <c r="Z72" i="23"/>
  <c r="M72" i="23"/>
  <c r="BF72" i="23" s="1"/>
  <c r="K72" i="23"/>
  <c r="AL72" i="23" s="1"/>
  <c r="J72" i="23"/>
  <c r="BJ71" i="23"/>
  <c r="BD71" i="23"/>
  <c r="AW71" i="23"/>
  <c r="AP71" i="23"/>
  <c r="BI71" i="23" s="1"/>
  <c r="AE71" i="23" s="1"/>
  <c r="AO71" i="23"/>
  <c r="BH71" i="23" s="1"/>
  <c r="AD71" i="23" s="1"/>
  <c r="AK71" i="23"/>
  <c r="AJ71" i="23"/>
  <c r="AH71" i="23"/>
  <c r="AG71" i="23"/>
  <c r="AF71" i="23"/>
  <c r="AC71" i="23"/>
  <c r="AB71" i="23"/>
  <c r="Z71" i="23"/>
  <c r="M71" i="23"/>
  <c r="BF71" i="23" s="1"/>
  <c r="K71" i="23"/>
  <c r="AL71" i="23" s="1"/>
  <c r="J71" i="23"/>
  <c r="BJ70" i="23"/>
  <c r="BD70" i="23"/>
  <c r="AX70" i="23"/>
  <c r="AP70" i="23"/>
  <c r="BI70" i="23" s="1"/>
  <c r="AE70" i="23" s="1"/>
  <c r="AO70" i="23"/>
  <c r="BH70" i="23" s="1"/>
  <c r="AD70" i="23" s="1"/>
  <c r="AK70" i="23"/>
  <c r="AJ70" i="23"/>
  <c r="AH70" i="23"/>
  <c r="AG70" i="23"/>
  <c r="AF70" i="23"/>
  <c r="AC70" i="23"/>
  <c r="AB70" i="23"/>
  <c r="Z70" i="23"/>
  <c r="M70" i="23"/>
  <c r="BF70" i="23" s="1"/>
  <c r="K70" i="23"/>
  <c r="AL70" i="23" s="1"/>
  <c r="J70" i="23"/>
  <c r="BJ69" i="23"/>
  <c r="BD69" i="23"/>
  <c r="AP69" i="23"/>
  <c r="AX69" i="23" s="1"/>
  <c r="AO69" i="23"/>
  <c r="AW69" i="23" s="1"/>
  <c r="AK69" i="23"/>
  <c r="AJ69" i="23"/>
  <c r="AH69" i="23"/>
  <c r="AG69" i="23"/>
  <c r="AF69" i="23"/>
  <c r="AC69" i="23"/>
  <c r="AB69" i="23"/>
  <c r="Z69" i="23"/>
  <c r="M69" i="23"/>
  <c r="BF69" i="23" s="1"/>
  <c r="K69" i="23"/>
  <c r="AL69" i="23" s="1"/>
  <c r="BJ68" i="23"/>
  <c r="BD68" i="23"/>
  <c r="AP68" i="23"/>
  <c r="AX68" i="23" s="1"/>
  <c r="AO68" i="23"/>
  <c r="BH68" i="23" s="1"/>
  <c r="AD68" i="23" s="1"/>
  <c r="AK68" i="23"/>
  <c r="AJ68" i="23"/>
  <c r="AH68" i="23"/>
  <c r="AG68" i="23"/>
  <c r="AF68" i="23"/>
  <c r="AC68" i="23"/>
  <c r="AB68" i="23"/>
  <c r="Z68" i="23"/>
  <c r="M68" i="23"/>
  <c r="BF68" i="23" s="1"/>
  <c r="K68" i="23"/>
  <c r="AL68" i="23" s="1"/>
  <c r="BJ67" i="23"/>
  <c r="BD67" i="23"/>
  <c r="AW67" i="23"/>
  <c r="AP67" i="23"/>
  <c r="BI67" i="23" s="1"/>
  <c r="AE67" i="23" s="1"/>
  <c r="AO67" i="23"/>
  <c r="BH67" i="23" s="1"/>
  <c r="AD67" i="23" s="1"/>
  <c r="AK67" i="23"/>
  <c r="AJ67" i="23"/>
  <c r="AH67" i="23"/>
  <c r="AG67" i="23"/>
  <c r="AF67" i="23"/>
  <c r="AC67" i="23"/>
  <c r="AB67" i="23"/>
  <c r="Z67" i="23"/>
  <c r="M67" i="23"/>
  <c r="BF67" i="23" s="1"/>
  <c r="K67" i="23"/>
  <c r="AL67" i="23" s="1"/>
  <c r="I67" i="23"/>
  <c r="BJ66" i="23"/>
  <c r="BD66" i="23"/>
  <c r="AP66" i="23"/>
  <c r="BI66" i="23" s="1"/>
  <c r="AE66" i="23" s="1"/>
  <c r="AO66" i="23"/>
  <c r="AW66" i="23" s="1"/>
  <c r="AK66" i="23"/>
  <c r="AT65" i="23" s="1"/>
  <c r="AJ66" i="23"/>
  <c r="AH66" i="23"/>
  <c r="AG66" i="23"/>
  <c r="AF66" i="23"/>
  <c r="AC66" i="23"/>
  <c r="AB66" i="23"/>
  <c r="Z66" i="23"/>
  <c r="M66" i="23"/>
  <c r="BF66" i="23" s="1"/>
  <c r="K66" i="23"/>
  <c r="AL66" i="23" s="1"/>
  <c r="J66" i="23"/>
  <c r="BJ64" i="23"/>
  <c r="BF64" i="23"/>
  <c r="BD64" i="23"/>
  <c r="AP64" i="23"/>
  <c r="AX64" i="23" s="1"/>
  <c r="AO64" i="23"/>
  <c r="AW64" i="23" s="1"/>
  <c r="AK64" i="23"/>
  <c r="AJ64" i="23"/>
  <c r="AH64" i="23"/>
  <c r="AG64" i="23"/>
  <c r="AF64" i="23"/>
  <c r="AE64" i="23"/>
  <c r="AD64" i="23"/>
  <c r="AC64" i="23"/>
  <c r="AB64" i="23"/>
  <c r="Z64" i="23"/>
  <c r="M64" i="23"/>
  <c r="K64" i="23"/>
  <c r="AL64" i="23" s="1"/>
  <c r="J64" i="23"/>
  <c r="BJ63" i="23"/>
  <c r="BD63" i="23"/>
  <c r="AP63" i="23"/>
  <c r="AX63" i="23" s="1"/>
  <c r="AO63" i="23"/>
  <c r="BH63" i="23" s="1"/>
  <c r="AD63" i="23" s="1"/>
  <c r="AK63" i="23"/>
  <c r="AJ63" i="23"/>
  <c r="AH63" i="23"/>
  <c r="AG63" i="23"/>
  <c r="AF63" i="23"/>
  <c r="AC63" i="23"/>
  <c r="AB63" i="23"/>
  <c r="Z63" i="23"/>
  <c r="M63" i="23"/>
  <c r="BF63" i="23" s="1"/>
  <c r="K63" i="23"/>
  <c r="AL63" i="23" s="1"/>
  <c r="J63" i="23"/>
  <c r="I63" i="23"/>
  <c r="BJ62" i="23"/>
  <c r="BD62" i="23"/>
  <c r="AP62" i="23"/>
  <c r="BI62" i="23" s="1"/>
  <c r="AE62" i="23" s="1"/>
  <c r="AO62" i="23"/>
  <c r="BH62" i="23" s="1"/>
  <c r="AD62" i="23" s="1"/>
  <c r="AK62" i="23"/>
  <c r="AJ62" i="23"/>
  <c r="AH62" i="23"/>
  <c r="AG62" i="23"/>
  <c r="AF62" i="23"/>
  <c r="AC62" i="23"/>
  <c r="AB62" i="23"/>
  <c r="Z62" i="23"/>
  <c r="M62" i="23"/>
  <c r="BF62" i="23" s="1"/>
  <c r="K62" i="23"/>
  <c r="AL62" i="23" s="1"/>
  <c r="BJ60" i="23"/>
  <c r="BD60" i="23"/>
  <c r="AP60" i="23"/>
  <c r="BI60" i="23" s="1"/>
  <c r="AE60" i="23" s="1"/>
  <c r="AO60" i="23"/>
  <c r="BH60" i="23" s="1"/>
  <c r="AD60" i="23" s="1"/>
  <c r="AK60" i="23"/>
  <c r="AJ60" i="23"/>
  <c r="AH60" i="23"/>
  <c r="AG60" i="23"/>
  <c r="AF60" i="23"/>
  <c r="AC60" i="23"/>
  <c r="AB60" i="23"/>
  <c r="Z60" i="23"/>
  <c r="M60" i="23"/>
  <c r="BF60" i="23" s="1"/>
  <c r="K60" i="23"/>
  <c r="AL60" i="23" s="1"/>
  <c r="BJ59" i="23"/>
  <c r="BD59" i="23"/>
  <c r="AP59" i="23"/>
  <c r="AX59" i="23" s="1"/>
  <c r="AO59" i="23"/>
  <c r="BH59" i="23" s="1"/>
  <c r="AD59" i="23" s="1"/>
  <c r="AK59" i="23"/>
  <c r="AJ59" i="23"/>
  <c r="AH59" i="23"/>
  <c r="AG59" i="23"/>
  <c r="AF59" i="23"/>
  <c r="AC59" i="23"/>
  <c r="AB59" i="23"/>
  <c r="Z59" i="23"/>
  <c r="M59" i="23"/>
  <c r="BF59" i="23" s="1"/>
  <c r="K59" i="23"/>
  <c r="AL59" i="23" s="1"/>
  <c r="BJ58" i="23"/>
  <c r="BD58" i="23"/>
  <c r="AP58" i="23"/>
  <c r="AX58" i="23" s="1"/>
  <c r="AO58" i="23"/>
  <c r="AW58" i="23" s="1"/>
  <c r="AK58" i="23"/>
  <c r="AJ58" i="23"/>
  <c r="AH58" i="23"/>
  <c r="AG58" i="23"/>
  <c r="AF58" i="23"/>
  <c r="AC58" i="23"/>
  <c r="AB58" i="23"/>
  <c r="Z58" i="23"/>
  <c r="M58" i="23"/>
  <c r="BF58" i="23" s="1"/>
  <c r="K58" i="23"/>
  <c r="AL58" i="23" s="1"/>
  <c r="J58" i="23"/>
  <c r="I58" i="23"/>
  <c r="BJ57" i="23"/>
  <c r="BD57" i="23"/>
  <c r="AP57" i="23"/>
  <c r="BI57" i="23" s="1"/>
  <c r="AE57" i="23" s="1"/>
  <c r="AO57" i="23"/>
  <c r="BH57" i="23" s="1"/>
  <c r="AD57" i="23" s="1"/>
  <c r="AK57" i="23"/>
  <c r="AJ57" i="23"/>
  <c r="AH57" i="23"/>
  <c r="AG57" i="23"/>
  <c r="AF57" i="23"/>
  <c r="AC57" i="23"/>
  <c r="AB57" i="23"/>
  <c r="Z57" i="23"/>
  <c r="M57" i="23"/>
  <c r="BF57" i="23" s="1"/>
  <c r="K57" i="23"/>
  <c r="AL57" i="23" s="1"/>
  <c r="BJ55" i="23"/>
  <c r="BD55" i="23"/>
  <c r="AP55" i="23"/>
  <c r="BI55" i="23" s="1"/>
  <c r="AO55" i="23"/>
  <c r="BH55" i="23" s="1"/>
  <c r="AK55" i="23"/>
  <c r="AJ55" i="23"/>
  <c r="AH55" i="23"/>
  <c r="AG55" i="23"/>
  <c r="AF55" i="23"/>
  <c r="AE55" i="23"/>
  <c r="AD55" i="23"/>
  <c r="AC55" i="23"/>
  <c r="AB55" i="23"/>
  <c r="Z55" i="23"/>
  <c r="M55" i="23"/>
  <c r="BF55" i="23" s="1"/>
  <c r="K55" i="23"/>
  <c r="AL55" i="23" s="1"/>
  <c r="J55" i="23"/>
  <c r="I55" i="23"/>
  <c r="BJ54" i="23"/>
  <c r="BD54" i="23"/>
  <c r="AW54" i="23"/>
  <c r="AP54" i="23"/>
  <c r="BI54" i="23" s="1"/>
  <c r="AE54" i="23" s="1"/>
  <c r="AO54" i="23"/>
  <c r="BH54" i="23" s="1"/>
  <c r="AD54" i="23" s="1"/>
  <c r="AK54" i="23"/>
  <c r="AJ54" i="23"/>
  <c r="AH54" i="23"/>
  <c r="AG54" i="23"/>
  <c r="AF54" i="23"/>
  <c r="AC54" i="23"/>
  <c r="AB54" i="23"/>
  <c r="Z54" i="23"/>
  <c r="M54" i="23"/>
  <c r="BF54" i="23" s="1"/>
  <c r="K54" i="23"/>
  <c r="AL54" i="23" s="1"/>
  <c r="J54" i="23"/>
  <c r="I54" i="23"/>
  <c r="BJ53" i="23"/>
  <c r="BF53" i="23"/>
  <c r="BD53" i="23"/>
  <c r="AP53" i="23"/>
  <c r="AX53" i="23" s="1"/>
  <c r="AO53" i="23"/>
  <c r="AW53" i="23" s="1"/>
  <c r="AL53" i="23"/>
  <c r="AK53" i="23"/>
  <c r="AJ53" i="23"/>
  <c r="AH53" i="23"/>
  <c r="AG53" i="23"/>
  <c r="AF53" i="23"/>
  <c r="AC53" i="23"/>
  <c r="AB53" i="23"/>
  <c r="Z53" i="23"/>
  <c r="M53" i="23"/>
  <c r="K53" i="23"/>
  <c r="BJ52" i="23"/>
  <c r="BD52" i="23"/>
  <c r="AP52" i="23"/>
  <c r="BI52" i="23" s="1"/>
  <c r="AE52" i="23" s="1"/>
  <c r="AO52" i="23"/>
  <c r="BH52" i="23" s="1"/>
  <c r="AD52" i="23" s="1"/>
  <c r="AK52" i="23"/>
  <c r="AJ52" i="23"/>
  <c r="AH52" i="23"/>
  <c r="AG52" i="23"/>
  <c r="AF52" i="23"/>
  <c r="AC52" i="23"/>
  <c r="AB52" i="23"/>
  <c r="Z52" i="23"/>
  <c r="M52" i="23"/>
  <c r="BF52" i="23" s="1"/>
  <c r="K52" i="23"/>
  <c r="AL52" i="23" s="1"/>
  <c r="BJ51" i="23"/>
  <c r="BD51" i="23"/>
  <c r="AP51" i="23"/>
  <c r="BI51" i="23" s="1"/>
  <c r="AE51" i="23" s="1"/>
  <c r="AO51" i="23"/>
  <c r="BH51" i="23" s="1"/>
  <c r="AD51" i="23" s="1"/>
  <c r="AK51" i="23"/>
  <c r="AJ51" i="23"/>
  <c r="AH51" i="23"/>
  <c r="AG51" i="23"/>
  <c r="AF51" i="23"/>
  <c r="AC51" i="23"/>
  <c r="AB51" i="23"/>
  <c r="Z51" i="23"/>
  <c r="M51" i="23"/>
  <c r="BF51" i="23" s="1"/>
  <c r="K51" i="23"/>
  <c r="AL51" i="23" s="1"/>
  <c r="J51" i="23"/>
  <c r="I51" i="23"/>
  <c r="BJ50" i="23"/>
  <c r="BD50" i="23"/>
  <c r="AP50" i="23"/>
  <c r="BI50" i="23" s="1"/>
  <c r="AE50" i="23" s="1"/>
  <c r="AO50" i="23"/>
  <c r="BH50" i="23" s="1"/>
  <c r="AD50" i="23" s="1"/>
  <c r="AK50" i="23"/>
  <c r="AJ50" i="23"/>
  <c r="AH50" i="23"/>
  <c r="AG50" i="23"/>
  <c r="AF50" i="23"/>
  <c r="AC50" i="23"/>
  <c r="AB50" i="23"/>
  <c r="Z50" i="23"/>
  <c r="M50" i="23"/>
  <c r="BF50" i="23" s="1"/>
  <c r="K50" i="23"/>
  <c r="AL50" i="23" s="1"/>
  <c r="BJ49" i="23"/>
  <c r="BD49" i="23"/>
  <c r="AP49" i="23"/>
  <c r="AX49" i="23" s="1"/>
  <c r="AO49" i="23"/>
  <c r="AW49" i="23" s="1"/>
  <c r="AK49" i="23"/>
  <c r="AJ49" i="23"/>
  <c r="AH49" i="23"/>
  <c r="AG49" i="23"/>
  <c r="AF49" i="23"/>
  <c r="AC49" i="23"/>
  <c r="AB49" i="23"/>
  <c r="Z49" i="23"/>
  <c r="M49" i="23"/>
  <c r="BF49" i="23" s="1"/>
  <c r="K49" i="23"/>
  <c r="AL49" i="23" s="1"/>
  <c r="BJ48" i="23"/>
  <c r="BD48" i="23"/>
  <c r="AP48" i="23"/>
  <c r="BI48" i="23" s="1"/>
  <c r="AE48" i="23" s="1"/>
  <c r="AO48" i="23"/>
  <c r="BH48" i="23" s="1"/>
  <c r="AD48" i="23" s="1"/>
  <c r="AK48" i="23"/>
  <c r="AJ48" i="23"/>
  <c r="AH48" i="23"/>
  <c r="AG48" i="23"/>
  <c r="AF48" i="23"/>
  <c r="AC48" i="23"/>
  <c r="AB48" i="23"/>
  <c r="Z48" i="23"/>
  <c r="M48" i="23"/>
  <c r="BF48" i="23" s="1"/>
  <c r="K48" i="23"/>
  <c r="AL48" i="23" s="1"/>
  <c r="BJ47" i="23"/>
  <c r="BD47" i="23"/>
  <c r="AX47" i="23"/>
  <c r="AW47" i="23"/>
  <c r="BC47" i="23" s="1"/>
  <c r="AP47" i="23"/>
  <c r="BI47" i="23" s="1"/>
  <c r="AE47" i="23" s="1"/>
  <c r="AO47" i="23"/>
  <c r="BH47" i="23" s="1"/>
  <c r="AD47" i="23" s="1"/>
  <c r="AK47" i="23"/>
  <c r="AJ47" i="23"/>
  <c r="AH47" i="23"/>
  <c r="AG47" i="23"/>
  <c r="AF47" i="23"/>
  <c r="AC47" i="23"/>
  <c r="AB47" i="23"/>
  <c r="Z47" i="23"/>
  <c r="M47" i="23"/>
  <c r="BF47" i="23" s="1"/>
  <c r="K47" i="23"/>
  <c r="AL47" i="23" s="1"/>
  <c r="J47" i="23"/>
  <c r="I47" i="23"/>
  <c r="BJ46" i="23"/>
  <c r="BF46" i="23"/>
  <c r="BD46" i="23"/>
  <c r="AP46" i="23"/>
  <c r="BI46" i="23" s="1"/>
  <c r="AE46" i="23" s="1"/>
  <c r="AO46" i="23"/>
  <c r="BH46" i="23" s="1"/>
  <c r="AD46" i="23" s="1"/>
  <c r="AK46" i="23"/>
  <c r="AJ46" i="23"/>
  <c r="AH46" i="23"/>
  <c r="AG46" i="23"/>
  <c r="AF46" i="23"/>
  <c r="AC46" i="23"/>
  <c r="AB46" i="23"/>
  <c r="Z46" i="23"/>
  <c r="M46" i="23"/>
  <c r="K46" i="23"/>
  <c r="AL46" i="23" s="1"/>
  <c r="I46" i="23"/>
  <c r="BJ45" i="23"/>
  <c r="BD45" i="23"/>
  <c r="AP45" i="23"/>
  <c r="AX45" i="23" s="1"/>
  <c r="AO45" i="23"/>
  <c r="AW45" i="23" s="1"/>
  <c r="AK45" i="23"/>
  <c r="AJ45" i="23"/>
  <c r="AH45" i="23"/>
  <c r="AG45" i="23"/>
  <c r="AF45" i="23"/>
  <c r="AC45" i="23"/>
  <c r="AB45" i="23"/>
  <c r="Z45" i="23"/>
  <c r="M45" i="23"/>
  <c r="BF45" i="23" s="1"/>
  <c r="K45" i="23"/>
  <c r="AL45" i="23" s="1"/>
  <c r="I45" i="23"/>
  <c r="BJ44" i="23"/>
  <c r="BD44" i="23"/>
  <c r="AP44" i="23"/>
  <c r="BI44" i="23" s="1"/>
  <c r="AE44" i="23" s="1"/>
  <c r="AO44" i="23"/>
  <c r="BH44" i="23" s="1"/>
  <c r="AD44" i="23" s="1"/>
  <c r="AK44" i="23"/>
  <c r="AJ44" i="23"/>
  <c r="AH44" i="23"/>
  <c r="AG44" i="23"/>
  <c r="AF44" i="23"/>
  <c r="AC44" i="23"/>
  <c r="AB44" i="23"/>
  <c r="Z44" i="23"/>
  <c r="M44" i="23"/>
  <c r="BF44" i="23" s="1"/>
  <c r="K44" i="23"/>
  <c r="AL44" i="23" s="1"/>
  <c r="J44" i="23"/>
  <c r="I44" i="23"/>
  <c r="BJ43" i="23"/>
  <c r="BD43" i="23"/>
  <c r="AP43" i="23"/>
  <c r="BI43" i="23" s="1"/>
  <c r="AE43" i="23" s="1"/>
  <c r="AO43" i="23"/>
  <c r="BH43" i="23" s="1"/>
  <c r="AD43" i="23" s="1"/>
  <c r="AK43" i="23"/>
  <c r="AJ43" i="23"/>
  <c r="AH43" i="23"/>
  <c r="AG43" i="23"/>
  <c r="AF43" i="23"/>
  <c r="AC43" i="23"/>
  <c r="AB43" i="23"/>
  <c r="Z43" i="23"/>
  <c r="M43" i="23"/>
  <c r="BF43" i="23" s="1"/>
  <c r="K43" i="23"/>
  <c r="AL43" i="23" s="1"/>
  <c r="BJ41" i="23"/>
  <c r="BD41" i="23"/>
  <c r="AX41" i="23"/>
  <c r="AW41" i="23"/>
  <c r="BC41" i="23" s="1"/>
  <c r="AP41" i="23"/>
  <c r="BI41" i="23" s="1"/>
  <c r="AO41" i="23"/>
  <c r="BH41" i="23" s="1"/>
  <c r="AK41" i="23"/>
  <c r="AJ41" i="23"/>
  <c r="AH41" i="23"/>
  <c r="AG41" i="23"/>
  <c r="AF41" i="23"/>
  <c r="AE41" i="23"/>
  <c r="AD41" i="23"/>
  <c r="AC41" i="23"/>
  <c r="AB41" i="23"/>
  <c r="Z41" i="23"/>
  <c r="M41" i="23"/>
  <c r="BF41" i="23" s="1"/>
  <c r="K41" i="23"/>
  <c r="AL41" i="23" s="1"/>
  <c r="J41" i="23"/>
  <c r="I41" i="23"/>
  <c r="BJ40" i="23"/>
  <c r="BD40" i="23"/>
  <c r="AP40" i="23"/>
  <c r="AX40" i="23" s="1"/>
  <c r="AO40" i="23"/>
  <c r="AW40" i="23" s="1"/>
  <c r="AK40" i="23"/>
  <c r="AJ40" i="23"/>
  <c r="AH40" i="23"/>
  <c r="AG40" i="23"/>
  <c r="AF40" i="23"/>
  <c r="AE40" i="23"/>
  <c r="AD40" i="23"/>
  <c r="AC40" i="23"/>
  <c r="AB40" i="23"/>
  <c r="Z40" i="23"/>
  <c r="M40" i="23"/>
  <c r="BF40" i="23" s="1"/>
  <c r="K40" i="23"/>
  <c r="AL40" i="23" s="1"/>
  <c r="BJ39" i="23"/>
  <c r="Z39" i="23" s="1"/>
  <c r="BF39" i="23"/>
  <c r="BD39" i="23"/>
  <c r="AP39" i="23"/>
  <c r="AX39" i="23" s="1"/>
  <c r="AO39" i="23"/>
  <c r="AW39" i="23" s="1"/>
  <c r="AK39" i="23"/>
  <c r="AJ39" i="23"/>
  <c r="AH39" i="23"/>
  <c r="AG39" i="23"/>
  <c r="AF39" i="23"/>
  <c r="AE39" i="23"/>
  <c r="AD39" i="23"/>
  <c r="AC39" i="23"/>
  <c r="AB39" i="23"/>
  <c r="M39" i="23"/>
  <c r="K39" i="23"/>
  <c r="AL39" i="23" s="1"/>
  <c r="J39" i="23"/>
  <c r="I39" i="23"/>
  <c r="BJ38" i="23"/>
  <c r="Z38" i="23" s="1"/>
  <c r="BD38" i="23"/>
  <c r="AP38" i="23"/>
  <c r="BI38" i="23" s="1"/>
  <c r="AO38" i="23"/>
  <c r="BH38" i="23" s="1"/>
  <c r="AK38" i="23"/>
  <c r="AJ38" i="23"/>
  <c r="AH38" i="23"/>
  <c r="AG38" i="23"/>
  <c r="AF38" i="23"/>
  <c r="AE38" i="23"/>
  <c r="AD38" i="23"/>
  <c r="AC38" i="23"/>
  <c r="AB38" i="23"/>
  <c r="M38" i="23"/>
  <c r="BF38" i="23" s="1"/>
  <c r="K38" i="23"/>
  <c r="AL38" i="23" s="1"/>
  <c r="BJ37" i="23"/>
  <c r="BD37" i="23"/>
  <c r="AP37" i="23"/>
  <c r="BI37" i="23" s="1"/>
  <c r="AO37" i="23"/>
  <c r="BH37" i="23" s="1"/>
  <c r="AK37" i="23"/>
  <c r="AJ37" i="23"/>
  <c r="AH37" i="23"/>
  <c r="AG37" i="23"/>
  <c r="AF37" i="23"/>
  <c r="AE37" i="23"/>
  <c r="AD37" i="23"/>
  <c r="AC37" i="23"/>
  <c r="AB37" i="23"/>
  <c r="Z37" i="23"/>
  <c r="M37" i="23"/>
  <c r="BF37" i="23" s="1"/>
  <c r="K37" i="23"/>
  <c r="AL37" i="23" s="1"/>
  <c r="J37" i="23"/>
  <c r="BJ36" i="23"/>
  <c r="BF36" i="23"/>
  <c r="BD36" i="23"/>
  <c r="AP36" i="23"/>
  <c r="AX36" i="23" s="1"/>
  <c r="AO36" i="23"/>
  <c r="AW36" i="23" s="1"/>
  <c r="AL36" i="23"/>
  <c r="AK36" i="23"/>
  <c r="AJ36" i="23"/>
  <c r="AH36" i="23"/>
  <c r="AG36" i="23"/>
  <c r="AF36" i="23"/>
  <c r="AC36" i="23"/>
  <c r="AB36" i="23"/>
  <c r="Z36" i="23"/>
  <c r="M36" i="23"/>
  <c r="K36" i="23"/>
  <c r="J36" i="23"/>
  <c r="BJ35" i="23"/>
  <c r="BD35" i="23"/>
  <c r="AP35" i="23"/>
  <c r="AX35" i="23" s="1"/>
  <c r="AO35" i="23"/>
  <c r="AW35" i="23" s="1"/>
  <c r="AK35" i="23"/>
  <c r="AJ35" i="23"/>
  <c r="AH35" i="23"/>
  <c r="AG35" i="23"/>
  <c r="AF35" i="23"/>
  <c r="AC35" i="23"/>
  <c r="AB35" i="23"/>
  <c r="Z35" i="23"/>
  <c r="M35" i="23"/>
  <c r="BF35" i="23" s="1"/>
  <c r="K35" i="23"/>
  <c r="AL35" i="23" s="1"/>
  <c r="BJ34" i="23"/>
  <c r="BD34" i="23"/>
  <c r="AW34" i="23"/>
  <c r="AP34" i="23"/>
  <c r="BI34" i="23" s="1"/>
  <c r="AE34" i="23" s="1"/>
  <c r="AO34" i="23"/>
  <c r="BH34" i="23" s="1"/>
  <c r="AD34" i="23" s="1"/>
  <c r="AK34" i="23"/>
  <c r="AJ34" i="23"/>
  <c r="AH34" i="23"/>
  <c r="AG34" i="23"/>
  <c r="AF34" i="23"/>
  <c r="AC34" i="23"/>
  <c r="AB34" i="23"/>
  <c r="Z34" i="23"/>
  <c r="M34" i="23"/>
  <c r="BF34" i="23" s="1"/>
  <c r="K34" i="23"/>
  <c r="AL34" i="23" s="1"/>
  <c r="J34" i="23"/>
  <c r="I34" i="23"/>
  <c r="BJ33" i="23"/>
  <c r="BD33" i="23"/>
  <c r="AX33" i="23"/>
  <c r="AP33" i="23"/>
  <c r="BI33" i="23" s="1"/>
  <c r="AE33" i="23" s="1"/>
  <c r="AO33" i="23"/>
  <c r="BH33" i="23" s="1"/>
  <c r="AD33" i="23" s="1"/>
  <c r="AK33" i="23"/>
  <c r="AJ33" i="23"/>
  <c r="AH33" i="23"/>
  <c r="AG33" i="23"/>
  <c r="AF33" i="23"/>
  <c r="AC33" i="23"/>
  <c r="AB33" i="23"/>
  <c r="Z33" i="23"/>
  <c r="M33" i="23"/>
  <c r="BF33" i="23" s="1"/>
  <c r="K33" i="23"/>
  <c r="AL33" i="23" s="1"/>
  <c r="J33" i="23"/>
  <c r="BJ32" i="23"/>
  <c r="BD32" i="23"/>
  <c r="AP32" i="23"/>
  <c r="AX32" i="23" s="1"/>
  <c r="AO32" i="23"/>
  <c r="AW32" i="23" s="1"/>
  <c r="AK32" i="23"/>
  <c r="AJ32" i="23"/>
  <c r="AH32" i="23"/>
  <c r="AG32" i="23"/>
  <c r="AF32" i="23"/>
  <c r="AC32" i="23"/>
  <c r="AB32" i="23"/>
  <c r="Z32" i="23"/>
  <c r="M32" i="23"/>
  <c r="BF32" i="23" s="1"/>
  <c r="K32" i="23"/>
  <c r="AL32" i="23" s="1"/>
  <c r="BJ31" i="23"/>
  <c r="BD31" i="23"/>
  <c r="AP31" i="23"/>
  <c r="AX31" i="23" s="1"/>
  <c r="AO31" i="23"/>
  <c r="AW31" i="23" s="1"/>
  <c r="AK31" i="23"/>
  <c r="AJ31" i="23"/>
  <c r="AH31" i="23"/>
  <c r="AG31" i="23"/>
  <c r="AF31" i="23"/>
  <c r="AC31" i="23"/>
  <c r="AB31" i="23"/>
  <c r="Z31" i="23"/>
  <c r="M31" i="23"/>
  <c r="BF31" i="23" s="1"/>
  <c r="K31" i="23"/>
  <c r="AL31" i="23" s="1"/>
  <c r="J31" i="23"/>
  <c r="I31" i="23"/>
  <c r="BJ30" i="23"/>
  <c r="BD30" i="23"/>
  <c r="AP30" i="23"/>
  <c r="BI30" i="23" s="1"/>
  <c r="AE30" i="23" s="1"/>
  <c r="AO30" i="23"/>
  <c r="BH30" i="23" s="1"/>
  <c r="AD30" i="23" s="1"/>
  <c r="AK30" i="23"/>
  <c r="AJ30" i="23"/>
  <c r="AH30" i="23"/>
  <c r="AG30" i="23"/>
  <c r="AF30" i="23"/>
  <c r="AC30" i="23"/>
  <c r="AB30" i="23"/>
  <c r="Z30" i="23"/>
  <c r="M30" i="23"/>
  <c r="BF30" i="23" s="1"/>
  <c r="K30" i="23"/>
  <c r="AL30" i="23" s="1"/>
  <c r="J30" i="23"/>
  <c r="I30" i="23"/>
  <c r="BJ29" i="23"/>
  <c r="BD29" i="23"/>
  <c r="AW29" i="23"/>
  <c r="AP29" i="23"/>
  <c r="BI29" i="23" s="1"/>
  <c r="AE29" i="23" s="1"/>
  <c r="AO29" i="23"/>
  <c r="BH29" i="23" s="1"/>
  <c r="AD29" i="23" s="1"/>
  <c r="AK29" i="23"/>
  <c r="AJ29" i="23"/>
  <c r="AH29" i="23"/>
  <c r="AG29" i="23"/>
  <c r="AF29" i="23"/>
  <c r="AC29" i="23"/>
  <c r="AB29" i="23"/>
  <c r="Z29" i="23"/>
  <c r="M29" i="23"/>
  <c r="BF29" i="23" s="1"/>
  <c r="K29" i="23"/>
  <c r="AL29" i="23" s="1"/>
  <c r="BJ27" i="23"/>
  <c r="Z27" i="23" s="1"/>
  <c r="BD27" i="23"/>
  <c r="AP27" i="23"/>
  <c r="BI27" i="23" s="1"/>
  <c r="AO27" i="23"/>
  <c r="AW27" i="23" s="1"/>
  <c r="AK27" i="23"/>
  <c r="AJ27" i="23"/>
  <c r="AH27" i="23"/>
  <c r="AG27" i="23"/>
  <c r="AF27" i="23"/>
  <c r="AE27" i="23"/>
  <c r="AD27" i="23"/>
  <c r="AC27" i="23"/>
  <c r="AB27" i="23"/>
  <c r="M27" i="23"/>
  <c r="BF27" i="23" s="1"/>
  <c r="K27" i="23"/>
  <c r="AL27" i="23" s="1"/>
  <c r="I27" i="23"/>
  <c r="BJ25" i="23"/>
  <c r="BD25" i="23"/>
  <c r="AP25" i="23"/>
  <c r="AX25" i="23" s="1"/>
  <c r="AO25" i="23"/>
  <c r="AW25" i="23" s="1"/>
  <c r="AK25" i="23"/>
  <c r="AJ25" i="23"/>
  <c r="AH25" i="23"/>
  <c r="AG25" i="23"/>
  <c r="AF25" i="23"/>
  <c r="AC25" i="23"/>
  <c r="AB25" i="23"/>
  <c r="Z25" i="23"/>
  <c r="M25" i="23"/>
  <c r="BF25" i="23" s="1"/>
  <c r="K25" i="23"/>
  <c r="AL25" i="23" s="1"/>
  <c r="BJ23" i="23"/>
  <c r="BD23" i="23"/>
  <c r="AP23" i="23"/>
  <c r="BI23" i="23" s="1"/>
  <c r="AE23" i="23" s="1"/>
  <c r="AO23" i="23"/>
  <c r="BH23" i="23" s="1"/>
  <c r="AD23" i="23" s="1"/>
  <c r="AK23" i="23"/>
  <c r="AJ23" i="23"/>
  <c r="AH23" i="23"/>
  <c r="AG23" i="23"/>
  <c r="AF23" i="23"/>
  <c r="AC23" i="23"/>
  <c r="AB23" i="23"/>
  <c r="Z23" i="23"/>
  <c r="M23" i="23"/>
  <c r="BF23" i="23" s="1"/>
  <c r="K23" i="23"/>
  <c r="AL23" i="23" s="1"/>
  <c r="BJ21" i="23"/>
  <c r="BD21" i="23"/>
  <c r="AW21" i="23"/>
  <c r="AP21" i="23"/>
  <c r="BI21" i="23" s="1"/>
  <c r="AE21" i="23" s="1"/>
  <c r="AO21" i="23"/>
  <c r="BH21" i="23" s="1"/>
  <c r="AD21" i="23" s="1"/>
  <c r="AK21" i="23"/>
  <c r="AJ21" i="23"/>
  <c r="AH21" i="23"/>
  <c r="AG21" i="23"/>
  <c r="AF21" i="23"/>
  <c r="AC21" i="23"/>
  <c r="AB21" i="23"/>
  <c r="Z21" i="23"/>
  <c r="M21" i="23"/>
  <c r="BF21" i="23" s="1"/>
  <c r="K21" i="23"/>
  <c r="AL21" i="23" s="1"/>
  <c r="J21" i="23"/>
  <c r="I21" i="23"/>
  <c r="BJ19" i="23"/>
  <c r="BD19" i="23"/>
  <c r="AP19" i="23"/>
  <c r="BI19" i="23" s="1"/>
  <c r="AE19" i="23" s="1"/>
  <c r="AO19" i="23"/>
  <c r="AW19" i="23" s="1"/>
  <c r="AK19" i="23"/>
  <c r="AJ19" i="23"/>
  <c r="AH19" i="23"/>
  <c r="AG19" i="23"/>
  <c r="AF19" i="23"/>
  <c r="AC19" i="23"/>
  <c r="AB19" i="23"/>
  <c r="Z19" i="23"/>
  <c r="M19" i="23"/>
  <c r="M12" i="23" s="1"/>
  <c r="K19" i="23"/>
  <c r="AL19" i="23" s="1"/>
  <c r="J19" i="23"/>
  <c r="I19" i="23"/>
  <c r="BJ17" i="23"/>
  <c r="BD17" i="23"/>
  <c r="AP17" i="23"/>
  <c r="AX17" i="23" s="1"/>
  <c r="AO17" i="23"/>
  <c r="AW17" i="23" s="1"/>
  <c r="AK17" i="23"/>
  <c r="AJ17" i="23"/>
  <c r="AH17" i="23"/>
  <c r="AG17" i="23"/>
  <c r="AF17" i="23"/>
  <c r="AC17" i="23"/>
  <c r="AB17" i="23"/>
  <c r="Z17" i="23"/>
  <c r="M17" i="23"/>
  <c r="BF17" i="23" s="1"/>
  <c r="K17" i="23"/>
  <c r="AL17" i="23" s="1"/>
  <c r="BJ15" i="23"/>
  <c r="BD15" i="23"/>
  <c r="AP15" i="23"/>
  <c r="BI15" i="23" s="1"/>
  <c r="AE15" i="23" s="1"/>
  <c r="AO15" i="23"/>
  <c r="BH15" i="23" s="1"/>
  <c r="AD15" i="23" s="1"/>
  <c r="AK15" i="23"/>
  <c r="AJ15" i="23"/>
  <c r="AH15" i="23"/>
  <c r="AG15" i="23"/>
  <c r="AF15" i="23"/>
  <c r="AC15" i="23"/>
  <c r="AB15" i="23"/>
  <c r="Z15" i="23"/>
  <c r="M15" i="23"/>
  <c r="BF15" i="23" s="1"/>
  <c r="K15" i="23"/>
  <c r="AL15" i="23" s="1"/>
  <c r="BJ13" i="23"/>
  <c r="BD13" i="23"/>
  <c r="AP13" i="23"/>
  <c r="BI13" i="23" s="1"/>
  <c r="AE13" i="23" s="1"/>
  <c r="AO13" i="23"/>
  <c r="BH13" i="23" s="1"/>
  <c r="AD13" i="23" s="1"/>
  <c r="AK13" i="23"/>
  <c r="AJ13" i="23"/>
  <c r="AH13" i="23"/>
  <c r="AG13" i="23"/>
  <c r="AF13" i="23"/>
  <c r="AC13" i="23"/>
  <c r="AB13" i="23"/>
  <c r="Z13" i="23"/>
  <c r="M13" i="23"/>
  <c r="BF13" i="23" s="1"/>
  <c r="K13" i="23"/>
  <c r="AL13" i="23" s="1"/>
  <c r="J13" i="23"/>
  <c r="I13" i="23"/>
  <c r="BF19" i="23" l="1"/>
  <c r="AX27" i="23"/>
  <c r="AX38" i="23"/>
  <c r="M42" i="23"/>
  <c r="AW46" i="23"/>
  <c r="BC46" i="23" s="1"/>
  <c r="I48" i="23"/>
  <c r="BI53" i="23"/>
  <c r="AE53" i="23" s="1"/>
  <c r="I60" i="23"/>
  <c r="AX67" i="23"/>
  <c r="AV67" i="23" s="1"/>
  <c r="AW79" i="23"/>
  <c r="I13" i="25"/>
  <c r="BH24" i="25"/>
  <c r="AD24" i="25" s="1"/>
  <c r="AW27" i="25"/>
  <c r="I28" i="25"/>
  <c r="AX40" i="25"/>
  <c r="AW45" i="25"/>
  <c r="I48" i="25"/>
  <c r="AW51" i="25"/>
  <c r="I52" i="25"/>
  <c r="I54" i="25"/>
  <c r="AX70" i="25"/>
  <c r="AW85" i="25"/>
  <c r="BC85" i="25" s="1"/>
  <c r="AW13" i="23"/>
  <c r="AW15" i="23"/>
  <c r="AX21" i="23"/>
  <c r="BC21" i="23" s="1"/>
  <c r="AW23" i="23"/>
  <c r="J27" i="23"/>
  <c r="AS28" i="23"/>
  <c r="AW30" i="23"/>
  <c r="BC30" i="23" s="1"/>
  <c r="AX34" i="23"/>
  <c r="I37" i="23"/>
  <c r="AW37" i="23"/>
  <c r="AX46" i="23"/>
  <c r="AW48" i="23"/>
  <c r="AW51" i="23"/>
  <c r="AX54" i="23"/>
  <c r="BC54" i="23" s="1"/>
  <c r="AW60" i="23"/>
  <c r="AV60" i="23" s="1"/>
  <c r="AX71" i="23"/>
  <c r="J79" i="23"/>
  <c r="AX79" i="23"/>
  <c r="AU80" i="23"/>
  <c r="M12" i="25"/>
  <c r="AX14" i="25"/>
  <c r="AW15" i="25"/>
  <c r="AW21" i="25"/>
  <c r="AW22" i="25"/>
  <c r="BC22" i="25" s="1"/>
  <c r="AW33" i="25"/>
  <c r="AW35" i="25"/>
  <c r="AW41" i="25"/>
  <c r="AX45" i="25"/>
  <c r="AV45" i="25" s="1"/>
  <c r="AW54" i="25"/>
  <c r="AW55" i="25"/>
  <c r="AW71" i="25"/>
  <c r="AW84" i="25"/>
  <c r="I85" i="25"/>
  <c r="AX85" i="25"/>
  <c r="AW87" i="25"/>
  <c r="BH58" i="23"/>
  <c r="AD58" i="23" s="1"/>
  <c r="AX13" i="23"/>
  <c r="AX30" i="23"/>
  <c r="AX37" i="23"/>
  <c r="J38" i="23"/>
  <c r="AX51" i="23"/>
  <c r="AW52" i="23"/>
  <c r="AW55" i="23"/>
  <c r="AV55" i="23" s="1"/>
  <c r="AX66" i="23"/>
  <c r="AX74" i="23"/>
  <c r="AW75" i="23"/>
  <c r="BC75" i="23" s="1"/>
  <c r="J83" i="23"/>
  <c r="J80" i="23" s="1"/>
  <c r="BI83" i="23"/>
  <c r="AC83" i="23" s="1"/>
  <c r="I25" i="25"/>
  <c r="BH67" i="25"/>
  <c r="AD67" i="25" s="1"/>
  <c r="I84" i="25"/>
  <c r="AW80" i="25"/>
  <c r="I83" i="25"/>
  <c r="AV85" i="25"/>
  <c r="J80" i="25"/>
  <c r="I81" i="25"/>
  <c r="I80" i="25"/>
  <c r="AW81" i="25"/>
  <c r="BH83" i="25"/>
  <c r="AD83" i="25" s="1"/>
  <c r="I78" i="25"/>
  <c r="I75" i="25"/>
  <c r="J74" i="25"/>
  <c r="AX75" i="25"/>
  <c r="I74" i="25"/>
  <c r="AW75" i="25"/>
  <c r="I70" i="25"/>
  <c r="AW70" i="25"/>
  <c r="AW68" i="25"/>
  <c r="J68" i="25"/>
  <c r="I68" i="25"/>
  <c r="J59" i="25"/>
  <c r="AX60" i="25"/>
  <c r="BC60" i="25" s="1"/>
  <c r="J63" i="25"/>
  <c r="AX64" i="25"/>
  <c r="BC64" i="25" s="1"/>
  <c r="AW57" i="25"/>
  <c r="I60" i="25"/>
  <c r="AW61" i="25"/>
  <c r="I64" i="25"/>
  <c r="AW65" i="25"/>
  <c r="J54" i="25"/>
  <c r="AX55" i="25"/>
  <c r="I55" i="25"/>
  <c r="J47" i="25"/>
  <c r="AW47" i="25"/>
  <c r="J49" i="25"/>
  <c r="AX50" i="25"/>
  <c r="BC50" i="25" s="1"/>
  <c r="I47" i="25"/>
  <c r="I50" i="25"/>
  <c r="K20" i="25"/>
  <c r="I43" i="25"/>
  <c r="BI43" i="25"/>
  <c r="AE43" i="25" s="1"/>
  <c r="BH43" i="25"/>
  <c r="AD43" i="25" s="1"/>
  <c r="I40" i="25"/>
  <c r="AW40" i="25"/>
  <c r="I37" i="25"/>
  <c r="AW38" i="25"/>
  <c r="AT20" i="25"/>
  <c r="J38" i="25"/>
  <c r="I38" i="25"/>
  <c r="J19" i="25"/>
  <c r="AX19" i="25"/>
  <c r="BC19" i="25" s="1"/>
  <c r="I22" i="25"/>
  <c r="AW23" i="25"/>
  <c r="J25" i="25"/>
  <c r="AX26" i="25"/>
  <c r="BC26" i="25" s="1"/>
  <c r="J29" i="25"/>
  <c r="AX30" i="25"/>
  <c r="J33" i="25"/>
  <c r="AW34" i="25"/>
  <c r="AV26" i="25"/>
  <c r="AV30" i="25"/>
  <c r="K12" i="25"/>
  <c r="J23" i="25"/>
  <c r="BI34" i="25"/>
  <c r="AE34" i="25" s="1"/>
  <c r="I23" i="25"/>
  <c r="I26" i="25"/>
  <c r="I30" i="25"/>
  <c r="I34" i="25"/>
  <c r="AV22" i="25"/>
  <c r="AL21" i="25"/>
  <c r="AS20" i="25"/>
  <c r="BC30" i="25"/>
  <c r="AX34" i="25"/>
  <c r="J13" i="25"/>
  <c r="AX15" i="25"/>
  <c r="AV15" i="25" s="1"/>
  <c r="AS12" i="25"/>
  <c r="AT12" i="25"/>
  <c r="J15" i="25"/>
  <c r="I15" i="25"/>
  <c r="AW16" i="25"/>
  <c r="AV16" i="25" s="1"/>
  <c r="K86" i="25"/>
  <c r="AT86" i="25"/>
  <c r="AS86" i="25"/>
  <c r="AV87" i="25"/>
  <c r="J87" i="25"/>
  <c r="AU86" i="25"/>
  <c r="I89" i="25"/>
  <c r="J89" i="25"/>
  <c r="BC73" i="25"/>
  <c r="AV73" i="25"/>
  <c r="AV14" i="25"/>
  <c r="BC14" i="25"/>
  <c r="AV18" i="25"/>
  <c r="BC18" i="25"/>
  <c r="AV28" i="25"/>
  <c r="BC28" i="25"/>
  <c r="BC52" i="25"/>
  <c r="AV52" i="25"/>
  <c r="BC58" i="25"/>
  <c r="AV58" i="25"/>
  <c r="AV62" i="25"/>
  <c r="BC62" i="25"/>
  <c r="AV84" i="25"/>
  <c r="BC24" i="25"/>
  <c r="AV24" i="25"/>
  <c r="AV48" i="25"/>
  <c r="BC48" i="25"/>
  <c r="AU20" i="25"/>
  <c r="BC37" i="25"/>
  <c r="AV37" i="25"/>
  <c r="BC43" i="25"/>
  <c r="AV43" i="25"/>
  <c r="BC83" i="25"/>
  <c r="BI37" i="25"/>
  <c r="AE37" i="25" s="1"/>
  <c r="BI58" i="25"/>
  <c r="AE58" i="25" s="1"/>
  <c r="BI13" i="25"/>
  <c r="AE13" i="25" s="1"/>
  <c r="BH37" i="25"/>
  <c r="AD37" i="25" s="1"/>
  <c r="BH52" i="25"/>
  <c r="AD52" i="25" s="1"/>
  <c r="BH62" i="25"/>
  <c r="AD62" i="25" s="1"/>
  <c r="BH73" i="25"/>
  <c r="AD73" i="25" s="1"/>
  <c r="BI26" i="25"/>
  <c r="AE26" i="25" s="1"/>
  <c r="BI40" i="25"/>
  <c r="AE40" i="25" s="1"/>
  <c r="BI60" i="25"/>
  <c r="AE60" i="25" s="1"/>
  <c r="BI64" i="25"/>
  <c r="AE64" i="25" s="1"/>
  <c r="BI70" i="25"/>
  <c r="AE70" i="25" s="1"/>
  <c r="BI81" i="25"/>
  <c r="AE81" i="25" s="1"/>
  <c r="AW13" i="25"/>
  <c r="I14" i="25"/>
  <c r="I19" i="25"/>
  <c r="AX23" i="25"/>
  <c r="BC23" i="25" s="1"/>
  <c r="J24" i="25"/>
  <c r="AX27" i="25"/>
  <c r="J28" i="25"/>
  <c r="AX31" i="25"/>
  <c r="AV31" i="25" s="1"/>
  <c r="J32" i="25"/>
  <c r="AX35" i="25"/>
  <c r="AV35" i="25" s="1"/>
  <c r="J37" i="25"/>
  <c r="AX41" i="25"/>
  <c r="J43" i="25"/>
  <c r="AX47" i="25"/>
  <c r="J48" i="25"/>
  <c r="AX51" i="25"/>
  <c r="BC51" i="25" s="1"/>
  <c r="J52" i="25"/>
  <c r="AX57" i="25"/>
  <c r="J58" i="25"/>
  <c r="AX61" i="25"/>
  <c r="BC61" i="25" s="1"/>
  <c r="J62" i="25"/>
  <c r="AX65" i="25"/>
  <c r="J67" i="25"/>
  <c r="AX71" i="25"/>
  <c r="J73" i="25"/>
  <c r="AX77" i="25"/>
  <c r="AV77" i="25" s="1"/>
  <c r="J78" i="25"/>
  <c r="AX82" i="25"/>
  <c r="AV82" i="25" s="1"/>
  <c r="J83" i="25"/>
  <c r="M86" i="25"/>
  <c r="BC87" i="25"/>
  <c r="AW89" i="25"/>
  <c r="BI48" i="25"/>
  <c r="AE48" i="25" s="1"/>
  <c r="BI52" i="25"/>
  <c r="AE52" i="25" s="1"/>
  <c r="BI73" i="25"/>
  <c r="AE73" i="25" s="1"/>
  <c r="BH58" i="25"/>
  <c r="AD58" i="25" s="1"/>
  <c r="BH78" i="25"/>
  <c r="AD78" i="25" s="1"/>
  <c r="I16" i="25"/>
  <c r="AX21" i="25"/>
  <c r="BC21" i="25" s="1"/>
  <c r="J22" i="25"/>
  <c r="AX25" i="25"/>
  <c r="BC25" i="25" s="1"/>
  <c r="AX29" i="25"/>
  <c r="BC29" i="25" s="1"/>
  <c r="J30" i="25"/>
  <c r="AX33" i="25"/>
  <c r="BC33" i="25" s="1"/>
  <c r="AX38" i="25"/>
  <c r="AX44" i="25"/>
  <c r="BC44" i="25" s="1"/>
  <c r="J45" i="25"/>
  <c r="AX49" i="25"/>
  <c r="BC49" i="25" s="1"/>
  <c r="J50" i="25"/>
  <c r="AX54" i="25"/>
  <c r="BC54" i="25" s="1"/>
  <c r="J55" i="25"/>
  <c r="AX59" i="25"/>
  <c r="BC59" i="25" s="1"/>
  <c r="AX63" i="25"/>
  <c r="BC63" i="25" s="1"/>
  <c r="AX68" i="25"/>
  <c r="BC68" i="25" s="1"/>
  <c r="AX74" i="25"/>
  <c r="BC74" i="25" s="1"/>
  <c r="J75" i="25"/>
  <c r="AX80" i="25"/>
  <c r="AX84" i="25"/>
  <c r="BC84" i="25" s="1"/>
  <c r="J85" i="25"/>
  <c r="I87" i="25"/>
  <c r="BH14" i="25"/>
  <c r="AD14" i="25" s="1"/>
  <c r="BH19" i="25"/>
  <c r="BI24" i="25"/>
  <c r="AE24" i="25" s="1"/>
  <c r="BI28" i="25"/>
  <c r="AE28" i="25" s="1"/>
  <c r="BI62" i="25"/>
  <c r="AE62" i="25" s="1"/>
  <c r="BI18" i="25"/>
  <c r="AE18" i="25" s="1"/>
  <c r="BH28" i="25"/>
  <c r="AD28" i="25" s="1"/>
  <c r="BH32" i="25"/>
  <c r="AD32" i="25" s="1"/>
  <c r="AL16" i="25"/>
  <c r="AU12" i="25" s="1"/>
  <c r="AX32" i="25"/>
  <c r="BC32" i="25" s="1"/>
  <c r="AX67" i="25"/>
  <c r="BC67" i="25" s="1"/>
  <c r="AX78" i="25"/>
  <c r="BC78" i="25" s="1"/>
  <c r="AX83" i="25"/>
  <c r="AV83" i="25" s="1"/>
  <c r="AV27" i="25"/>
  <c r="M20" i="25"/>
  <c r="I65" i="24"/>
  <c r="AS80" i="23"/>
  <c r="I81" i="23"/>
  <c r="I80" i="23" s="1"/>
  <c r="K80" i="23"/>
  <c r="AW81" i="23"/>
  <c r="AV81" i="23" s="1"/>
  <c r="AV71" i="23"/>
  <c r="AV79" i="23"/>
  <c r="I68" i="23"/>
  <c r="I76" i="23"/>
  <c r="AS65" i="23"/>
  <c r="AW72" i="23"/>
  <c r="J67" i="23"/>
  <c r="AW68" i="23"/>
  <c r="BC68" i="23" s="1"/>
  <c r="BC71" i="23"/>
  <c r="J75" i="23"/>
  <c r="AW76" i="23"/>
  <c r="BC76" i="23" s="1"/>
  <c r="BC79" i="23"/>
  <c r="AV75" i="23"/>
  <c r="I66" i="23"/>
  <c r="I70" i="23"/>
  <c r="I78" i="23"/>
  <c r="J68" i="23"/>
  <c r="I69" i="23"/>
  <c r="AW70" i="23"/>
  <c r="BC70" i="23" s="1"/>
  <c r="I72" i="23"/>
  <c r="J76" i="23"/>
  <c r="I77" i="23"/>
  <c r="AX78" i="23"/>
  <c r="BC78" i="23" s="1"/>
  <c r="AW62" i="23"/>
  <c r="J62" i="23"/>
  <c r="I62" i="23"/>
  <c r="AX62" i="23"/>
  <c r="BC60" i="23"/>
  <c r="I57" i="23"/>
  <c r="AT56" i="23"/>
  <c r="J60" i="23"/>
  <c r="K56" i="23"/>
  <c r="AX57" i="23"/>
  <c r="AS56" i="23"/>
  <c r="AW57" i="23"/>
  <c r="J59" i="23"/>
  <c r="AX60" i="23"/>
  <c r="J57" i="23"/>
  <c r="AV46" i="23"/>
  <c r="AV51" i="23"/>
  <c r="AW43" i="23"/>
  <c r="AT42" i="23"/>
  <c r="J46" i="23"/>
  <c r="J48" i="23"/>
  <c r="I49" i="23"/>
  <c r="AW50" i="23"/>
  <c r="AS42" i="23"/>
  <c r="AV54" i="23"/>
  <c r="J43" i="23"/>
  <c r="AW44" i="23"/>
  <c r="AV44" i="23" s="1"/>
  <c r="AX55" i="23"/>
  <c r="I43" i="23"/>
  <c r="AV47" i="23"/>
  <c r="J50" i="23"/>
  <c r="J52" i="23"/>
  <c r="I53" i="23"/>
  <c r="AX43" i="23"/>
  <c r="I50" i="23"/>
  <c r="AX50" i="23"/>
  <c r="I52" i="23"/>
  <c r="AV37" i="23"/>
  <c r="AT28" i="23"/>
  <c r="AX29" i="23"/>
  <c r="AV29" i="23" s="1"/>
  <c r="J32" i="23"/>
  <c r="I35" i="23"/>
  <c r="J40" i="23"/>
  <c r="I33" i="23"/>
  <c r="AV41" i="23"/>
  <c r="J29" i="23"/>
  <c r="J28" i="23" s="1"/>
  <c r="BH35" i="23"/>
  <c r="AD35" i="23" s="1"/>
  <c r="I38" i="23"/>
  <c r="BH40" i="23"/>
  <c r="AV34" i="23"/>
  <c r="I29" i="23"/>
  <c r="BC29" i="23"/>
  <c r="BH32" i="23"/>
  <c r="AD32" i="23" s="1"/>
  <c r="AW33" i="23"/>
  <c r="J35" i="23"/>
  <c r="AW38" i="23"/>
  <c r="AV38" i="23" s="1"/>
  <c r="I25" i="23"/>
  <c r="J23" i="23"/>
  <c r="I23" i="23"/>
  <c r="AS12" i="23"/>
  <c r="AX19" i="23"/>
  <c r="BC19" i="23" s="1"/>
  <c r="I17" i="23"/>
  <c r="AT12" i="23"/>
  <c r="J15" i="23"/>
  <c r="I15" i="23"/>
  <c r="AV13" i="23"/>
  <c r="BC13" i="23"/>
  <c r="BC17" i="23"/>
  <c r="AV17" i="23"/>
  <c r="BC25" i="23"/>
  <c r="AV25" i="23"/>
  <c r="AV27" i="23"/>
  <c r="BC27" i="23"/>
  <c r="AV36" i="23"/>
  <c r="BC36" i="23"/>
  <c r="AV58" i="23"/>
  <c r="BC58" i="23"/>
  <c r="BC74" i="23"/>
  <c r="AV74" i="23"/>
  <c r="BC52" i="23"/>
  <c r="AU65" i="23"/>
  <c r="AU12" i="23"/>
  <c r="BC53" i="23"/>
  <c r="AV53" i="23"/>
  <c r="BC73" i="23"/>
  <c r="AV73" i="23"/>
  <c r="BC69" i="23"/>
  <c r="AV69" i="23"/>
  <c r="BC49" i="23"/>
  <c r="AV49" i="23"/>
  <c r="AV64" i="23"/>
  <c r="BC64" i="23"/>
  <c r="BC31" i="23"/>
  <c r="AV31" i="23"/>
  <c r="BC39" i="23"/>
  <c r="AV39" i="23"/>
  <c r="AU28" i="23"/>
  <c r="AV66" i="23"/>
  <c r="BC66" i="23"/>
  <c r="BC35" i="23"/>
  <c r="AV35" i="23"/>
  <c r="BC45" i="23"/>
  <c r="AV45" i="23"/>
  <c r="AU42" i="23"/>
  <c r="AU56" i="23"/>
  <c r="AV40" i="23"/>
  <c r="BC40" i="23"/>
  <c r="AV32" i="23"/>
  <c r="BC32" i="23"/>
  <c r="BC77" i="23"/>
  <c r="AV77" i="23"/>
  <c r="BI17" i="23"/>
  <c r="AE17" i="23" s="1"/>
  <c r="BI25" i="23"/>
  <c r="AE25" i="23" s="1"/>
  <c r="BH36" i="23"/>
  <c r="AD36" i="23" s="1"/>
  <c r="BI73" i="23"/>
  <c r="AE73" i="23" s="1"/>
  <c r="BI31" i="23"/>
  <c r="AE31" i="23" s="1"/>
  <c r="BI58" i="23"/>
  <c r="AE58" i="23" s="1"/>
  <c r="BH73" i="23"/>
  <c r="AD73" i="23" s="1"/>
  <c r="BH77" i="23"/>
  <c r="AD77" i="23" s="1"/>
  <c r="BH31" i="23"/>
  <c r="AD31" i="23" s="1"/>
  <c r="BH39" i="23"/>
  <c r="M65" i="23"/>
  <c r="BI68" i="23"/>
  <c r="AE68" i="23" s="1"/>
  <c r="BI76" i="23"/>
  <c r="AE76" i="23" s="1"/>
  <c r="AX15" i="23"/>
  <c r="BC15" i="23" s="1"/>
  <c r="J17" i="23"/>
  <c r="BH19" i="23"/>
  <c r="AD19" i="23" s="1"/>
  <c r="AX23" i="23"/>
  <c r="BC23" i="23" s="1"/>
  <c r="J25" i="23"/>
  <c r="BH27" i="23"/>
  <c r="I32" i="23"/>
  <c r="BI32" i="23"/>
  <c r="AE32" i="23" s="1"/>
  <c r="BC34" i="23"/>
  <c r="I36" i="23"/>
  <c r="BI36" i="23"/>
  <c r="AE36" i="23" s="1"/>
  <c r="I40" i="23"/>
  <c r="BI40" i="23"/>
  <c r="AX44" i="23"/>
  <c r="J45" i="23"/>
  <c r="AX48" i="23"/>
  <c r="BC48" i="23" s="1"/>
  <c r="J49" i="23"/>
  <c r="AX52" i="23"/>
  <c r="AV52" i="23" s="1"/>
  <c r="J53" i="23"/>
  <c r="M56" i="23"/>
  <c r="BC57" i="23"/>
  <c r="I59" i="23"/>
  <c r="BI59" i="23"/>
  <c r="AE59" i="23" s="1"/>
  <c r="AW63" i="23"/>
  <c r="I64" i="23"/>
  <c r="BI64" i="23"/>
  <c r="BH66" i="23"/>
  <c r="AD66" i="23" s="1"/>
  <c r="J69" i="23"/>
  <c r="AX72" i="23"/>
  <c r="AV72" i="23" s="1"/>
  <c r="J73" i="23"/>
  <c r="BH74" i="23"/>
  <c r="AD74" i="23" s="1"/>
  <c r="J77" i="23"/>
  <c r="BH78" i="23"/>
  <c r="AD78" i="23" s="1"/>
  <c r="M80" i="23"/>
  <c r="BC81" i="23"/>
  <c r="AW83" i="23"/>
  <c r="BI45" i="23"/>
  <c r="AE45" i="23" s="1"/>
  <c r="BI49" i="23"/>
  <c r="AE49" i="23" s="1"/>
  <c r="BH64" i="23"/>
  <c r="BI69" i="23"/>
  <c r="AE69" i="23" s="1"/>
  <c r="BI77" i="23"/>
  <c r="AE77" i="23" s="1"/>
  <c r="K12" i="23"/>
  <c r="BH25" i="23"/>
  <c r="AD25" i="23" s="1"/>
  <c r="BI39" i="23"/>
  <c r="K42" i="23"/>
  <c r="BH45" i="23"/>
  <c r="AD45" i="23" s="1"/>
  <c r="BH49" i="23"/>
  <c r="AD49" i="23" s="1"/>
  <c r="BI63" i="23"/>
  <c r="AE63" i="23" s="1"/>
  <c r="BH69" i="23"/>
  <c r="AD69" i="23" s="1"/>
  <c r="K28" i="23"/>
  <c r="I71" i="23"/>
  <c r="I75" i="23"/>
  <c r="I79" i="23"/>
  <c r="M28" i="23"/>
  <c r="BI35" i="23"/>
  <c r="AE35" i="23" s="1"/>
  <c r="BH53" i="23"/>
  <c r="AD53" i="23" s="1"/>
  <c r="AV76" i="23"/>
  <c r="K65" i="23"/>
  <c r="AW59" i="23"/>
  <c r="BH17" i="23"/>
  <c r="AD17" i="23" s="1"/>
  <c r="AV23" i="23"/>
  <c r="J37" i="21"/>
  <c r="J36" i="21"/>
  <c r="AY74" i="1" s="1"/>
  <c r="J35" i="21"/>
  <c r="AX74" i="1" s="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8" i="21"/>
  <c r="BH88" i="21"/>
  <c r="BG88" i="21"/>
  <c r="BF88" i="21"/>
  <c r="T88" i="21"/>
  <c r="R88" i="21"/>
  <c r="P88" i="21"/>
  <c r="BI85" i="21"/>
  <c r="BH85" i="21"/>
  <c r="BG85" i="21"/>
  <c r="BF85" i="21"/>
  <c r="T85" i="21"/>
  <c r="R85" i="21"/>
  <c r="P85" i="21"/>
  <c r="J79" i="21"/>
  <c r="J78" i="21"/>
  <c r="F78" i="21"/>
  <c r="F76" i="21"/>
  <c r="E74" i="21"/>
  <c r="J55" i="21"/>
  <c r="J54" i="21"/>
  <c r="F54" i="21"/>
  <c r="F52" i="21"/>
  <c r="E50" i="21"/>
  <c r="J18" i="21"/>
  <c r="E18" i="21"/>
  <c r="F79" i="21" s="1"/>
  <c r="J17" i="21"/>
  <c r="J12" i="21"/>
  <c r="J76" i="21" s="1"/>
  <c r="E7" i="21"/>
  <c r="E48" i="21" s="1"/>
  <c r="J37" i="20"/>
  <c r="J36" i="20"/>
  <c r="AY73" i="1" s="1"/>
  <c r="J35" i="20"/>
  <c r="AX73" i="1" s="1"/>
  <c r="BI92" i="20"/>
  <c r="BH92" i="20"/>
  <c r="BG92" i="20"/>
  <c r="BF92" i="20"/>
  <c r="T92" i="20"/>
  <c r="T91" i="20" s="1"/>
  <c r="R92" i="20"/>
  <c r="R91" i="20" s="1"/>
  <c r="P92" i="20"/>
  <c r="P91" i="20"/>
  <c r="BI89" i="20"/>
  <c r="BH89" i="20"/>
  <c r="BG89" i="20"/>
  <c r="BF89" i="20"/>
  <c r="T89" i="20"/>
  <c r="R89" i="20"/>
  <c r="P89" i="20"/>
  <c r="BI87" i="20"/>
  <c r="BH87" i="20"/>
  <c r="BG87" i="20"/>
  <c r="BF87" i="20"/>
  <c r="T87" i="20"/>
  <c r="R87" i="20"/>
  <c r="P87" i="20"/>
  <c r="BI85" i="20"/>
  <c r="BH85" i="20"/>
  <c r="BG85" i="20"/>
  <c r="BF85" i="20"/>
  <c r="T85" i="20"/>
  <c r="R85" i="20"/>
  <c r="P85" i="20"/>
  <c r="J79" i="20"/>
  <c r="J78" i="20"/>
  <c r="F78" i="20"/>
  <c r="F76" i="20"/>
  <c r="E74" i="20"/>
  <c r="J55" i="20"/>
  <c r="J54" i="20"/>
  <c r="F54" i="20"/>
  <c r="F52" i="20"/>
  <c r="E50" i="20"/>
  <c r="J18" i="20"/>
  <c r="E18" i="20"/>
  <c r="F79" i="20" s="1"/>
  <c r="J17" i="20"/>
  <c r="J12" i="20"/>
  <c r="J76" i="20" s="1"/>
  <c r="E7" i="20"/>
  <c r="E72" i="20" s="1"/>
  <c r="J37" i="19"/>
  <c r="J36" i="19"/>
  <c r="AY72" i="1" s="1"/>
  <c r="J35" i="19"/>
  <c r="AX72" i="1" s="1"/>
  <c r="BI441" i="19"/>
  <c r="BH441" i="19"/>
  <c r="BG441" i="19"/>
  <c r="BF441" i="19"/>
  <c r="T441" i="19"/>
  <c r="T440" i="19" s="1"/>
  <c r="R441" i="19"/>
  <c r="R440" i="19" s="1"/>
  <c r="P441" i="19"/>
  <c r="P440" i="19" s="1"/>
  <c r="BI436" i="19"/>
  <c r="BH436" i="19"/>
  <c r="BG436" i="19"/>
  <c r="BF436" i="19"/>
  <c r="T436" i="19"/>
  <c r="R436" i="19"/>
  <c r="P436" i="19"/>
  <c r="BI432" i="19"/>
  <c r="BH432" i="19"/>
  <c r="BG432" i="19"/>
  <c r="BF432" i="19"/>
  <c r="T432" i="19"/>
  <c r="R432" i="19"/>
  <c r="P432" i="19"/>
  <c r="BI429" i="19"/>
  <c r="BH429" i="19"/>
  <c r="BG429" i="19"/>
  <c r="BF429" i="19"/>
  <c r="T429" i="19"/>
  <c r="R429" i="19"/>
  <c r="P429" i="19"/>
  <c r="BI426" i="19"/>
  <c r="BH426" i="19"/>
  <c r="BG426" i="19"/>
  <c r="BF426" i="19"/>
  <c r="T426" i="19"/>
  <c r="T425" i="19" s="1"/>
  <c r="R426" i="19"/>
  <c r="R425" i="19" s="1"/>
  <c r="P426" i="19"/>
  <c r="P425" i="19" s="1"/>
  <c r="BI421" i="19"/>
  <c r="BH421" i="19"/>
  <c r="BG421" i="19"/>
  <c r="BF421" i="19"/>
  <c r="T421" i="19"/>
  <c r="R421" i="19"/>
  <c r="P421" i="19"/>
  <c r="BI417" i="19"/>
  <c r="BH417" i="19"/>
  <c r="BG417" i="19"/>
  <c r="BF417" i="19"/>
  <c r="T417" i="19"/>
  <c r="R417" i="19"/>
  <c r="P417" i="19"/>
  <c r="BI413" i="19"/>
  <c r="BH413" i="19"/>
  <c r="BG413" i="19"/>
  <c r="BF413" i="19"/>
  <c r="T413" i="19"/>
  <c r="R413" i="19"/>
  <c r="P413" i="19"/>
  <c r="BI409" i="19"/>
  <c r="BH409" i="19"/>
  <c r="BG409" i="19"/>
  <c r="BF409" i="19"/>
  <c r="T409" i="19"/>
  <c r="R409" i="19"/>
  <c r="P409" i="19"/>
  <c r="BI405" i="19"/>
  <c r="BH405" i="19"/>
  <c r="BG405" i="19"/>
  <c r="BF405" i="19"/>
  <c r="T405" i="19"/>
  <c r="R405" i="19"/>
  <c r="P405" i="19"/>
  <c r="BI400" i="19"/>
  <c r="BH400" i="19"/>
  <c r="BG400" i="19"/>
  <c r="BF400" i="19"/>
  <c r="T400" i="19"/>
  <c r="R400" i="19"/>
  <c r="P400" i="19"/>
  <c r="BI396" i="19"/>
  <c r="BH396" i="19"/>
  <c r="BG396" i="19"/>
  <c r="BF396" i="19"/>
  <c r="T396" i="19"/>
  <c r="R396" i="19"/>
  <c r="P396" i="19"/>
  <c r="BI392" i="19"/>
  <c r="BH392" i="19"/>
  <c r="BG392" i="19"/>
  <c r="BF392" i="19"/>
  <c r="T392" i="19"/>
  <c r="R392" i="19"/>
  <c r="P392" i="19"/>
  <c r="BI388" i="19"/>
  <c r="BH388" i="19"/>
  <c r="BG388" i="19"/>
  <c r="BF388" i="19"/>
  <c r="T388" i="19"/>
  <c r="R388" i="19"/>
  <c r="P388" i="19"/>
  <c r="BI386" i="19"/>
  <c r="BH386" i="19"/>
  <c r="BG386" i="19"/>
  <c r="BF386" i="19"/>
  <c r="T386" i="19"/>
  <c r="R386" i="19"/>
  <c r="P386" i="19"/>
  <c r="BI382" i="19"/>
  <c r="BH382" i="19"/>
  <c r="BG382" i="19"/>
  <c r="BF382" i="19"/>
  <c r="T382" i="19"/>
  <c r="R382" i="19"/>
  <c r="P382" i="19"/>
  <c r="BI378" i="19"/>
  <c r="BH378" i="19"/>
  <c r="BG378" i="19"/>
  <c r="BF378" i="19"/>
  <c r="T378" i="19"/>
  <c r="R378" i="19"/>
  <c r="P378" i="19"/>
  <c r="BI375" i="19"/>
  <c r="BH375" i="19"/>
  <c r="BG375" i="19"/>
  <c r="BF375" i="19"/>
  <c r="T375" i="19"/>
  <c r="R375" i="19"/>
  <c r="P375" i="19"/>
  <c r="BI372" i="19"/>
  <c r="BH372" i="19"/>
  <c r="BG372" i="19"/>
  <c r="BF372" i="19"/>
  <c r="T372" i="19"/>
  <c r="R372" i="19"/>
  <c r="P372" i="19"/>
  <c r="BI369" i="19"/>
  <c r="BH369" i="19"/>
  <c r="BG369" i="19"/>
  <c r="BF369" i="19"/>
  <c r="T369" i="19"/>
  <c r="R369" i="19"/>
  <c r="P369" i="19"/>
  <c r="BI366" i="19"/>
  <c r="BH366" i="19"/>
  <c r="BG366" i="19"/>
  <c r="BF366" i="19"/>
  <c r="T366" i="19"/>
  <c r="R366" i="19"/>
  <c r="P366" i="19"/>
  <c r="BI363" i="19"/>
  <c r="BH363" i="19"/>
  <c r="BG363" i="19"/>
  <c r="BF363" i="19"/>
  <c r="T363" i="19"/>
  <c r="R363" i="19"/>
  <c r="P363" i="19"/>
  <c r="BI360" i="19"/>
  <c r="BH360" i="19"/>
  <c r="BG360" i="19"/>
  <c r="BF360" i="19"/>
  <c r="T360" i="19"/>
  <c r="R360" i="19"/>
  <c r="P360" i="19"/>
  <c r="BI357" i="19"/>
  <c r="BH357" i="19"/>
  <c r="BG357" i="19"/>
  <c r="BF357" i="19"/>
  <c r="T357" i="19"/>
  <c r="R357" i="19"/>
  <c r="P357" i="19"/>
  <c r="BI354" i="19"/>
  <c r="BH354" i="19"/>
  <c r="BG354" i="19"/>
  <c r="BF354" i="19"/>
  <c r="T354" i="19"/>
  <c r="R354" i="19"/>
  <c r="P354" i="19"/>
  <c r="BI350" i="19"/>
  <c r="BH350" i="19"/>
  <c r="BG350" i="19"/>
  <c r="BF350" i="19"/>
  <c r="T350" i="19"/>
  <c r="R350" i="19"/>
  <c r="P350" i="19"/>
  <c r="BI346" i="19"/>
  <c r="BH346" i="19"/>
  <c r="BG346" i="19"/>
  <c r="BF346" i="19"/>
  <c r="T346" i="19"/>
  <c r="R346" i="19"/>
  <c r="P346" i="19"/>
  <c r="BI342" i="19"/>
  <c r="BH342" i="19"/>
  <c r="BG342" i="19"/>
  <c r="BF342" i="19"/>
  <c r="T342" i="19"/>
  <c r="R342" i="19"/>
  <c r="P342" i="19"/>
  <c r="BI339" i="19"/>
  <c r="BH339" i="19"/>
  <c r="BG339" i="19"/>
  <c r="BF339" i="19"/>
  <c r="T339" i="19"/>
  <c r="R339" i="19"/>
  <c r="P339" i="19"/>
  <c r="BI336" i="19"/>
  <c r="BH336" i="19"/>
  <c r="BG336" i="19"/>
  <c r="BF336" i="19"/>
  <c r="T336" i="19"/>
  <c r="R336" i="19"/>
  <c r="P336" i="19"/>
  <c r="BI332" i="19"/>
  <c r="BH332" i="19"/>
  <c r="BG332" i="19"/>
  <c r="BF332" i="19"/>
  <c r="T332" i="19"/>
  <c r="R332" i="19"/>
  <c r="P332" i="19"/>
  <c r="BI328" i="19"/>
  <c r="BH328" i="19"/>
  <c r="BG328" i="19"/>
  <c r="BF328" i="19"/>
  <c r="T328" i="19"/>
  <c r="R328" i="19"/>
  <c r="P328" i="19"/>
  <c r="BI323" i="19"/>
  <c r="BH323" i="19"/>
  <c r="BG323" i="19"/>
  <c r="BF323" i="19"/>
  <c r="T323" i="19"/>
  <c r="R323" i="19"/>
  <c r="P323" i="19"/>
  <c r="BI319" i="19"/>
  <c r="BH319" i="19"/>
  <c r="BG319" i="19"/>
  <c r="BF319" i="19"/>
  <c r="T319" i="19"/>
  <c r="R319" i="19"/>
  <c r="P319" i="19"/>
  <c r="BI315" i="19"/>
  <c r="BH315" i="19"/>
  <c r="BG315" i="19"/>
  <c r="BF315" i="19"/>
  <c r="T315" i="19"/>
  <c r="R315" i="19"/>
  <c r="P315" i="19"/>
  <c r="BI311" i="19"/>
  <c r="BH311" i="19"/>
  <c r="BG311" i="19"/>
  <c r="BF311" i="19"/>
  <c r="T311" i="19"/>
  <c r="R311" i="19"/>
  <c r="P311" i="19"/>
  <c r="BI308" i="19"/>
  <c r="BH308" i="19"/>
  <c r="BG308" i="19"/>
  <c r="BF308" i="19"/>
  <c r="T308" i="19"/>
  <c r="R308" i="19"/>
  <c r="P308" i="19"/>
  <c r="BI305" i="19"/>
  <c r="BH305" i="19"/>
  <c r="BG305" i="19"/>
  <c r="BF305" i="19"/>
  <c r="T305" i="19"/>
  <c r="R305" i="19"/>
  <c r="P305" i="19"/>
  <c r="BI301" i="19"/>
  <c r="BH301" i="19"/>
  <c r="BG301" i="19"/>
  <c r="BF301" i="19"/>
  <c r="T301" i="19"/>
  <c r="R301" i="19"/>
  <c r="P301" i="19"/>
  <c r="BI297" i="19"/>
  <c r="BH297" i="19"/>
  <c r="BG297" i="19"/>
  <c r="BF297" i="19"/>
  <c r="T297" i="19"/>
  <c r="R297" i="19"/>
  <c r="P297" i="19"/>
  <c r="BI293" i="19"/>
  <c r="BH293" i="19"/>
  <c r="BG293" i="19"/>
  <c r="BF293" i="19"/>
  <c r="T293" i="19"/>
  <c r="R293" i="19"/>
  <c r="P293" i="19"/>
  <c r="BI289" i="19"/>
  <c r="BH289" i="19"/>
  <c r="BG289" i="19"/>
  <c r="BF289" i="19"/>
  <c r="T289" i="19"/>
  <c r="R289" i="19"/>
  <c r="P289" i="19"/>
  <c r="BI285" i="19"/>
  <c r="BH285" i="19"/>
  <c r="BG285" i="19"/>
  <c r="BF285" i="19"/>
  <c r="T285" i="19"/>
  <c r="R285" i="19"/>
  <c r="P285" i="19"/>
  <c r="BI281" i="19"/>
  <c r="BH281" i="19"/>
  <c r="BG281" i="19"/>
  <c r="BF281" i="19"/>
  <c r="T281" i="19"/>
  <c r="R281" i="19"/>
  <c r="P281" i="19"/>
  <c r="BI277" i="19"/>
  <c r="BH277" i="19"/>
  <c r="BG277" i="19"/>
  <c r="BF277" i="19"/>
  <c r="T277" i="19"/>
  <c r="R277" i="19"/>
  <c r="P277" i="19"/>
  <c r="BI274" i="19"/>
  <c r="BH274" i="19"/>
  <c r="BG274" i="19"/>
  <c r="BF274" i="19"/>
  <c r="T274" i="19"/>
  <c r="R274" i="19"/>
  <c r="P274" i="19"/>
  <c r="BI271" i="19"/>
  <c r="BH271" i="19"/>
  <c r="BG271" i="19"/>
  <c r="BF271" i="19"/>
  <c r="T271" i="19"/>
  <c r="R271" i="19"/>
  <c r="P271" i="19"/>
  <c r="BI268" i="19"/>
  <c r="BH268" i="19"/>
  <c r="BG268" i="19"/>
  <c r="BF268" i="19"/>
  <c r="T268" i="19"/>
  <c r="R268" i="19"/>
  <c r="P268" i="19"/>
  <c r="BI265" i="19"/>
  <c r="BH265" i="19"/>
  <c r="BG265" i="19"/>
  <c r="BF265" i="19"/>
  <c r="T265" i="19"/>
  <c r="R265" i="19"/>
  <c r="P265" i="19"/>
  <c r="BI262" i="19"/>
  <c r="BH262" i="19"/>
  <c r="BG262" i="19"/>
  <c r="BF262" i="19"/>
  <c r="T262" i="19"/>
  <c r="R262" i="19"/>
  <c r="P262" i="19"/>
  <c r="BI259" i="19"/>
  <c r="BH259" i="19"/>
  <c r="BG259" i="19"/>
  <c r="BF259" i="19"/>
  <c r="T259" i="19"/>
  <c r="R259" i="19"/>
  <c r="P259" i="19"/>
  <c r="BI256" i="19"/>
  <c r="BH256" i="19"/>
  <c r="BG256" i="19"/>
  <c r="BF256" i="19"/>
  <c r="T256" i="19"/>
  <c r="R256" i="19"/>
  <c r="P256" i="19"/>
  <c r="BI253" i="19"/>
  <c r="BH253" i="19"/>
  <c r="BG253" i="19"/>
  <c r="BF253" i="19"/>
  <c r="T253" i="19"/>
  <c r="R253" i="19"/>
  <c r="P253" i="19"/>
  <c r="BI250" i="19"/>
  <c r="BH250" i="19"/>
  <c r="BG250" i="19"/>
  <c r="BF250" i="19"/>
  <c r="T250" i="19"/>
  <c r="R250" i="19"/>
  <c r="P250" i="19"/>
  <c r="BI248" i="19"/>
  <c r="BH248" i="19"/>
  <c r="BG248" i="19"/>
  <c r="BF248" i="19"/>
  <c r="T248" i="19"/>
  <c r="R248" i="19"/>
  <c r="P248" i="19"/>
  <c r="BI245" i="19"/>
  <c r="BH245" i="19"/>
  <c r="BG245" i="19"/>
  <c r="BF245" i="19"/>
  <c r="T245" i="19"/>
  <c r="R245" i="19"/>
  <c r="P245" i="19"/>
  <c r="BI243" i="19"/>
  <c r="BH243" i="19"/>
  <c r="BG243" i="19"/>
  <c r="BF243" i="19"/>
  <c r="T243" i="19"/>
  <c r="R243" i="19"/>
  <c r="P243" i="19"/>
  <c r="BI241" i="19"/>
  <c r="BH241" i="19"/>
  <c r="BG241" i="19"/>
  <c r="BF241" i="19"/>
  <c r="T241" i="19"/>
  <c r="R241" i="19"/>
  <c r="P241" i="19"/>
  <c r="BI239" i="19"/>
  <c r="BH239" i="19"/>
  <c r="BG239" i="19"/>
  <c r="BF239" i="19"/>
  <c r="T239" i="19"/>
  <c r="R239" i="19"/>
  <c r="P239" i="19"/>
  <c r="BI235" i="19"/>
  <c r="BH235" i="19"/>
  <c r="BG235" i="19"/>
  <c r="BF235" i="19"/>
  <c r="T235" i="19"/>
  <c r="R235" i="19"/>
  <c r="P235" i="19"/>
  <c r="BI231" i="19"/>
  <c r="BH231" i="19"/>
  <c r="BG231" i="19"/>
  <c r="BF231" i="19"/>
  <c r="T231" i="19"/>
  <c r="R231" i="19"/>
  <c r="P231" i="19"/>
  <c r="BI228" i="19"/>
  <c r="BH228" i="19"/>
  <c r="BG228" i="19"/>
  <c r="BF228" i="19"/>
  <c r="T228" i="19"/>
  <c r="R228" i="19"/>
  <c r="P228" i="19"/>
  <c r="BI225" i="19"/>
  <c r="BH225" i="19"/>
  <c r="BG225" i="19"/>
  <c r="BF225" i="19"/>
  <c r="T225" i="19"/>
  <c r="R225" i="19"/>
  <c r="P225" i="19"/>
  <c r="BI222" i="19"/>
  <c r="BH222" i="19"/>
  <c r="BG222" i="19"/>
  <c r="BF222" i="19"/>
  <c r="T222" i="19"/>
  <c r="R222" i="19"/>
  <c r="P222" i="19"/>
  <c r="BI219" i="19"/>
  <c r="BH219" i="19"/>
  <c r="BG219" i="19"/>
  <c r="BF219" i="19"/>
  <c r="T219" i="19"/>
  <c r="R219" i="19"/>
  <c r="P219" i="19"/>
  <c r="BI215" i="19"/>
  <c r="BH215" i="19"/>
  <c r="BG215" i="19"/>
  <c r="BF215" i="19"/>
  <c r="T215" i="19"/>
  <c r="R215" i="19"/>
  <c r="P215" i="19"/>
  <c r="BI211" i="19"/>
  <c r="BH211" i="19"/>
  <c r="BG211" i="19"/>
  <c r="BF211" i="19"/>
  <c r="T211" i="19"/>
  <c r="R211" i="19"/>
  <c r="P211" i="19"/>
  <c r="BI206" i="19"/>
  <c r="BH206" i="19"/>
  <c r="BG206" i="19"/>
  <c r="BF206" i="19"/>
  <c r="T206" i="19"/>
  <c r="R206" i="19"/>
  <c r="P206" i="19"/>
  <c r="BI201" i="19"/>
  <c r="BH201" i="19"/>
  <c r="BG201" i="19"/>
  <c r="BF201" i="19"/>
  <c r="T201" i="19"/>
  <c r="R201" i="19"/>
  <c r="P201" i="19"/>
  <c r="BI197" i="19"/>
  <c r="BH197" i="19"/>
  <c r="BG197" i="19"/>
  <c r="BF197" i="19"/>
  <c r="T197" i="19"/>
  <c r="R197" i="19"/>
  <c r="P197" i="19"/>
  <c r="BI193" i="19"/>
  <c r="BH193" i="19"/>
  <c r="BG193" i="19"/>
  <c r="BF193" i="19"/>
  <c r="T193" i="19"/>
  <c r="R193" i="19"/>
  <c r="P193" i="19"/>
  <c r="BI189" i="19"/>
  <c r="BH189" i="19"/>
  <c r="BG189" i="19"/>
  <c r="BF189" i="19"/>
  <c r="T189" i="19"/>
  <c r="R189" i="19"/>
  <c r="P189" i="19"/>
  <c r="BI185" i="19"/>
  <c r="BH185" i="19"/>
  <c r="BG185" i="19"/>
  <c r="BF185" i="19"/>
  <c r="T185" i="19"/>
  <c r="R185" i="19"/>
  <c r="P185" i="19"/>
  <c r="BI181" i="19"/>
  <c r="BH181" i="19"/>
  <c r="BG181" i="19"/>
  <c r="BF181" i="19"/>
  <c r="T181" i="19"/>
  <c r="R181" i="19"/>
  <c r="P181" i="19"/>
  <c r="BI177" i="19"/>
  <c r="BH177" i="19"/>
  <c r="BG177" i="19"/>
  <c r="BF177" i="19"/>
  <c r="T177" i="19"/>
  <c r="R177" i="19"/>
  <c r="P177" i="19"/>
  <c r="BI173" i="19"/>
  <c r="BH173" i="19"/>
  <c r="BG173" i="19"/>
  <c r="BF173" i="19"/>
  <c r="T173" i="19"/>
  <c r="R173" i="19"/>
  <c r="P173" i="19"/>
  <c r="BI169" i="19"/>
  <c r="BH169" i="19"/>
  <c r="BG169" i="19"/>
  <c r="BF169" i="19"/>
  <c r="T169" i="19"/>
  <c r="R169" i="19"/>
  <c r="P169" i="19"/>
  <c r="BI165" i="19"/>
  <c r="BH165" i="19"/>
  <c r="BG165" i="19"/>
  <c r="BF165" i="19"/>
  <c r="T165" i="19"/>
  <c r="R165" i="19"/>
  <c r="P165" i="19"/>
  <c r="BI160" i="19"/>
  <c r="BH160" i="19"/>
  <c r="BG160" i="19"/>
  <c r="BF160" i="19"/>
  <c r="T160" i="19"/>
  <c r="R160" i="19"/>
  <c r="P160" i="19"/>
  <c r="BI154" i="19"/>
  <c r="BH154" i="19"/>
  <c r="BG154" i="19"/>
  <c r="BF154" i="19"/>
  <c r="T154" i="19"/>
  <c r="T153" i="19" s="1"/>
  <c r="R154" i="19"/>
  <c r="R153" i="19" s="1"/>
  <c r="P154" i="19"/>
  <c r="P153" i="19" s="1"/>
  <c r="BI151" i="19"/>
  <c r="BH151" i="19"/>
  <c r="BG151" i="19"/>
  <c r="BF151" i="19"/>
  <c r="T151" i="19"/>
  <c r="R151" i="19"/>
  <c r="P151" i="19"/>
  <c r="BI149" i="19"/>
  <c r="BH149" i="19"/>
  <c r="BG149" i="19"/>
  <c r="BF149" i="19"/>
  <c r="T149" i="19"/>
  <c r="R149" i="19"/>
  <c r="P149" i="19"/>
  <c r="BI145" i="19"/>
  <c r="BH145" i="19"/>
  <c r="BG145" i="19"/>
  <c r="BF145" i="19"/>
  <c r="T145" i="19"/>
  <c r="R145" i="19"/>
  <c r="P145" i="19"/>
  <c r="BI141" i="19"/>
  <c r="BH141" i="19"/>
  <c r="BG141" i="19"/>
  <c r="BF141" i="19"/>
  <c r="T141" i="19"/>
  <c r="R141" i="19"/>
  <c r="P141" i="19"/>
  <c r="BI138" i="19"/>
  <c r="BH138" i="19"/>
  <c r="BG138" i="19"/>
  <c r="BF138" i="19"/>
  <c r="T138" i="19"/>
  <c r="R138" i="19"/>
  <c r="P138" i="19"/>
  <c r="BI132" i="19"/>
  <c r="BH132" i="19"/>
  <c r="BG132" i="19"/>
  <c r="BF132" i="19"/>
  <c r="T132" i="19"/>
  <c r="T131" i="19" s="1"/>
  <c r="R132" i="19"/>
  <c r="R131" i="19"/>
  <c r="P132" i="19"/>
  <c r="P131" i="19" s="1"/>
  <c r="BI128" i="19"/>
  <c r="BH128" i="19"/>
  <c r="BG128" i="19"/>
  <c r="BF128" i="19"/>
  <c r="T128" i="19"/>
  <c r="R128" i="19"/>
  <c r="P128" i="19"/>
  <c r="BI123" i="19"/>
  <c r="BH123" i="19"/>
  <c r="BG123" i="19"/>
  <c r="BF123" i="19"/>
  <c r="T123" i="19"/>
  <c r="R123" i="19"/>
  <c r="P123" i="19"/>
  <c r="BI118" i="19"/>
  <c r="BH118" i="19"/>
  <c r="BG118" i="19"/>
  <c r="BF118" i="19"/>
  <c r="T118" i="19"/>
  <c r="R118" i="19"/>
  <c r="P118" i="19"/>
  <c r="BI114" i="19"/>
  <c r="BH114" i="19"/>
  <c r="BG114" i="19"/>
  <c r="BF114" i="19"/>
  <c r="T114" i="19"/>
  <c r="R114" i="19"/>
  <c r="P114" i="19"/>
  <c r="BI109" i="19"/>
  <c r="BH109" i="19"/>
  <c r="BG109" i="19"/>
  <c r="BF109" i="19"/>
  <c r="T109" i="19"/>
  <c r="R109" i="19"/>
  <c r="P109" i="19"/>
  <c r="BI104" i="19"/>
  <c r="BH104" i="19"/>
  <c r="BG104" i="19"/>
  <c r="BF104" i="19"/>
  <c r="T104" i="19"/>
  <c r="R104" i="19"/>
  <c r="P104" i="19"/>
  <c r="BI100" i="19"/>
  <c r="BH100" i="19"/>
  <c r="BG100" i="19"/>
  <c r="BF100" i="19"/>
  <c r="T100" i="19"/>
  <c r="R100" i="19"/>
  <c r="P100" i="19"/>
  <c r="BI96" i="19"/>
  <c r="BH96" i="19"/>
  <c r="BG96" i="19"/>
  <c r="BF96" i="19"/>
  <c r="T96" i="19"/>
  <c r="R96" i="19"/>
  <c r="P96" i="19"/>
  <c r="J90" i="19"/>
  <c r="J89" i="19"/>
  <c r="F89" i="19"/>
  <c r="F87" i="19"/>
  <c r="E85" i="19"/>
  <c r="J55" i="19"/>
  <c r="J54" i="19"/>
  <c r="F54" i="19"/>
  <c r="F52" i="19"/>
  <c r="E50" i="19"/>
  <c r="J18" i="19"/>
  <c r="E18" i="19"/>
  <c r="F90" i="19" s="1"/>
  <c r="J17" i="19"/>
  <c r="J12" i="19"/>
  <c r="J52" i="19" s="1"/>
  <c r="E7" i="19"/>
  <c r="E83" i="19" s="1"/>
  <c r="J37" i="18"/>
  <c r="J36" i="18"/>
  <c r="AY71" i="1" s="1"/>
  <c r="J35" i="18"/>
  <c r="AX71" i="1"/>
  <c r="BI92" i="18"/>
  <c r="BH92" i="18"/>
  <c r="BG92" i="18"/>
  <c r="BF92" i="18"/>
  <c r="T92" i="18"/>
  <c r="T91" i="18" s="1"/>
  <c r="R92" i="18"/>
  <c r="R91" i="18" s="1"/>
  <c r="P92" i="18"/>
  <c r="P91" i="18" s="1"/>
  <c r="BI89" i="18"/>
  <c r="BH89" i="18"/>
  <c r="BG89" i="18"/>
  <c r="BF89" i="18"/>
  <c r="T89" i="18"/>
  <c r="R89" i="18"/>
  <c r="P89" i="18"/>
  <c r="BI87" i="18"/>
  <c r="BH87" i="18"/>
  <c r="BG87" i="18"/>
  <c r="BF87" i="18"/>
  <c r="T87" i="18"/>
  <c r="R87" i="18"/>
  <c r="P87" i="18"/>
  <c r="BI85" i="18"/>
  <c r="BH85" i="18"/>
  <c r="BG85" i="18"/>
  <c r="BF85" i="18"/>
  <c r="T85" i="18"/>
  <c r="R85" i="18"/>
  <c r="P85" i="18"/>
  <c r="J79" i="18"/>
  <c r="J78" i="18"/>
  <c r="F78" i="18"/>
  <c r="F76" i="18"/>
  <c r="E74" i="18"/>
  <c r="J55" i="18"/>
  <c r="J54" i="18"/>
  <c r="F54" i="18"/>
  <c r="F52" i="18"/>
  <c r="E50" i="18"/>
  <c r="J18" i="18"/>
  <c r="E18" i="18"/>
  <c r="F79" i="18" s="1"/>
  <c r="J17" i="18"/>
  <c r="J12" i="18"/>
  <c r="J76" i="18"/>
  <c r="E7" i="18"/>
  <c r="E72" i="18" s="1"/>
  <c r="J37" i="17"/>
  <c r="J36" i="17"/>
  <c r="AY70" i="1" s="1"/>
  <c r="J35" i="17"/>
  <c r="AX70" i="1" s="1"/>
  <c r="BI96" i="17"/>
  <c r="BH96" i="17"/>
  <c r="BG96" i="17"/>
  <c r="BF96" i="17"/>
  <c r="T96" i="17"/>
  <c r="T95" i="17" s="1"/>
  <c r="R96" i="17"/>
  <c r="R95" i="17" s="1"/>
  <c r="P96" i="17"/>
  <c r="P95" i="17"/>
  <c r="BI93" i="17"/>
  <c r="BH93" i="17"/>
  <c r="BG93" i="17"/>
  <c r="BF93" i="17"/>
  <c r="T93" i="17"/>
  <c r="R93" i="17"/>
  <c r="P93" i="17"/>
  <c r="BI91" i="17"/>
  <c r="BH91" i="17"/>
  <c r="BG91" i="17"/>
  <c r="BF91" i="17"/>
  <c r="T91" i="17"/>
  <c r="R91" i="17"/>
  <c r="P91" i="17"/>
  <c r="BI89" i="17"/>
  <c r="BH89" i="17"/>
  <c r="BG89" i="17"/>
  <c r="BF89" i="17"/>
  <c r="T89" i="17"/>
  <c r="R89" i="17"/>
  <c r="P89" i="17"/>
  <c r="BI87" i="17"/>
  <c r="BH87" i="17"/>
  <c r="BG87" i="17"/>
  <c r="BF87" i="17"/>
  <c r="T87" i="17"/>
  <c r="R87" i="17"/>
  <c r="P87" i="17"/>
  <c r="BI85" i="17"/>
  <c r="BH85" i="17"/>
  <c r="BG85" i="17"/>
  <c r="BF85" i="17"/>
  <c r="T85" i="17"/>
  <c r="R85" i="17"/>
  <c r="P85" i="17"/>
  <c r="J79" i="17"/>
  <c r="J78" i="17"/>
  <c r="F78" i="17"/>
  <c r="F76" i="17"/>
  <c r="E74" i="17"/>
  <c r="J55" i="17"/>
  <c r="J54" i="17"/>
  <c r="F54" i="17"/>
  <c r="F52" i="17"/>
  <c r="E50" i="17"/>
  <c r="J18" i="17"/>
  <c r="E18" i="17"/>
  <c r="F79" i="17"/>
  <c r="J17" i="17"/>
  <c r="J12" i="17"/>
  <c r="J76" i="17" s="1"/>
  <c r="E7" i="17"/>
  <c r="E72" i="17"/>
  <c r="J37" i="16"/>
  <c r="J36" i="16"/>
  <c r="AY69" i="1" s="1"/>
  <c r="J35" i="16"/>
  <c r="AX69" i="1" s="1"/>
  <c r="BI160" i="16"/>
  <c r="BH160" i="16"/>
  <c r="BG160" i="16"/>
  <c r="BF160" i="16"/>
  <c r="T160" i="16"/>
  <c r="T159" i="16"/>
  <c r="R160" i="16"/>
  <c r="R159" i="16" s="1"/>
  <c r="P160" i="16"/>
  <c r="P159" i="16" s="1"/>
  <c r="BI155" i="16"/>
  <c r="BH155" i="16"/>
  <c r="BG155" i="16"/>
  <c r="BF155" i="16"/>
  <c r="T155" i="16"/>
  <c r="R155" i="16"/>
  <c r="P155" i="16"/>
  <c r="BI152" i="16"/>
  <c r="BH152" i="16"/>
  <c r="BG152" i="16"/>
  <c r="BF152" i="16"/>
  <c r="T152" i="16"/>
  <c r="R152" i="16"/>
  <c r="P152" i="16"/>
  <c r="BI148" i="16"/>
  <c r="BH148" i="16"/>
  <c r="BG148" i="16"/>
  <c r="BF148" i="16"/>
  <c r="T148" i="16"/>
  <c r="R148" i="16"/>
  <c r="P148" i="16"/>
  <c r="BI144" i="16"/>
  <c r="BH144" i="16"/>
  <c r="BG144" i="16"/>
  <c r="BF144" i="16"/>
  <c r="T144" i="16"/>
  <c r="R144" i="16"/>
  <c r="P144" i="16"/>
  <c r="BI140" i="16"/>
  <c r="BH140" i="16"/>
  <c r="BG140" i="16"/>
  <c r="BF140" i="16"/>
  <c r="T140" i="16"/>
  <c r="R140" i="16"/>
  <c r="P140" i="16"/>
  <c r="BI137" i="16"/>
  <c r="BH137" i="16"/>
  <c r="BG137" i="16"/>
  <c r="BF137" i="16"/>
  <c r="T137" i="16"/>
  <c r="R137" i="16"/>
  <c r="P137" i="16"/>
  <c r="BI132" i="16"/>
  <c r="BH132" i="16"/>
  <c r="BG132" i="16"/>
  <c r="BF132" i="16"/>
  <c r="T132" i="16"/>
  <c r="R132" i="16"/>
  <c r="P132" i="16"/>
  <c r="BI128" i="16"/>
  <c r="BH128" i="16"/>
  <c r="BG128" i="16"/>
  <c r="BF128" i="16"/>
  <c r="T128" i="16"/>
  <c r="R128" i="16"/>
  <c r="P128" i="16"/>
  <c r="BI125" i="16"/>
  <c r="BH125" i="16"/>
  <c r="BG125" i="16"/>
  <c r="BF125" i="16"/>
  <c r="T125" i="16"/>
  <c r="R125" i="16"/>
  <c r="P125" i="16"/>
  <c r="BI121" i="16"/>
  <c r="BH121" i="16"/>
  <c r="BG121" i="16"/>
  <c r="BF121" i="16"/>
  <c r="T121" i="16"/>
  <c r="R121" i="16"/>
  <c r="P121" i="16"/>
  <c r="BI117" i="16"/>
  <c r="BH117" i="16"/>
  <c r="BG117" i="16"/>
  <c r="BF117" i="16"/>
  <c r="T117" i="16"/>
  <c r="R117" i="16"/>
  <c r="P117" i="16"/>
  <c r="BI111" i="16"/>
  <c r="BH111" i="16"/>
  <c r="BG111" i="16"/>
  <c r="BF111" i="16"/>
  <c r="T111" i="16"/>
  <c r="R111" i="16"/>
  <c r="P111" i="16"/>
  <c r="BI107" i="16"/>
  <c r="BH107" i="16"/>
  <c r="BG107" i="16"/>
  <c r="BF107" i="16"/>
  <c r="T107" i="16"/>
  <c r="R107" i="16"/>
  <c r="P107" i="16"/>
  <c r="BI105" i="16"/>
  <c r="BH105" i="16"/>
  <c r="BG105" i="16"/>
  <c r="BF105" i="16"/>
  <c r="T105" i="16"/>
  <c r="R105" i="16"/>
  <c r="P105" i="16"/>
  <c r="BI100" i="16"/>
  <c r="BH100" i="16"/>
  <c r="BG100" i="16"/>
  <c r="BF100" i="16"/>
  <c r="T100" i="16"/>
  <c r="R100" i="16"/>
  <c r="P100" i="16"/>
  <c r="BI95" i="16"/>
  <c r="BH95" i="16"/>
  <c r="BG95" i="16"/>
  <c r="BF95" i="16"/>
  <c r="T95" i="16"/>
  <c r="R95" i="16"/>
  <c r="P95" i="16"/>
  <c r="BI91" i="16"/>
  <c r="BH91" i="16"/>
  <c r="BG91" i="16"/>
  <c r="BF91" i="16"/>
  <c r="T91" i="16"/>
  <c r="R91" i="16"/>
  <c r="P91" i="16"/>
  <c r="BI87" i="16"/>
  <c r="BH87" i="16"/>
  <c r="BG87" i="16"/>
  <c r="BF87" i="16"/>
  <c r="T87" i="16"/>
  <c r="R87" i="16"/>
  <c r="P87" i="16"/>
  <c r="J81" i="16"/>
  <c r="J80" i="16"/>
  <c r="F80" i="16"/>
  <c r="F78" i="16"/>
  <c r="E76" i="16"/>
  <c r="J55" i="16"/>
  <c r="J54" i="16"/>
  <c r="F54" i="16"/>
  <c r="F52" i="16"/>
  <c r="E50" i="16"/>
  <c r="J18" i="16"/>
  <c r="E18" i="16"/>
  <c r="F81" i="16"/>
  <c r="J17" i="16"/>
  <c r="J12" i="16"/>
  <c r="J78" i="16" s="1"/>
  <c r="E7" i="16"/>
  <c r="E48" i="16" s="1"/>
  <c r="J37" i="15"/>
  <c r="J36" i="15"/>
  <c r="AY68" i="1" s="1"/>
  <c r="J35" i="15"/>
  <c r="AX68" i="1" s="1"/>
  <c r="BI687" i="15"/>
  <c r="BH687" i="15"/>
  <c r="BG687" i="15"/>
  <c r="BF687" i="15"/>
  <c r="T687" i="15"/>
  <c r="T686" i="15"/>
  <c r="T685" i="15" s="1"/>
  <c r="R687" i="15"/>
  <c r="R686" i="15" s="1"/>
  <c r="R685" i="15" s="1"/>
  <c r="P687" i="15"/>
  <c r="P686" i="15"/>
  <c r="P685" i="15" s="1"/>
  <c r="BI680" i="15"/>
  <c r="BH680" i="15"/>
  <c r="BG680" i="15"/>
  <c r="BF680" i="15"/>
  <c r="T680" i="15"/>
  <c r="T679" i="15" s="1"/>
  <c r="R680" i="15"/>
  <c r="R679" i="15" s="1"/>
  <c r="P680" i="15"/>
  <c r="P679" i="15"/>
  <c r="BI677" i="15"/>
  <c r="BH677" i="15"/>
  <c r="BG677" i="15"/>
  <c r="BF677" i="15"/>
  <c r="T677" i="15"/>
  <c r="T676" i="15" s="1"/>
  <c r="T675" i="15" s="1"/>
  <c r="R677" i="15"/>
  <c r="R676" i="15" s="1"/>
  <c r="R675" i="15" s="1"/>
  <c r="P677" i="15"/>
  <c r="P676" i="15" s="1"/>
  <c r="P675" i="15" s="1"/>
  <c r="BI671" i="15"/>
  <c r="BH671" i="15"/>
  <c r="BG671" i="15"/>
  <c r="BF671" i="15"/>
  <c r="T671" i="15"/>
  <c r="R671" i="15"/>
  <c r="P671" i="15"/>
  <c r="BI667" i="15"/>
  <c r="BH667" i="15"/>
  <c r="BG667" i="15"/>
  <c r="BF667" i="15"/>
  <c r="T667" i="15"/>
  <c r="R667" i="15"/>
  <c r="P667" i="15"/>
  <c r="BI664" i="15"/>
  <c r="BH664" i="15"/>
  <c r="BG664" i="15"/>
  <c r="BF664" i="15"/>
  <c r="T664" i="15"/>
  <c r="R664" i="15"/>
  <c r="P664" i="15"/>
  <c r="BI655" i="15"/>
  <c r="BH655" i="15"/>
  <c r="BG655" i="15"/>
  <c r="BF655" i="15"/>
  <c r="T655" i="15"/>
  <c r="R655" i="15"/>
  <c r="P655" i="15"/>
  <c r="BI651" i="15"/>
  <c r="BH651" i="15"/>
  <c r="BG651" i="15"/>
  <c r="BF651" i="15"/>
  <c r="T651" i="15"/>
  <c r="R651" i="15"/>
  <c r="P651" i="15"/>
  <c r="BI639" i="15"/>
  <c r="BH639" i="15"/>
  <c r="BG639" i="15"/>
  <c r="BF639" i="15"/>
  <c r="T639" i="15"/>
  <c r="R639" i="15"/>
  <c r="P639" i="15"/>
  <c r="BI634" i="15"/>
  <c r="BH634" i="15"/>
  <c r="BG634" i="15"/>
  <c r="BF634" i="15"/>
  <c r="T634" i="15"/>
  <c r="R634" i="15"/>
  <c r="P634" i="15"/>
  <c r="BI631" i="15"/>
  <c r="BH631" i="15"/>
  <c r="BG631" i="15"/>
  <c r="BF631" i="15"/>
  <c r="T631" i="15"/>
  <c r="R631" i="15"/>
  <c r="P631" i="15"/>
  <c r="BI623" i="15"/>
  <c r="BH623" i="15"/>
  <c r="BG623" i="15"/>
  <c r="BF623" i="15"/>
  <c r="T623" i="15"/>
  <c r="R623" i="15"/>
  <c r="P623" i="15"/>
  <c r="BI616" i="15"/>
  <c r="BH616" i="15"/>
  <c r="BG616" i="15"/>
  <c r="BF616" i="15"/>
  <c r="T616" i="15"/>
  <c r="R616" i="15"/>
  <c r="P616" i="15"/>
  <c r="BI610" i="15"/>
  <c r="BH610" i="15"/>
  <c r="BG610" i="15"/>
  <c r="BF610" i="15"/>
  <c r="T610" i="15"/>
  <c r="R610" i="15"/>
  <c r="P610" i="15"/>
  <c r="BI607" i="15"/>
  <c r="BH607" i="15"/>
  <c r="BG607" i="15"/>
  <c r="BF607" i="15"/>
  <c r="T607" i="15"/>
  <c r="R607" i="15"/>
  <c r="P607" i="15"/>
  <c r="BI588" i="15"/>
  <c r="BH588" i="15"/>
  <c r="BG588" i="15"/>
  <c r="BF588" i="15"/>
  <c r="T588" i="15"/>
  <c r="R588" i="15"/>
  <c r="P588" i="15"/>
  <c r="BI585" i="15"/>
  <c r="BH585" i="15"/>
  <c r="BG585" i="15"/>
  <c r="BF585" i="15"/>
  <c r="T585" i="15"/>
  <c r="R585" i="15"/>
  <c r="P585" i="15"/>
  <c r="BI582" i="15"/>
  <c r="BH582" i="15"/>
  <c r="BG582" i="15"/>
  <c r="BF582" i="15"/>
  <c r="T582" i="15"/>
  <c r="R582" i="15"/>
  <c r="P582" i="15"/>
  <c r="BI579" i="15"/>
  <c r="BH579" i="15"/>
  <c r="BG579" i="15"/>
  <c r="BF579" i="15"/>
  <c r="T579" i="15"/>
  <c r="R579" i="15"/>
  <c r="P579" i="15"/>
  <c r="BI576" i="15"/>
  <c r="BH576" i="15"/>
  <c r="BG576" i="15"/>
  <c r="BF576" i="15"/>
  <c r="T576" i="15"/>
  <c r="R576" i="15"/>
  <c r="P576" i="15"/>
  <c r="BI571" i="15"/>
  <c r="BH571" i="15"/>
  <c r="BG571" i="15"/>
  <c r="BF571" i="15"/>
  <c r="T571" i="15"/>
  <c r="R571" i="15"/>
  <c r="P571" i="15"/>
  <c r="BI567" i="15"/>
  <c r="BH567" i="15"/>
  <c r="BG567" i="15"/>
  <c r="BF567" i="15"/>
  <c r="T567" i="15"/>
  <c r="R567" i="15"/>
  <c r="P567" i="15"/>
  <c r="BI564" i="15"/>
  <c r="BH564" i="15"/>
  <c r="BG564" i="15"/>
  <c r="BF564" i="15"/>
  <c r="T564" i="15"/>
  <c r="R564" i="15"/>
  <c r="P564" i="15"/>
  <c r="BI560" i="15"/>
  <c r="BH560" i="15"/>
  <c r="BG560" i="15"/>
  <c r="BF560" i="15"/>
  <c r="T560" i="15"/>
  <c r="R560" i="15"/>
  <c r="P560" i="15"/>
  <c r="BI556" i="15"/>
  <c r="BH556" i="15"/>
  <c r="BG556" i="15"/>
  <c r="BF556" i="15"/>
  <c r="T556" i="15"/>
  <c r="R556" i="15"/>
  <c r="P556" i="15"/>
  <c r="BI549" i="15"/>
  <c r="BH549" i="15"/>
  <c r="BG549" i="15"/>
  <c r="BF549" i="15"/>
  <c r="T549" i="15"/>
  <c r="R549" i="15"/>
  <c r="P549" i="15"/>
  <c r="BI536" i="15"/>
  <c r="BH536" i="15"/>
  <c r="BG536" i="15"/>
  <c r="BF536" i="15"/>
  <c r="T536" i="15"/>
  <c r="R536" i="15"/>
  <c r="P536" i="15"/>
  <c r="BI527" i="15"/>
  <c r="BH527" i="15"/>
  <c r="BG527" i="15"/>
  <c r="BF527" i="15"/>
  <c r="T527" i="15"/>
  <c r="R527" i="15"/>
  <c r="P527" i="15"/>
  <c r="BI523" i="15"/>
  <c r="BH523" i="15"/>
  <c r="BG523" i="15"/>
  <c r="BF523" i="15"/>
  <c r="T523" i="15"/>
  <c r="R523" i="15"/>
  <c r="P523" i="15"/>
  <c r="BI519" i="15"/>
  <c r="BH519" i="15"/>
  <c r="BG519" i="15"/>
  <c r="BF519" i="15"/>
  <c r="T519" i="15"/>
  <c r="R519" i="15"/>
  <c r="P519" i="15"/>
  <c r="BI515" i="15"/>
  <c r="BH515" i="15"/>
  <c r="BG515" i="15"/>
  <c r="BF515" i="15"/>
  <c r="T515" i="15"/>
  <c r="R515" i="15"/>
  <c r="P515" i="15"/>
  <c r="BI512" i="15"/>
  <c r="BH512" i="15"/>
  <c r="BG512" i="15"/>
  <c r="BF512" i="15"/>
  <c r="T512" i="15"/>
  <c r="R512" i="15"/>
  <c r="P512" i="15"/>
  <c r="BI499" i="15"/>
  <c r="BH499" i="15"/>
  <c r="BG499" i="15"/>
  <c r="BF499" i="15"/>
  <c r="T499" i="15"/>
  <c r="R499" i="15"/>
  <c r="P499" i="15"/>
  <c r="BI495" i="15"/>
  <c r="BH495" i="15"/>
  <c r="BG495" i="15"/>
  <c r="BF495" i="15"/>
  <c r="T495" i="15"/>
  <c r="R495" i="15"/>
  <c r="P495" i="15"/>
  <c r="BI491" i="15"/>
  <c r="BH491" i="15"/>
  <c r="BG491" i="15"/>
  <c r="BF491" i="15"/>
  <c r="T491" i="15"/>
  <c r="R491" i="15"/>
  <c r="P491" i="15"/>
  <c r="BI486" i="15"/>
  <c r="BH486" i="15"/>
  <c r="BG486" i="15"/>
  <c r="BF486" i="15"/>
  <c r="T486" i="15"/>
  <c r="R486" i="15"/>
  <c r="P486" i="15"/>
  <c r="BI482" i="15"/>
  <c r="BH482" i="15"/>
  <c r="BG482" i="15"/>
  <c r="BF482" i="15"/>
  <c r="T482" i="15"/>
  <c r="R482" i="15"/>
  <c r="P482" i="15"/>
  <c r="BI478" i="15"/>
  <c r="BH478" i="15"/>
  <c r="BG478" i="15"/>
  <c r="BF478" i="15"/>
  <c r="T478" i="15"/>
  <c r="R478" i="15"/>
  <c r="P478" i="15"/>
  <c r="BI475" i="15"/>
  <c r="BH475" i="15"/>
  <c r="BG475" i="15"/>
  <c r="BF475" i="15"/>
  <c r="T475" i="15"/>
  <c r="R475" i="15"/>
  <c r="P475" i="15"/>
  <c r="BI467" i="15"/>
  <c r="BH467" i="15"/>
  <c r="BG467" i="15"/>
  <c r="BF467" i="15"/>
  <c r="T467" i="15"/>
  <c r="R467" i="15"/>
  <c r="P467" i="15"/>
  <c r="BI459" i="15"/>
  <c r="BH459" i="15"/>
  <c r="BG459" i="15"/>
  <c r="BF459" i="15"/>
  <c r="T459" i="15"/>
  <c r="R459" i="15"/>
  <c r="P459" i="15"/>
  <c r="BI456" i="15"/>
  <c r="BH456" i="15"/>
  <c r="BG456" i="15"/>
  <c r="BF456" i="15"/>
  <c r="T456" i="15"/>
  <c r="R456" i="15"/>
  <c r="P456" i="15"/>
  <c r="BI450" i="15"/>
  <c r="BH450" i="15"/>
  <c r="BG450" i="15"/>
  <c r="BF450" i="15"/>
  <c r="T450" i="15"/>
  <c r="R450" i="15"/>
  <c r="P450" i="15"/>
  <c r="BI446" i="15"/>
  <c r="BH446" i="15"/>
  <c r="BG446" i="15"/>
  <c r="BF446" i="15"/>
  <c r="T446" i="15"/>
  <c r="R446" i="15"/>
  <c r="P446" i="15"/>
  <c r="BI442" i="15"/>
  <c r="BH442" i="15"/>
  <c r="BG442" i="15"/>
  <c r="BF442" i="15"/>
  <c r="T442" i="15"/>
  <c r="R442" i="15"/>
  <c r="P442" i="15"/>
  <c r="BI438" i="15"/>
  <c r="BH438" i="15"/>
  <c r="BG438" i="15"/>
  <c r="BF438" i="15"/>
  <c r="T438" i="15"/>
  <c r="R438" i="15"/>
  <c r="P438" i="15"/>
  <c r="BI433" i="15"/>
  <c r="BH433" i="15"/>
  <c r="BG433" i="15"/>
  <c r="BF433" i="15"/>
  <c r="T433" i="15"/>
  <c r="R433" i="15"/>
  <c r="P433" i="15"/>
  <c r="BI428" i="15"/>
  <c r="BH428" i="15"/>
  <c r="BG428" i="15"/>
  <c r="BF428" i="15"/>
  <c r="T428" i="15"/>
  <c r="R428" i="15"/>
  <c r="P428" i="15"/>
  <c r="BI424" i="15"/>
  <c r="BH424" i="15"/>
  <c r="BG424" i="15"/>
  <c r="BF424" i="15"/>
  <c r="T424" i="15"/>
  <c r="R424" i="15"/>
  <c r="P424" i="15"/>
  <c r="BI421" i="15"/>
  <c r="BH421" i="15"/>
  <c r="BG421" i="15"/>
  <c r="BF421" i="15"/>
  <c r="T421" i="15"/>
  <c r="R421" i="15"/>
  <c r="P421" i="15"/>
  <c r="BI417" i="15"/>
  <c r="BH417" i="15"/>
  <c r="BG417" i="15"/>
  <c r="BF417" i="15"/>
  <c r="T417" i="15"/>
  <c r="R417" i="15"/>
  <c r="P417" i="15"/>
  <c r="BI413" i="15"/>
  <c r="BH413" i="15"/>
  <c r="BG413" i="15"/>
  <c r="BF413" i="15"/>
  <c r="T413" i="15"/>
  <c r="R413" i="15"/>
  <c r="P413" i="15"/>
  <c r="BI407" i="15"/>
  <c r="BH407" i="15"/>
  <c r="BG407" i="15"/>
  <c r="BF407" i="15"/>
  <c r="T407" i="15"/>
  <c r="R407" i="15"/>
  <c r="P407" i="15"/>
  <c r="BI400" i="15"/>
  <c r="BH400" i="15"/>
  <c r="BG400" i="15"/>
  <c r="BF400" i="15"/>
  <c r="T400" i="15"/>
  <c r="R400" i="15"/>
  <c r="P400" i="15"/>
  <c r="BI396" i="15"/>
  <c r="BH396" i="15"/>
  <c r="BG396" i="15"/>
  <c r="BF396" i="15"/>
  <c r="T396" i="15"/>
  <c r="R396" i="15"/>
  <c r="P396" i="15"/>
  <c r="BI376" i="15"/>
  <c r="BH376" i="15"/>
  <c r="BG376" i="15"/>
  <c r="BF376" i="15"/>
  <c r="T376" i="15"/>
  <c r="R376" i="15"/>
  <c r="P376" i="15"/>
  <c r="BI372" i="15"/>
  <c r="BH372" i="15"/>
  <c r="BG372" i="15"/>
  <c r="BF372" i="15"/>
  <c r="T372" i="15"/>
  <c r="R372" i="15"/>
  <c r="P372" i="15"/>
  <c r="BI367" i="15"/>
  <c r="BH367" i="15"/>
  <c r="BG367" i="15"/>
  <c r="BF367" i="15"/>
  <c r="T367" i="15"/>
  <c r="R367" i="15"/>
  <c r="P367" i="15"/>
  <c r="BI363" i="15"/>
  <c r="BH363" i="15"/>
  <c r="BG363" i="15"/>
  <c r="BF363" i="15"/>
  <c r="T363" i="15"/>
  <c r="R363" i="15"/>
  <c r="P363" i="15"/>
  <c r="BI359" i="15"/>
  <c r="BH359" i="15"/>
  <c r="BG359" i="15"/>
  <c r="BF359" i="15"/>
  <c r="T359" i="15"/>
  <c r="R359" i="15"/>
  <c r="P359" i="15"/>
  <c r="BI355" i="15"/>
  <c r="BH355" i="15"/>
  <c r="BG355" i="15"/>
  <c r="BF355" i="15"/>
  <c r="T355" i="15"/>
  <c r="R355" i="15"/>
  <c r="P355" i="15"/>
  <c r="BI350" i="15"/>
  <c r="BH350" i="15"/>
  <c r="BG350" i="15"/>
  <c r="BF350" i="15"/>
  <c r="T350" i="15"/>
  <c r="R350" i="15"/>
  <c r="P350" i="15"/>
  <c r="BI346" i="15"/>
  <c r="BH346" i="15"/>
  <c r="BG346" i="15"/>
  <c r="BF346" i="15"/>
  <c r="T346" i="15"/>
  <c r="R346" i="15"/>
  <c r="P346" i="15"/>
  <c r="BI342" i="15"/>
  <c r="BH342" i="15"/>
  <c r="BG342" i="15"/>
  <c r="BF342" i="15"/>
  <c r="T342" i="15"/>
  <c r="R342" i="15"/>
  <c r="P342" i="15"/>
  <c r="BI328" i="15"/>
  <c r="BH328" i="15"/>
  <c r="BG328" i="15"/>
  <c r="BF328" i="15"/>
  <c r="T328" i="15"/>
  <c r="R328" i="15"/>
  <c r="P328" i="15"/>
  <c r="BI319" i="15"/>
  <c r="BH319" i="15"/>
  <c r="BG319" i="15"/>
  <c r="BF319" i="15"/>
  <c r="T319" i="15"/>
  <c r="R319" i="15"/>
  <c r="P319" i="15"/>
  <c r="BI314" i="15"/>
  <c r="BH314" i="15"/>
  <c r="BG314" i="15"/>
  <c r="BF314" i="15"/>
  <c r="T314" i="15"/>
  <c r="R314" i="15"/>
  <c r="P314" i="15"/>
  <c r="BI310" i="15"/>
  <c r="BH310" i="15"/>
  <c r="BG310" i="15"/>
  <c r="BF310" i="15"/>
  <c r="T310" i="15"/>
  <c r="R310" i="15"/>
  <c r="P310" i="15"/>
  <c r="BI305" i="15"/>
  <c r="BH305" i="15"/>
  <c r="BG305" i="15"/>
  <c r="BF305" i="15"/>
  <c r="T305" i="15"/>
  <c r="R305" i="15"/>
  <c r="P305" i="15"/>
  <c r="BI299" i="15"/>
  <c r="BH299" i="15"/>
  <c r="BG299" i="15"/>
  <c r="BF299" i="15"/>
  <c r="T299" i="15"/>
  <c r="R299" i="15"/>
  <c r="P299" i="15"/>
  <c r="BI295" i="15"/>
  <c r="BH295" i="15"/>
  <c r="BG295" i="15"/>
  <c r="BF295" i="15"/>
  <c r="T295" i="15"/>
  <c r="R295" i="15"/>
  <c r="P295" i="15"/>
  <c r="BI288" i="15"/>
  <c r="BH288" i="15"/>
  <c r="BG288" i="15"/>
  <c r="BF288" i="15"/>
  <c r="T288" i="15"/>
  <c r="R288" i="15"/>
  <c r="P288" i="15"/>
  <c r="BI284" i="15"/>
  <c r="BH284" i="15"/>
  <c r="BG284" i="15"/>
  <c r="BF284" i="15"/>
  <c r="T284" i="15"/>
  <c r="R284" i="15"/>
  <c r="P284" i="15"/>
  <c r="BI282" i="15"/>
  <c r="BH282" i="15"/>
  <c r="BG282" i="15"/>
  <c r="BF282" i="15"/>
  <c r="T282" i="15"/>
  <c r="R282" i="15"/>
  <c r="P282" i="15"/>
  <c r="BI278" i="15"/>
  <c r="BH278" i="15"/>
  <c r="BG278" i="15"/>
  <c r="BF278" i="15"/>
  <c r="T278" i="15"/>
  <c r="R278" i="15"/>
  <c r="P278" i="15"/>
  <c r="BI276" i="15"/>
  <c r="BH276" i="15"/>
  <c r="BG276" i="15"/>
  <c r="BF276" i="15"/>
  <c r="T276" i="15"/>
  <c r="R276" i="15"/>
  <c r="P276" i="15"/>
  <c r="BI273" i="15"/>
  <c r="BH273" i="15"/>
  <c r="BG273" i="15"/>
  <c r="BF273" i="15"/>
  <c r="T273" i="15"/>
  <c r="R273" i="15"/>
  <c r="P273" i="15"/>
  <c r="BI271" i="15"/>
  <c r="BH271" i="15"/>
  <c r="BG271" i="15"/>
  <c r="BF271" i="15"/>
  <c r="T271" i="15"/>
  <c r="R271" i="15"/>
  <c r="P271" i="15"/>
  <c r="BI268" i="15"/>
  <c r="BH268" i="15"/>
  <c r="BG268" i="15"/>
  <c r="BF268" i="15"/>
  <c r="T268" i="15"/>
  <c r="R268" i="15"/>
  <c r="P268" i="15"/>
  <c r="BI266" i="15"/>
  <c r="BH266" i="15"/>
  <c r="BG266" i="15"/>
  <c r="BF266" i="15"/>
  <c r="T266" i="15"/>
  <c r="R266" i="15"/>
  <c r="P266" i="15"/>
  <c r="BI264" i="15"/>
  <c r="BH264" i="15"/>
  <c r="BG264" i="15"/>
  <c r="BF264" i="15"/>
  <c r="T264" i="15"/>
  <c r="R264" i="15"/>
  <c r="P264" i="15"/>
  <c r="BI260" i="15"/>
  <c r="BH260" i="15"/>
  <c r="BG260" i="15"/>
  <c r="BF260" i="15"/>
  <c r="T260" i="15"/>
  <c r="R260" i="15"/>
  <c r="P260" i="15"/>
  <c r="BI258" i="15"/>
  <c r="BH258" i="15"/>
  <c r="BG258" i="15"/>
  <c r="BF258" i="15"/>
  <c r="T258" i="15"/>
  <c r="R258" i="15"/>
  <c r="P258" i="15"/>
  <c r="BI254" i="15"/>
  <c r="BH254" i="15"/>
  <c r="BG254" i="15"/>
  <c r="BF254" i="15"/>
  <c r="T254" i="15"/>
  <c r="R254" i="15"/>
  <c r="P254" i="15"/>
  <c r="BI252" i="15"/>
  <c r="BH252" i="15"/>
  <c r="BG252" i="15"/>
  <c r="BF252" i="15"/>
  <c r="T252" i="15"/>
  <c r="R252" i="15"/>
  <c r="P252" i="15"/>
  <c r="BI250" i="15"/>
  <c r="BH250" i="15"/>
  <c r="BG250" i="15"/>
  <c r="BF250" i="15"/>
  <c r="T250" i="15"/>
  <c r="R250" i="15"/>
  <c r="P250" i="15"/>
  <c r="BI246" i="15"/>
  <c r="BH246" i="15"/>
  <c r="BG246" i="15"/>
  <c r="BF246" i="15"/>
  <c r="T246" i="15"/>
  <c r="R246" i="15"/>
  <c r="P246" i="15"/>
  <c r="BI244" i="15"/>
  <c r="BH244" i="15"/>
  <c r="BG244" i="15"/>
  <c r="BF244" i="15"/>
  <c r="T244" i="15"/>
  <c r="R244" i="15"/>
  <c r="P244" i="15"/>
  <c r="BI240" i="15"/>
  <c r="BH240" i="15"/>
  <c r="BG240" i="15"/>
  <c r="BF240" i="15"/>
  <c r="T240" i="15"/>
  <c r="R240" i="15"/>
  <c r="P240" i="15"/>
  <c r="BI238" i="15"/>
  <c r="BH238" i="15"/>
  <c r="BG238" i="15"/>
  <c r="BF238" i="15"/>
  <c r="T238" i="15"/>
  <c r="R238" i="15"/>
  <c r="P238" i="15"/>
  <c r="BI234" i="15"/>
  <c r="BH234" i="15"/>
  <c r="BG234" i="15"/>
  <c r="BF234" i="15"/>
  <c r="T234" i="15"/>
  <c r="R234" i="15"/>
  <c r="P234" i="15"/>
  <c r="BI229" i="15"/>
  <c r="BH229" i="15"/>
  <c r="BG229" i="15"/>
  <c r="BF229" i="15"/>
  <c r="T229" i="15"/>
  <c r="R229" i="15"/>
  <c r="P229" i="15"/>
  <c r="BI225" i="15"/>
  <c r="BH225" i="15"/>
  <c r="BG225" i="15"/>
  <c r="BF225" i="15"/>
  <c r="T225" i="15"/>
  <c r="R225" i="15"/>
  <c r="P225" i="15"/>
  <c r="BI221" i="15"/>
  <c r="BH221" i="15"/>
  <c r="BG221" i="15"/>
  <c r="BF221" i="15"/>
  <c r="T221" i="15"/>
  <c r="R221" i="15"/>
  <c r="P221" i="15"/>
  <c r="BI217" i="15"/>
  <c r="BH217" i="15"/>
  <c r="BG217" i="15"/>
  <c r="BF217" i="15"/>
  <c r="T217" i="15"/>
  <c r="R217" i="15"/>
  <c r="P217" i="15"/>
  <c r="BI208" i="15"/>
  <c r="BH208" i="15"/>
  <c r="BG208" i="15"/>
  <c r="BF208" i="15"/>
  <c r="T208" i="15"/>
  <c r="R208" i="15"/>
  <c r="P208" i="15"/>
  <c r="BI203" i="15"/>
  <c r="BH203" i="15"/>
  <c r="BG203" i="15"/>
  <c r="BF203" i="15"/>
  <c r="T203" i="15"/>
  <c r="R203" i="15"/>
  <c r="P203" i="15"/>
  <c r="BI199" i="15"/>
  <c r="BH199" i="15"/>
  <c r="BG199" i="15"/>
  <c r="BF199" i="15"/>
  <c r="T199" i="15"/>
  <c r="R199" i="15"/>
  <c r="P199" i="15"/>
  <c r="BI193" i="15"/>
  <c r="BH193" i="15"/>
  <c r="BG193" i="15"/>
  <c r="BF193" i="15"/>
  <c r="T193" i="15"/>
  <c r="R193" i="15"/>
  <c r="P193" i="15"/>
  <c r="BI188" i="15"/>
  <c r="BH188" i="15"/>
  <c r="BG188" i="15"/>
  <c r="BF188" i="15"/>
  <c r="T188" i="15"/>
  <c r="R188" i="15"/>
  <c r="P188" i="15"/>
  <c r="BI184" i="15"/>
  <c r="BH184" i="15"/>
  <c r="BG184" i="15"/>
  <c r="BF184" i="15"/>
  <c r="T184" i="15"/>
  <c r="R184" i="15"/>
  <c r="P184" i="15"/>
  <c r="BI181" i="15"/>
  <c r="BH181" i="15"/>
  <c r="BG181" i="15"/>
  <c r="BF181" i="15"/>
  <c r="T181" i="15"/>
  <c r="R181" i="15"/>
  <c r="P181" i="15"/>
  <c r="BI174" i="15"/>
  <c r="BH174" i="15"/>
  <c r="BG174" i="15"/>
  <c r="BF174" i="15"/>
  <c r="T174" i="15"/>
  <c r="R174" i="15"/>
  <c r="P174" i="15"/>
  <c r="BI168" i="15"/>
  <c r="BH168" i="15"/>
  <c r="BG168" i="15"/>
  <c r="BF168" i="15"/>
  <c r="T168" i="15"/>
  <c r="T167" i="15" s="1"/>
  <c r="R168" i="15"/>
  <c r="R167" i="15" s="1"/>
  <c r="P168" i="15"/>
  <c r="P167" i="15" s="1"/>
  <c r="BI165" i="15"/>
  <c r="BH165" i="15"/>
  <c r="BG165" i="15"/>
  <c r="BF165" i="15"/>
  <c r="T165" i="15"/>
  <c r="R165" i="15"/>
  <c r="P165" i="15"/>
  <c r="BI163" i="15"/>
  <c r="BH163" i="15"/>
  <c r="BG163" i="15"/>
  <c r="BF163" i="15"/>
  <c r="T163" i="15"/>
  <c r="R163" i="15"/>
  <c r="P163" i="15"/>
  <c r="BI159" i="15"/>
  <c r="BH159" i="15"/>
  <c r="BG159" i="15"/>
  <c r="BF159" i="15"/>
  <c r="T159" i="15"/>
  <c r="R159" i="15"/>
  <c r="P159" i="15"/>
  <c r="BI157" i="15"/>
  <c r="BH157" i="15"/>
  <c r="BG157" i="15"/>
  <c r="BF157" i="15"/>
  <c r="T157" i="15"/>
  <c r="R157" i="15"/>
  <c r="P157" i="15"/>
  <c r="BI153" i="15"/>
  <c r="BH153" i="15"/>
  <c r="BG153" i="15"/>
  <c r="BF153" i="15"/>
  <c r="T153" i="15"/>
  <c r="R153" i="15"/>
  <c r="P153" i="15"/>
  <c r="BI149" i="15"/>
  <c r="BH149" i="15"/>
  <c r="BG149" i="15"/>
  <c r="BF149" i="15"/>
  <c r="T149" i="15"/>
  <c r="R149" i="15"/>
  <c r="P149" i="15"/>
  <c r="BI142" i="15"/>
  <c r="BH142" i="15"/>
  <c r="BG142" i="15"/>
  <c r="BF142" i="15"/>
  <c r="T142" i="15"/>
  <c r="R142" i="15"/>
  <c r="P142" i="15"/>
  <c r="BI119" i="15"/>
  <c r="BH119" i="15"/>
  <c r="BG119" i="15"/>
  <c r="BF119" i="15"/>
  <c r="T119" i="15"/>
  <c r="R119" i="15"/>
  <c r="P119" i="15"/>
  <c r="BI114" i="15"/>
  <c r="BH114" i="15"/>
  <c r="BG114" i="15"/>
  <c r="BF114" i="15"/>
  <c r="T114" i="15"/>
  <c r="R114" i="15"/>
  <c r="P114" i="15"/>
  <c r="BI109" i="15"/>
  <c r="BH109" i="15"/>
  <c r="BG109" i="15"/>
  <c r="BF109" i="15"/>
  <c r="T109" i="15"/>
  <c r="R109" i="15"/>
  <c r="P109" i="15"/>
  <c r="BI105" i="15"/>
  <c r="BH105" i="15"/>
  <c r="BG105" i="15"/>
  <c r="BF105" i="15"/>
  <c r="T105" i="15"/>
  <c r="R105" i="15"/>
  <c r="P105" i="15"/>
  <c r="BI102" i="15"/>
  <c r="BH102" i="15"/>
  <c r="BG102" i="15"/>
  <c r="BF102" i="15"/>
  <c r="T102" i="15"/>
  <c r="R102" i="15"/>
  <c r="P102" i="15"/>
  <c r="J96" i="15"/>
  <c r="J95" i="15"/>
  <c r="F95" i="15"/>
  <c r="F93" i="15"/>
  <c r="E91" i="15"/>
  <c r="J55" i="15"/>
  <c r="J54" i="15"/>
  <c r="F54" i="15"/>
  <c r="F52" i="15"/>
  <c r="E50" i="15"/>
  <c r="J18" i="15"/>
  <c r="E18" i="15"/>
  <c r="F55" i="15" s="1"/>
  <c r="J17" i="15"/>
  <c r="J12" i="15"/>
  <c r="J93" i="15" s="1"/>
  <c r="E7" i="15"/>
  <c r="E48" i="15" s="1"/>
  <c r="J37" i="14"/>
  <c r="J36" i="14"/>
  <c r="AY67" i="1" s="1"/>
  <c r="J35" i="14"/>
  <c r="AX67" i="1" s="1"/>
  <c r="BI863" i="14"/>
  <c r="BH863" i="14"/>
  <c r="BG863" i="14"/>
  <c r="BF863" i="14"/>
  <c r="T863" i="14"/>
  <c r="T862" i="14" s="1"/>
  <c r="R863" i="14"/>
  <c r="R862" i="14" s="1"/>
  <c r="P863" i="14"/>
  <c r="P862" i="14"/>
  <c r="BI858" i="14"/>
  <c r="BH858" i="14"/>
  <c r="BG858" i="14"/>
  <c r="BF858" i="14"/>
  <c r="T858" i="14"/>
  <c r="R858" i="14"/>
  <c r="P858" i="14"/>
  <c r="BI854" i="14"/>
  <c r="BH854" i="14"/>
  <c r="BG854" i="14"/>
  <c r="BF854" i="14"/>
  <c r="T854" i="14"/>
  <c r="R854" i="14"/>
  <c r="P854" i="14"/>
  <c r="BI850" i="14"/>
  <c r="BH850" i="14"/>
  <c r="BG850" i="14"/>
  <c r="BF850" i="14"/>
  <c r="T850" i="14"/>
  <c r="R850" i="14"/>
  <c r="P850" i="14"/>
  <c r="BI846" i="14"/>
  <c r="BH846" i="14"/>
  <c r="BG846" i="14"/>
  <c r="BF846" i="14"/>
  <c r="T846" i="14"/>
  <c r="R846" i="14"/>
  <c r="P846" i="14"/>
  <c r="BI842" i="14"/>
  <c r="BH842" i="14"/>
  <c r="BG842" i="14"/>
  <c r="BF842" i="14"/>
  <c r="T842" i="14"/>
  <c r="R842" i="14"/>
  <c r="P842" i="14"/>
  <c r="BI838" i="14"/>
  <c r="BH838" i="14"/>
  <c r="BG838" i="14"/>
  <c r="BF838" i="14"/>
  <c r="T838" i="14"/>
  <c r="R838" i="14"/>
  <c r="P838" i="14"/>
  <c r="BI832" i="14"/>
  <c r="BH832" i="14"/>
  <c r="BG832" i="14"/>
  <c r="BF832" i="14"/>
  <c r="T832" i="14"/>
  <c r="R832" i="14"/>
  <c r="P832" i="14"/>
  <c r="BI828" i="14"/>
  <c r="BH828" i="14"/>
  <c r="BG828" i="14"/>
  <c r="BF828" i="14"/>
  <c r="T828" i="14"/>
  <c r="R828" i="14"/>
  <c r="P828" i="14"/>
  <c r="BI824" i="14"/>
  <c r="BH824" i="14"/>
  <c r="BG824" i="14"/>
  <c r="BF824" i="14"/>
  <c r="T824" i="14"/>
  <c r="R824" i="14"/>
  <c r="P824" i="14"/>
  <c r="BI821" i="14"/>
  <c r="BH821" i="14"/>
  <c r="BG821" i="14"/>
  <c r="BF821" i="14"/>
  <c r="T821" i="14"/>
  <c r="R821" i="14"/>
  <c r="P821" i="14"/>
  <c r="BI817" i="14"/>
  <c r="BH817" i="14"/>
  <c r="BG817" i="14"/>
  <c r="BF817" i="14"/>
  <c r="T817" i="14"/>
  <c r="R817" i="14"/>
  <c r="P817" i="14"/>
  <c r="BI812" i="14"/>
  <c r="BH812" i="14"/>
  <c r="BG812" i="14"/>
  <c r="BF812" i="14"/>
  <c r="T812" i="14"/>
  <c r="R812" i="14"/>
  <c r="P812" i="14"/>
  <c r="BI809" i="14"/>
  <c r="BH809" i="14"/>
  <c r="BG809" i="14"/>
  <c r="BF809" i="14"/>
  <c r="T809" i="14"/>
  <c r="R809" i="14"/>
  <c r="P809" i="14"/>
  <c r="BI804" i="14"/>
  <c r="BH804" i="14"/>
  <c r="BG804" i="14"/>
  <c r="BF804" i="14"/>
  <c r="T804" i="14"/>
  <c r="R804" i="14"/>
  <c r="P804" i="14"/>
  <c r="BI797" i="14"/>
  <c r="BH797" i="14"/>
  <c r="BG797" i="14"/>
  <c r="BF797" i="14"/>
  <c r="T797" i="14"/>
  <c r="R797" i="14"/>
  <c r="P797" i="14"/>
  <c r="BI793" i="14"/>
  <c r="BH793" i="14"/>
  <c r="BG793" i="14"/>
  <c r="BF793" i="14"/>
  <c r="T793" i="14"/>
  <c r="R793" i="14"/>
  <c r="P793" i="14"/>
  <c r="BI788" i="14"/>
  <c r="BH788" i="14"/>
  <c r="BG788" i="14"/>
  <c r="BF788" i="14"/>
  <c r="T788" i="14"/>
  <c r="R788" i="14"/>
  <c r="P788" i="14"/>
  <c r="BI784" i="14"/>
  <c r="BH784" i="14"/>
  <c r="BG784" i="14"/>
  <c r="BF784" i="14"/>
  <c r="T784" i="14"/>
  <c r="R784" i="14"/>
  <c r="P784" i="14"/>
  <c r="BI777" i="14"/>
  <c r="BH777" i="14"/>
  <c r="BG777" i="14"/>
  <c r="BF777" i="14"/>
  <c r="T777" i="14"/>
  <c r="R777" i="14"/>
  <c r="P777" i="14"/>
  <c r="BI773" i="14"/>
  <c r="BH773" i="14"/>
  <c r="BG773" i="14"/>
  <c r="BF773" i="14"/>
  <c r="T773" i="14"/>
  <c r="R773" i="14"/>
  <c r="P773" i="14"/>
  <c r="BI759" i="14"/>
  <c r="BH759" i="14"/>
  <c r="BG759" i="14"/>
  <c r="BF759" i="14"/>
  <c r="T759" i="14"/>
  <c r="R759" i="14"/>
  <c r="P759" i="14"/>
  <c r="BI753" i="14"/>
  <c r="BH753" i="14"/>
  <c r="BG753" i="14"/>
  <c r="BF753" i="14"/>
  <c r="T753" i="14"/>
  <c r="R753" i="14"/>
  <c r="P753" i="14"/>
  <c r="BI751" i="14"/>
  <c r="BH751" i="14"/>
  <c r="BG751" i="14"/>
  <c r="BF751" i="14"/>
  <c r="T751" i="14"/>
  <c r="R751" i="14"/>
  <c r="P751" i="14"/>
  <c r="BI748" i="14"/>
  <c r="BH748" i="14"/>
  <c r="BG748" i="14"/>
  <c r="BF748" i="14"/>
  <c r="T748" i="14"/>
  <c r="R748" i="14"/>
  <c r="P748" i="14"/>
  <c r="BI742" i="14"/>
  <c r="BH742" i="14"/>
  <c r="BG742" i="14"/>
  <c r="BF742" i="14"/>
  <c r="T742" i="14"/>
  <c r="R742" i="14"/>
  <c r="P742" i="14"/>
  <c r="BI740" i="14"/>
  <c r="BH740" i="14"/>
  <c r="BG740" i="14"/>
  <c r="BF740" i="14"/>
  <c r="T740" i="14"/>
  <c r="R740" i="14"/>
  <c r="P740" i="14"/>
  <c r="BI737" i="14"/>
  <c r="BH737" i="14"/>
  <c r="BG737" i="14"/>
  <c r="BF737" i="14"/>
  <c r="T737" i="14"/>
  <c r="R737" i="14"/>
  <c r="P737" i="14"/>
  <c r="BI732" i="14"/>
  <c r="BH732" i="14"/>
  <c r="BG732" i="14"/>
  <c r="BF732" i="14"/>
  <c r="T732" i="14"/>
  <c r="R732" i="14"/>
  <c r="P732" i="14"/>
  <c r="BI728" i="14"/>
  <c r="BH728" i="14"/>
  <c r="BG728" i="14"/>
  <c r="BF728" i="14"/>
  <c r="T728" i="14"/>
  <c r="R728" i="14"/>
  <c r="P728" i="14"/>
  <c r="BI723" i="14"/>
  <c r="BH723" i="14"/>
  <c r="BG723" i="14"/>
  <c r="BF723" i="14"/>
  <c r="T723" i="14"/>
  <c r="R723" i="14"/>
  <c r="P723" i="14"/>
  <c r="BI717" i="14"/>
  <c r="BH717" i="14"/>
  <c r="BG717" i="14"/>
  <c r="BF717" i="14"/>
  <c r="T717" i="14"/>
  <c r="R717" i="14"/>
  <c r="P717" i="14"/>
  <c r="BI714" i="14"/>
  <c r="BH714" i="14"/>
  <c r="BG714" i="14"/>
  <c r="BF714" i="14"/>
  <c r="T714" i="14"/>
  <c r="R714" i="14"/>
  <c r="P714" i="14"/>
  <c r="BI708" i="14"/>
  <c r="BH708" i="14"/>
  <c r="BG708" i="14"/>
  <c r="BF708" i="14"/>
  <c r="T708" i="14"/>
  <c r="R708" i="14"/>
  <c r="P708" i="14"/>
  <c r="BI703" i="14"/>
  <c r="BH703" i="14"/>
  <c r="BG703" i="14"/>
  <c r="BF703" i="14"/>
  <c r="T703" i="14"/>
  <c r="R703" i="14"/>
  <c r="P703" i="14"/>
  <c r="BI698" i="14"/>
  <c r="BH698" i="14"/>
  <c r="BG698" i="14"/>
  <c r="BF698" i="14"/>
  <c r="T698" i="14"/>
  <c r="R698" i="14"/>
  <c r="P698" i="14"/>
  <c r="BI694" i="14"/>
  <c r="BH694" i="14"/>
  <c r="BG694" i="14"/>
  <c r="BF694" i="14"/>
  <c r="T694" i="14"/>
  <c r="R694" i="14"/>
  <c r="P694" i="14"/>
  <c r="BI689" i="14"/>
  <c r="BH689" i="14"/>
  <c r="BG689" i="14"/>
  <c r="BF689" i="14"/>
  <c r="T689" i="14"/>
  <c r="R689" i="14"/>
  <c r="P689" i="14"/>
  <c r="BI684" i="14"/>
  <c r="BH684" i="14"/>
  <c r="BG684" i="14"/>
  <c r="BF684" i="14"/>
  <c r="T684" i="14"/>
  <c r="R684" i="14"/>
  <c r="P684" i="14"/>
  <c r="BI680" i="14"/>
  <c r="BH680" i="14"/>
  <c r="BG680" i="14"/>
  <c r="BF680" i="14"/>
  <c r="T680" i="14"/>
  <c r="R680" i="14"/>
  <c r="P680" i="14"/>
  <c r="BI677" i="14"/>
  <c r="BH677" i="14"/>
  <c r="BG677" i="14"/>
  <c r="BF677" i="14"/>
  <c r="T677" i="14"/>
  <c r="R677" i="14"/>
  <c r="P677" i="14"/>
  <c r="BI672" i="14"/>
  <c r="BH672" i="14"/>
  <c r="BG672" i="14"/>
  <c r="BF672" i="14"/>
  <c r="T672" i="14"/>
  <c r="R672" i="14"/>
  <c r="P672" i="14"/>
  <c r="BI668" i="14"/>
  <c r="BH668" i="14"/>
  <c r="BG668" i="14"/>
  <c r="BF668" i="14"/>
  <c r="T668" i="14"/>
  <c r="R668" i="14"/>
  <c r="P668" i="14"/>
  <c r="BI664" i="14"/>
  <c r="BH664" i="14"/>
  <c r="BG664" i="14"/>
  <c r="BF664" i="14"/>
  <c r="T664" i="14"/>
  <c r="R664" i="14"/>
  <c r="P664" i="14"/>
  <c r="BI660" i="14"/>
  <c r="BH660" i="14"/>
  <c r="BG660" i="14"/>
  <c r="BF660" i="14"/>
  <c r="T660" i="14"/>
  <c r="R660" i="14"/>
  <c r="P660" i="14"/>
  <c r="BI656" i="14"/>
  <c r="BH656" i="14"/>
  <c r="BG656" i="14"/>
  <c r="BF656" i="14"/>
  <c r="T656" i="14"/>
  <c r="R656" i="14"/>
  <c r="P656" i="14"/>
  <c r="BI652" i="14"/>
  <c r="BH652" i="14"/>
  <c r="BG652" i="14"/>
  <c r="BF652" i="14"/>
  <c r="T652" i="14"/>
  <c r="R652" i="14"/>
  <c r="P652" i="14"/>
  <c r="BI646" i="14"/>
  <c r="BH646" i="14"/>
  <c r="BG646" i="14"/>
  <c r="BF646" i="14"/>
  <c r="T646" i="14"/>
  <c r="R646" i="14"/>
  <c r="P646" i="14"/>
  <c r="BI642" i="14"/>
  <c r="BH642" i="14"/>
  <c r="BG642" i="14"/>
  <c r="BF642" i="14"/>
  <c r="T642" i="14"/>
  <c r="R642" i="14"/>
  <c r="P642" i="14"/>
  <c r="BI639" i="14"/>
  <c r="BH639" i="14"/>
  <c r="BG639" i="14"/>
  <c r="BF639" i="14"/>
  <c r="T639" i="14"/>
  <c r="R639" i="14"/>
  <c r="P639" i="14"/>
  <c r="BI633" i="14"/>
  <c r="BH633" i="14"/>
  <c r="BG633" i="14"/>
  <c r="BF633" i="14"/>
  <c r="T633" i="14"/>
  <c r="R633" i="14"/>
  <c r="P633" i="14"/>
  <c r="BI628" i="14"/>
  <c r="BH628" i="14"/>
  <c r="BG628" i="14"/>
  <c r="BF628" i="14"/>
  <c r="T628" i="14"/>
  <c r="R628" i="14"/>
  <c r="P628" i="14"/>
  <c r="BI624" i="14"/>
  <c r="BH624" i="14"/>
  <c r="BG624" i="14"/>
  <c r="BF624" i="14"/>
  <c r="T624" i="14"/>
  <c r="R624" i="14"/>
  <c r="P624" i="14"/>
  <c r="BI615" i="14"/>
  <c r="BH615" i="14"/>
  <c r="BG615" i="14"/>
  <c r="BF615" i="14"/>
  <c r="T615" i="14"/>
  <c r="R615" i="14"/>
  <c r="P615" i="14"/>
  <c r="BI607" i="14"/>
  <c r="BH607" i="14"/>
  <c r="BG607" i="14"/>
  <c r="BF607" i="14"/>
  <c r="T607" i="14"/>
  <c r="R607" i="14"/>
  <c r="P607" i="14"/>
  <c r="BI599" i="14"/>
  <c r="BH599" i="14"/>
  <c r="BG599" i="14"/>
  <c r="BF599" i="14"/>
  <c r="T599" i="14"/>
  <c r="R599" i="14"/>
  <c r="P599" i="14"/>
  <c r="BI595" i="14"/>
  <c r="BH595" i="14"/>
  <c r="BG595" i="14"/>
  <c r="BF595" i="14"/>
  <c r="T595" i="14"/>
  <c r="R595" i="14"/>
  <c r="P595" i="14"/>
  <c r="BI591" i="14"/>
  <c r="BH591" i="14"/>
  <c r="BG591" i="14"/>
  <c r="BF591" i="14"/>
  <c r="T591" i="14"/>
  <c r="R591" i="14"/>
  <c r="P591" i="14"/>
  <c r="BI585" i="14"/>
  <c r="BH585" i="14"/>
  <c r="BG585" i="14"/>
  <c r="BF585" i="14"/>
  <c r="T585" i="14"/>
  <c r="R585" i="14"/>
  <c r="P585" i="14"/>
  <c r="BI577" i="14"/>
  <c r="BH577" i="14"/>
  <c r="BG577" i="14"/>
  <c r="BF577" i="14"/>
  <c r="T577" i="14"/>
  <c r="R577" i="14"/>
  <c r="P577" i="14"/>
  <c r="BI573" i="14"/>
  <c r="BH573" i="14"/>
  <c r="BG573" i="14"/>
  <c r="BF573" i="14"/>
  <c r="T573" i="14"/>
  <c r="R573" i="14"/>
  <c r="P573" i="14"/>
  <c r="BI570" i="14"/>
  <c r="BH570" i="14"/>
  <c r="BG570" i="14"/>
  <c r="BF570" i="14"/>
  <c r="T570" i="14"/>
  <c r="R570" i="14"/>
  <c r="P570" i="14"/>
  <c r="BI563" i="14"/>
  <c r="BH563" i="14"/>
  <c r="BG563" i="14"/>
  <c r="BF563" i="14"/>
  <c r="T563" i="14"/>
  <c r="R563" i="14"/>
  <c r="P563" i="14"/>
  <c r="BI558" i="14"/>
  <c r="BH558" i="14"/>
  <c r="BG558" i="14"/>
  <c r="BF558" i="14"/>
  <c r="T558" i="14"/>
  <c r="R558" i="14"/>
  <c r="P558" i="14"/>
  <c r="BI554" i="14"/>
  <c r="BH554" i="14"/>
  <c r="BG554" i="14"/>
  <c r="BF554" i="14"/>
  <c r="T554" i="14"/>
  <c r="R554" i="14"/>
  <c r="P554" i="14"/>
  <c r="BI551" i="14"/>
  <c r="BH551" i="14"/>
  <c r="BG551" i="14"/>
  <c r="BF551" i="14"/>
  <c r="T551" i="14"/>
  <c r="R551" i="14"/>
  <c r="P551" i="14"/>
  <c r="BI545" i="14"/>
  <c r="BH545" i="14"/>
  <c r="BG545" i="14"/>
  <c r="BF545" i="14"/>
  <c r="T545" i="14"/>
  <c r="R545" i="14"/>
  <c r="P545" i="14"/>
  <c r="BI539" i="14"/>
  <c r="BH539" i="14"/>
  <c r="BG539" i="14"/>
  <c r="BF539" i="14"/>
  <c r="T539" i="14"/>
  <c r="T538" i="14" s="1"/>
  <c r="R539" i="14"/>
  <c r="R538" i="14" s="1"/>
  <c r="P539" i="14"/>
  <c r="P538" i="14" s="1"/>
  <c r="BI534" i="14"/>
  <c r="BH534" i="14"/>
  <c r="BG534" i="14"/>
  <c r="BF534" i="14"/>
  <c r="T534" i="14"/>
  <c r="R534" i="14"/>
  <c r="P534" i="14"/>
  <c r="BI529" i="14"/>
  <c r="BH529" i="14"/>
  <c r="BG529" i="14"/>
  <c r="BF529" i="14"/>
  <c r="T529" i="14"/>
  <c r="R529" i="14"/>
  <c r="P529" i="14"/>
  <c r="BI525" i="14"/>
  <c r="BH525" i="14"/>
  <c r="BG525" i="14"/>
  <c r="BF525" i="14"/>
  <c r="T525" i="14"/>
  <c r="R525" i="14"/>
  <c r="P525" i="14"/>
  <c r="BI520" i="14"/>
  <c r="BH520" i="14"/>
  <c r="BG520" i="14"/>
  <c r="BF520" i="14"/>
  <c r="T520" i="14"/>
  <c r="R520" i="14"/>
  <c r="P520" i="14"/>
  <c r="BI516" i="14"/>
  <c r="BH516" i="14"/>
  <c r="BG516" i="14"/>
  <c r="BF516" i="14"/>
  <c r="T516" i="14"/>
  <c r="R516" i="14"/>
  <c r="P516" i="14"/>
  <c r="BI513" i="14"/>
  <c r="BH513" i="14"/>
  <c r="BG513" i="14"/>
  <c r="BF513" i="14"/>
  <c r="T513" i="14"/>
  <c r="R513" i="14"/>
  <c r="P513" i="14"/>
  <c r="BI511" i="14"/>
  <c r="BH511" i="14"/>
  <c r="BG511" i="14"/>
  <c r="BF511" i="14"/>
  <c r="T511" i="14"/>
  <c r="R511" i="14"/>
  <c r="P511" i="14"/>
  <c r="BI508" i="14"/>
  <c r="BH508" i="14"/>
  <c r="BG508" i="14"/>
  <c r="BF508" i="14"/>
  <c r="T508" i="14"/>
  <c r="R508" i="14"/>
  <c r="P508" i="14"/>
  <c r="BI502" i="14"/>
  <c r="BH502" i="14"/>
  <c r="BG502" i="14"/>
  <c r="BF502" i="14"/>
  <c r="T502" i="14"/>
  <c r="R502" i="14"/>
  <c r="P502" i="14"/>
  <c r="BI498" i="14"/>
  <c r="BH498" i="14"/>
  <c r="BG498" i="14"/>
  <c r="BF498" i="14"/>
  <c r="T498" i="14"/>
  <c r="R498" i="14"/>
  <c r="P498" i="14"/>
  <c r="BI494" i="14"/>
  <c r="BH494" i="14"/>
  <c r="BG494" i="14"/>
  <c r="BF494" i="14"/>
  <c r="T494" i="14"/>
  <c r="R494" i="14"/>
  <c r="P494" i="14"/>
  <c r="BI488" i="14"/>
  <c r="BH488" i="14"/>
  <c r="BG488" i="14"/>
  <c r="BF488" i="14"/>
  <c r="T488" i="14"/>
  <c r="R488" i="14"/>
  <c r="P488" i="14"/>
  <c r="BI482" i="14"/>
  <c r="BH482" i="14"/>
  <c r="BG482" i="14"/>
  <c r="BF482" i="14"/>
  <c r="T482" i="14"/>
  <c r="R482" i="14"/>
  <c r="P482" i="14"/>
  <c r="BI478" i="14"/>
  <c r="BH478" i="14"/>
  <c r="BG478" i="14"/>
  <c r="BF478" i="14"/>
  <c r="T478" i="14"/>
  <c r="R478" i="14"/>
  <c r="P478" i="14"/>
  <c r="BI474" i="14"/>
  <c r="BH474" i="14"/>
  <c r="BG474" i="14"/>
  <c r="BF474" i="14"/>
  <c r="T474" i="14"/>
  <c r="R474" i="14"/>
  <c r="P474" i="14"/>
  <c r="BI470" i="14"/>
  <c r="BH470" i="14"/>
  <c r="BG470" i="14"/>
  <c r="BF470" i="14"/>
  <c r="T470" i="14"/>
  <c r="R470" i="14"/>
  <c r="P470" i="14"/>
  <c r="BI466" i="14"/>
  <c r="BH466" i="14"/>
  <c r="BG466" i="14"/>
  <c r="BF466" i="14"/>
  <c r="T466" i="14"/>
  <c r="R466" i="14"/>
  <c r="P466" i="14"/>
  <c r="BI461" i="14"/>
  <c r="BH461" i="14"/>
  <c r="BG461" i="14"/>
  <c r="BF461" i="14"/>
  <c r="T461" i="14"/>
  <c r="R461" i="14"/>
  <c r="P461" i="14"/>
  <c r="BI450" i="14"/>
  <c r="BH450" i="14"/>
  <c r="BG450" i="14"/>
  <c r="BF450" i="14"/>
  <c r="T450" i="14"/>
  <c r="R450" i="14"/>
  <c r="P450" i="14"/>
  <c r="BI444" i="14"/>
  <c r="BH444" i="14"/>
  <c r="BG444" i="14"/>
  <c r="BF444" i="14"/>
  <c r="T444" i="14"/>
  <c r="R444" i="14"/>
  <c r="P444" i="14"/>
  <c r="BI436" i="14"/>
  <c r="BH436" i="14"/>
  <c r="BG436" i="14"/>
  <c r="BF436" i="14"/>
  <c r="T436" i="14"/>
  <c r="R436" i="14"/>
  <c r="P436" i="14"/>
  <c r="BI430" i="14"/>
  <c r="BH430" i="14"/>
  <c r="BG430" i="14"/>
  <c r="BF430" i="14"/>
  <c r="T430" i="14"/>
  <c r="R430" i="14"/>
  <c r="P430" i="14"/>
  <c r="BI422" i="14"/>
  <c r="BH422" i="14"/>
  <c r="BG422" i="14"/>
  <c r="BF422" i="14"/>
  <c r="T422" i="14"/>
  <c r="R422" i="14"/>
  <c r="P422" i="14"/>
  <c r="BI418" i="14"/>
  <c r="BH418" i="14"/>
  <c r="BG418" i="14"/>
  <c r="BF418" i="14"/>
  <c r="T418" i="14"/>
  <c r="R418" i="14"/>
  <c r="P418" i="14"/>
  <c r="BI412" i="14"/>
  <c r="BH412" i="14"/>
  <c r="BG412" i="14"/>
  <c r="BF412" i="14"/>
  <c r="T412" i="14"/>
  <c r="R412" i="14"/>
  <c r="P412" i="14"/>
  <c r="BI407" i="14"/>
  <c r="BH407" i="14"/>
  <c r="BG407" i="14"/>
  <c r="BF407" i="14"/>
  <c r="T407" i="14"/>
  <c r="R407" i="14"/>
  <c r="P407" i="14"/>
  <c r="BI403" i="14"/>
  <c r="BH403" i="14"/>
  <c r="BG403" i="14"/>
  <c r="BF403" i="14"/>
  <c r="T403" i="14"/>
  <c r="R403" i="14"/>
  <c r="P403" i="14"/>
  <c r="BI400" i="14"/>
  <c r="BH400" i="14"/>
  <c r="BG400" i="14"/>
  <c r="BF400" i="14"/>
  <c r="T400" i="14"/>
  <c r="R400" i="14"/>
  <c r="P400" i="14"/>
  <c r="BI396" i="14"/>
  <c r="BH396" i="14"/>
  <c r="BG396" i="14"/>
  <c r="BF396" i="14"/>
  <c r="T396" i="14"/>
  <c r="R396" i="14"/>
  <c r="P396" i="14"/>
  <c r="BI392" i="14"/>
  <c r="BH392" i="14"/>
  <c r="BG392" i="14"/>
  <c r="BF392" i="14"/>
  <c r="T392" i="14"/>
  <c r="R392" i="14"/>
  <c r="P392" i="14"/>
  <c r="BI388" i="14"/>
  <c r="BH388" i="14"/>
  <c r="BG388" i="14"/>
  <c r="BF388" i="14"/>
  <c r="T388" i="14"/>
  <c r="R388" i="14"/>
  <c r="P388" i="14"/>
  <c r="BI383" i="14"/>
  <c r="BH383" i="14"/>
  <c r="BG383" i="14"/>
  <c r="BF383" i="14"/>
  <c r="T383" i="14"/>
  <c r="R383" i="14"/>
  <c r="P383" i="14"/>
  <c r="BI375" i="14"/>
  <c r="BH375" i="14"/>
  <c r="BG375" i="14"/>
  <c r="BF375" i="14"/>
  <c r="T375" i="14"/>
  <c r="R375" i="14"/>
  <c r="P375" i="14"/>
  <c r="BI370" i="14"/>
  <c r="BH370" i="14"/>
  <c r="BG370" i="14"/>
  <c r="BF370" i="14"/>
  <c r="T370" i="14"/>
  <c r="R370" i="14"/>
  <c r="P370" i="14"/>
  <c r="BI364" i="14"/>
  <c r="BH364" i="14"/>
  <c r="BG364" i="14"/>
  <c r="BF364" i="14"/>
  <c r="T364" i="14"/>
  <c r="R364" i="14"/>
  <c r="P364" i="14"/>
  <c r="BI360" i="14"/>
  <c r="BH360" i="14"/>
  <c r="BG360" i="14"/>
  <c r="BF360" i="14"/>
  <c r="T360" i="14"/>
  <c r="R360" i="14"/>
  <c r="P360" i="14"/>
  <c r="BI354" i="14"/>
  <c r="BH354" i="14"/>
  <c r="BG354" i="14"/>
  <c r="BF354" i="14"/>
  <c r="T354" i="14"/>
  <c r="R354" i="14"/>
  <c r="P354" i="14"/>
  <c r="BI351" i="14"/>
  <c r="BH351" i="14"/>
  <c r="BG351" i="14"/>
  <c r="BF351" i="14"/>
  <c r="T351" i="14"/>
  <c r="R351" i="14"/>
  <c r="P351" i="14"/>
  <c r="BI345" i="14"/>
  <c r="BH345" i="14"/>
  <c r="BG345" i="14"/>
  <c r="BF345" i="14"/>
  <c r="T345" i="14"/>
  <c r="R345" i="14"/>
  <c r="P345" i="14"/>
  <c r="BI340" i="14"/>
  <c r="BH340" i="14"/>
  <c r="BG340" i="14"/>
  <c r="BF340" i="14"/>
  <c r="T340" i="14"/>
  <c r="R340" i="14"/>
  <c r="P340" i="14"/>
  <c r="BI331" i="14"/>
  <c r="BH331" i="14"/>
  <c r="BG331" i="14"/>
  <c r="BF331" i="14"/>
  <c r="T331" i="14"/>
  <c r="R331" i="14"/>
  <c r="P331" i="14"/>
  <c r="BI326" i="14"/>
  <c r="BH326" i="14"/>
  <c r="BG326" i="14"/>
  <c r="BF326" i="14"/>
  <c r="T326" i="14"/>
  <c r="R326" i="14"/>
  <c r="P326" i="14"/>
  <c r="BI319" i="14"/>
  <c r="BH319" i="14"/>
  <c r="BG319" i="14"/>
  <c r="BF319" i="14"/>
  <c r="T319" i="14"/>
  <c r="R319" i="14"/>
  <c r="P319" i="14"/>
  <c r="BI312" i="14"/>
  <c r="BH312" i="14"/>
  <c r="BG312" i="14"/>
  <c r="BF312" i="14"/>
  <c r="T312" i="14"/>
  <c r="R312" i="14"/>
  <c r="P312" i="14"/>
  <c r="BI306" i="14"/>
  <c r="BH306" i="14"/>
  <c r="BG306" i="14"/>
  <c r="BF306" i="14"/>
  <c r="T306" i="14"/>
  <c r="R306" i="14"/>
  <c r="P306" i="14"/>
  <c r="BI302" i="14"/>
  <c r="BH302" i="14"/>
  <c r="BG302" i="14"/>
  <c r="BF302" i="14"/>
  <c r="T302" i="14"/>
  <c r="R302" i="14"/>
  <c r="P302" i="14"/>
  <c r="BI294" i="14"/>
  <c r="BH294" i="14"/>
  <c r="BG294" i="14"/>
  <c r="BF294" i="14"/>
  <c r="T294" i="14"/>
  <c r="R294" i="14"/>
  <c r="P294" i="14"/>
  <c r="BI290" i="14"/>
  <c r="BH290" i="14"/>
  <c r="BG290" i="14"/>
  <c r="BF290" i="14"/>
  <c r="T290" i="14"/>
  <c r="R290" i="14"/>
  <c r="P290" i="14"/>
  <c r="BI288" i="14"/>
  <c r="BH288" i="14"/>
  <c r="BG288" i="14"/>
  <c r="BF288" i="14"/>
  <c r="T288" i="14"/>
  <c r="R288" i="14"/>
  <c r="P288" i="14"/>
  <c r="BI286" i="14"/>
  <c r="BH286" i="14"/>
  <c r="BG286" i="14"/>
  <c r="BF286" i="14"/>
  <c r="T286" i="14"/>
  <c r="R286" i="14"/>
  <c r="P286" i="14"/>
  <c r="BI283" i="14"/>
  <c r="BH283" i="14"/>
  <c r="BG283" i="14"/>
  <c r="BF283" i="14"/>
  <c r="T283" i="14"/>
  <c r="R283" i="14"/>
  <c r="P283" i="14"/>
  <c r="BI278" i="14"/>
  <c r="BH278" i="14"/>
  <c r="BG278" i="14"/>
  <c r="BF278" i="14"/>
  <c r="T278" i="14"/>
  <c r="R278" i="14"/>
  <c r="P278" i="14"/>
  <c r="BI273" i="14"/>
  <c r="BH273" i="14"/>
  <c r="BG273" i="14"/>
  <c r="BF273" i="14"/>
  <c r="T273" i="14"/>
  <c r="R273" i="14"/>
  <c r="P273" i="14"/>
  <c r="BI269" i="14"/>
  <c r="BH269" i="14"/>
  <c r="BG269" i="14"/>
  <c r="BF269" i="14"/>
  <c r="T269" i="14"/>
  <c r="R269" i="14"/>
  <c r="P269" i="14"/>
  <c r="BI265" i="14"/>
  <c r="BH265" i="14"/>
  <c r="BG265" i="14"/>
  <c r="BF265" i="14"/>
  <c r="T265" i="14"/>
  <c r="R265" i="14"/>
  <c r="P265" i="14"/>
  <c r="BI251" i="14"/>
  <c r="BH251" i="14"/>
  <c r="BG251" i="14"/>
  <c r="BF251" i="14"/>
  <c r="T251" i="14"/>
  <c r="R251" i="14"/>
  <c r="P251" i="14"/>
  <c r="BI248" i="14"/>
  <c r="BH248" i="14"/>
  <c r="BG248" i="14"/>
  <c r="BF248" i="14"/>
  <c r="T248" i="14"/>
  <c r="R248" i="14"/>
  <c r="P248" i="14"/>
  <c r="BI235" i="14"/>
  <c r="BH235" i="14"/>
  <c r="BG235" i="14"/>
  <c r="BF235" i="14"/>
  <c r="T235" i="14"/>
  <c r="R235" i="14"/>
  <c r="P235" i="14"/>
  <c r="BI232" i="14"/>
  <c r="BH232" i="14"/>
  <c r="BG232" i="14"/>
  <c r="BF232" i="14"/>
  <c r="T232" i="14"/>
  <c r="R232" i="14"/>
  <c r="P232" i="14"/>
  <c r="BI226" i="14"/>
  <c r="BH226" i="14"/>
  <c r="BG226" i="14"/>
  <c r="BF226" i="14"/>
  <c r="T226" i="14"/>
  <c r="R226" i="14"/>
  <c r="P226" i="14"/>
  <c r="BI223" i="14"/>
  <c r="BH223" i="14"/>
  <c r="BG223" i="14"/>
  <c r="BF223" i="14"/>
  <c r="T223" i="14"/>
  <c r="R223" i="14"/>
  <c r="P223" i="14"/>
  <c r="BI214" i="14"/>
  <c r="BH214" i="14"/>
  <c r="BG214" i="14"/>
  <c r="BF214" i="14"/>
  <c r="T214" i="14"/>
  <c r="R214" i="14"/>
  <c r="P214" i="14"/>
  <c r="BI211" i="14"/>
  <c r="BH211" i="14"/>
  <c r="BG211" i="14"/>
  <c r="BF211" i="14"/>
  <c r="T211" i="14"/>
  <c r="R211" i="14"/>
  <c r="P211" i="14"/>
  <c r="BI205" i="14"/>
  <c r="BH205" i="14"/>
  <c r="BG205" i="14"/>
  <c r="BF205" i="14"/>
  <c r="T205" i="14"/>
  <c r="R205" i="14"/>
  <c r="P205" i="14"/>
  <c r="BI199" i="14"/>
  <c r="BH199" i="14"/>
  <c r="BG199" i="14"/>
  <c r="BF199" i="14"/>
  <c r="T199" i="14"/>
  <c r="R199" i="14"/>
  <c r="P199" i="14"/>
  <c r="BI195" i="14"/>
  <c r="BH195" i="14"/>
  <c r="BG195" i="14"/>
  <c r="BF195" i="14"/>
  <c r="T195" i="14"/>
  <c r="R195" i="14"/>
  <c r="P195" i="14"/>
  <c r="BI192" i="14"/>
  <c r="BH192" i="14"/>
  <c r="BG192" i="14"/>
  <c r="BF192" i="14"/>
  <c r="T192" i="14"/>
  <c r="R192" i="14"/>
  <c r="P192" i="14"/>
  <c r="BI184" i="14"/>
  <c r="BH184" i="14"/>
  <c r="BG184" i="14"/>
  <c r="BF184" i="14"/>
  <c r="T184" i="14"/>
  <c r="R184" i="14"/>
  <c r="P184" i="14"/>
  <c r="BI179" i="14"/>
  <c r="BH179" i="14"/>
  <c r="BG179" i="14"/>
  <c r="BF179" i="14"/>
  <c r="T179" i="14"/>
  <c r="R179" i="14"/>
  <c r="P179" i="14"/>
  <c r="BI174" i="14"/>
  <c r="BH174" i="14"/>
  <c r="BG174" i="14"/>
  <c r="BF174" i="14"/>
  <c r="T174" i="14"/>
  <c r="R174" i="14"/>
  <c r="P174" i="14"/>
  <c r="BI171" i="14"/>
  <c r="BH171" i="14"/>
  <c r="BG171" i="14"/>
  <c r="BF171" i="14"/>
  <c r="T171" i="14"/>
  <c r="R171" i="14"/>
  <c r="P171" i="14"/>
  <c r="BI168" i="14"/>
  <c r="BH168" i="14"/>
  <c r="BG168" i="14"/>
  <c r="BF168" i="14"/>
  <c r="T168" i="14"/>
  <c r="R168" i="14"/>
  <c r="P168" i="14"/>
  <c r="BI163" i="14"/>
  <c r="BH163" i="14"/>
  <c r="BG163" i="14"/>
  <c r="BF163" i="14"/>
  <c r="T163" i="14"/>
  <c r="R163" i="14"/>
  <c r="P163" i="14"/>
  <c r="BI156" i="14"/>
  <c r="BH156" i="14"/>
  <c r="BG156" i="14"/>
  <c r="BF156" i="14"/>
  <c r="T156" i="14"/>
  <c r="R156" i="14"/>
  <c r="P156" i="14"/>
  <c r="BI149" i="14"/>
  <c r="BH149" i="14"/>
  <c r="BG149" i="14"/>
  <c r="BF149" i="14"/>
  <c r="T149" i="14"/>
  <c r="T148" i="14" s="1"/>
  <c r="R149" i="14"/>
  <c r="R148" i="14" s="1"/>
  <c r="P149" i="14"/>
  <c r="P148" i="14"/>
  <c r="BI144" i="14"/>
  <c r="BH144" i="14"/>
  <c r="BG144" i="14"/>
  <c r="BF144" i="14"/>
  <c r="T144" i="14"/>
  <c r="R144" i="14"/>
  <c r="P144" i="14"/>
  <c r="BI138" i="14"/>
  <c r="BH138" i="14"/>
  <c r="BG138" i="14"/>
  <c r="BF138" i="14"/>
  <c r="T138" i="14"/>
  <c r="R138" i="14"/>
  <c r="P138" i="14"/>
  <c r="BI133" i="14"/>
  <c r="BH133" i="14"/>
  <c r="BG133" i="14"/>
  <c r="BF133" i="14"/>
  <c r="T133" i="14"/>
  <c r="R133" i="14"/>
  <c r="P133" i="14"/>
  <c r="BI128" i="14"/>
  <c r="BH128" i="14"/>
  <c r="BG128" i="14"/>
  <c r="BF128" i="14"/>
  <c r="T128" i="14"/>
  <c r="R128" i="14"/>
  <c r="P128" i="14"/>
  <c r="BI123" i="14"/>
  <c r="BH123" i="14"/>
  <c r="BG123" i="14"/>
  <c r="BF123" i="14"/>
  <c r="T123" i="14"/>
  <c r="R123" i="14"/>
  <c r="P123" i="14"/>
  <c r="BI119" i="14"/>
  <c r="BH119" i="14"/>
  <c r="BG119" i="14"/>
  <c r="BF119" i="14"/>
  <c r="T119" i="14"/>
  <c r="R119" i="14"/>
  <c r="P119" i="14"/>
  <c r="BI112" i="14"/>
  <c r="BH112" i="14"/>
  <c r="BG112" i="14"/>
  <c r="BF112" i="14"/>
  <c r="T112" i="14"/>
  <c r="R112" i="14"/>
  <c r="P112" i="14"/>
  <c r="BI107" i="14"/>
  <c r="BH107" i="14"/>
  <c r="BG107" i="14"/>
  <c r="BF107" i="14"/>
  <c r="T107" i="14"/>
  <c r="R107" i="14"/>
  <c r="P107" i="14"/>
  <c r="BI102" i="14"/>
  <c r="BH102" i="14"/>
  <c r="BG102" i="14"/>
  <c r="BF102" i="14"/>
  <c r="T102" i="14"/>
  <c r="R102" i="14"/>
  <c r="P102" i="14"/>
  <c r="J96" i="14"/>
  <c r="J95" i="14"/>
  <c r="F95" i="14"/>
  <c r="F93" i="14"/>
  <c r="E91" i="14"/>
  <c r="J55" i="14"/>
  <c r="J54" i="14"/>
  <c r="F54" i="14"/>
  <c r="F52" i="14"/>
  <c r="E50" i="14"/>
  <c r="J18" i="14"/>
  <c r="E18" i="14"/>
  <c r="F96" i="14" s="1"/>
  <c r="J17" i="14"/>
  <c r="J12" i="14"/>
  <c r="J93" i="14" s="1"/>
  <c r="E7" i="14"/>
  <c r="E89" i="14" s="1"/>
  <c r="J37" i="13"/>
  <c r="J36" i="13"/>
  <c r="AY66" i="1" s="1"/>
  <c r="J35" i="13"/>
  <c r="AX66" i="1" s="1"/>
  <c r="BI319" i="13"/>
  <c r="BH319" i="13"/>
  <c r="BG319" i="13"/>
  <c r="BF319" i="13"/>
  <c r="T319" i="13"/>
  <c r="T318" i="13" s="1"/>
  <c r="R319" i="13"/>
  <c r="R318" i="13" s="1"/>
  <c r="P319" i="13"/>
  <c r="P318" i="13" s="1"/>
  <c r="BI314" i="13"/>
  <c r="BH314" i="13"/>
  <c r="BG314" i="13"/>
  <c r="BF314" i="13"/>
  <c r="T314" i="13"/>
  <c r="R314" i="13"/>
  <c r="P314" i="13"/>
  <c r="BI310" i="13"/>
  <c r="BH310" i="13"/>
  <c r="BG310" i="13"/>
  <c r="BF310" i="13"/>
  <c r="T310" i="13"/>
  <c r="R310" i="13"/>
  <c r="P310" i="13"/>
  <c r="BI304" i="13"/>
  <c r="BH304" i="13"/>
  <c r="BG304" i="13"/>
  <c r="BF304" i="13"/>
  <c r="T304" i="13"/>
  <c r="R304" i="13"/>
  <c r="P304" i="13"/>
  <c r="BI301" i="13"/>
  <c r="BH301" i="13"/>
  <c r="BG301" i="13"/>
  <c r="BF301" i="13"/>
  <c r="T301" i="13"/>
  <c r="R301" i="13"/>
  <c r="P301" i="13"/>
  <c r="BI297" i="13"/>
  <c r="BH297" i="13"/>
  <c r="BG297" i="13"/>
  <c r="BF297" i="13"/>
  <c r="T297" i="13"/>
  <c r="R297" i="13"/>
  <c r="P297" i="13"/>
  <c r="BI290" i="13"/>
  <c r="BH290" i="13"/>
  <c r="BG290" i="13"/>
  <c r="BF290" i="13"/>
  <c r="T290" i="13"/>
  <c r="R290" i="13"/>
  <c r="P290" i="13"/>
  <c r="BI279" i="13"/>
  <c r="BH279" i="13"/>
  <c r="BG279" i="13"/>
  <c r="BF279" i="13"/>
  <c r="T279" i="13"/>
  <c r="R279" i="13"/>
  <c r="P279" i="13"/>
  <c r="BI277" i="13"/>
  <c r="BH277" i="13"/>
  <c r="BG277" i="13"/>
  <c r="BF277" i="13"/>
  <c r="T277" i="13"/>
  <c r="R277" i="13"/>
  <c r="P277" i="13"/>
  <c r="BI267" i="13"/>
  <c r="BH267" i="13"/>
  <c r="BG267" i="13"/>
  <c r="BF267" i="13"/>
  <c r="T267" i="13"/>
  <c r="R267" i="13"/>
  <c r="P267" i="13"/>
  <c r="BI262" i="13"/>
  <c r="BH262" i="13"/>
  <c r="BG262" i="13"/>
  <c r="BF262" i="13"/>
  <c r="T262" i="13"/>
  <c r="R262" i="13"/>
  <c r="P262" i="13"/>
  <c r="BI258" i="13"/>
  <c r="BH258" i="13"/>
  <c r="BG258" i="13"/>
  <c r="BF258" i="13"/>
  <c r="T258" i="13"/>
  <c r="R258" i="13"/>
  <c r="P258" i="13"/>
  <c r="BI253" i="13"/>
  <c r="BH253" i="13"/>
  <c r="BG253" i="13"/>
  <c r="BF253" i="13"/>
  <c r="T253" i="13"/>
  <c r="R253" i="13"/>
  <c r="P253" i="13"/>
  <c r="BI245" i="13"/>
  <c r="BH245" i="13"/>
  <c r="BG245" i="13"/>
  <c r="BF245" i="13"/>
  <c r="T245" i="13"/>
  <c r="R245" i="13"/>
  <c r="P245" i="13"/>
  <c r="BI241" i="13"/>
  <c r="BH241" i="13"/>
  <c r="BG241" i="13"/>
  <c r="BF241" i="13"/>
  <c r="T241" i="13"/>
  <c r="R241" i="13"/>
  <c r="P241" i="13"/>
  <c r="BI235" i="13"/>
  <c r="BH235" i="13"/>
  <c r="BG235" i="13"/>
  <c r="BF235" i="13"/>
  <c r="T235" i="13"/>
  <c r="T234" i="13" s="1"/>
  <c r="R235" i="13"/>
  <c r="R234" i="13" s="1"/>
  <c r="P235" i="13"/>
  <c r="P234" i="13" s="1"/>
  <c r="BI230" i="13"/>
  <c r="BH230" i="13"/>
  <c r="BG230" i="13"/>
  <c r="BF230" i="13"/>
  <c r="T230" i="13"/>
  <c r="R230" i="13"/>
  <c r="P230" i="13"/>
  <c r="BI225" i="13"/>
  <c r="BH225" i="13"/>
  <c r="BG225" i="13"/>
  <c r="BF225" i="13"/>
  <c r="T225" i="13"/>
  <c r="R225" i="13"/>
  <c r="P225" i="13"/>
  <c r="BI221" i="13"/>
  <c r="BH221" i="13"/>
  <c r="BG221" i="13"/>
  <c r="BF221" i="13"/>
  <c r="T221" i="13"/>
  <c r="R221" i="13"/>
  <c r="P221" i="13"/>
  <c r="BI216" i="13"/>
  <c r="BH216" i="13"/>
  <c r="BG216" i="13"/>
  <c r="BF216" i="13"/>
  <c r="T216" i="13"/>
  <c r="R216" i="13"/>
  <c r="P216" i="13"/>
  <c r="BI212" i="13"/>
  <c r="BH212" i="13"/>
  <c r="BG212" i="13"/>
  <c r="BF212" i="13"/>
  <c r="T212" i="13"/>
  <c r="R212" i="13"/>
  <c r="P212" i="13"/>
  <c r="BI208" i="13"/>
  <c r="BH208" i="13"/>
  <c r="BG208" i="13"/>
  <c r="BF208" i="13"/>
  <c r="T208" i="13"/>
  <c r="R208" i="13"/>
  <c r="P208" i="13"/>
  <c r="BI205" i="13"/>
  <c r="BH205" i="13"/>
  <c r="BG205" i="13"/>
  <c r="BF205" i="13"/>
  <c r="T205" i="13"/>
  <c r="R205" i="13"/>
  <c r="P205" i="13"/>
  <c r="BI202" i="13"/>
  <c r="BH202" i="13"/>
  <c r="BG202" i="13"/>
  <c r="BF202" i="13"/>
  <c r="T202" i="13"/>
  <c r="R202" i="13"/>
  <c r="P202" i="13"/>
  <c r="BI198" i="13"/>
  <c r="BH198" i="13"/>
  <c r="BG198" i="13"/>
  <c r="BF198" i="13"/>
  <c r="T198" i="13"/>
  <c r="R198" i="13"/>
  <c r="P198" i="13"/>
  <c r="BI191" i="13"/>
  <c r="BH191" i="13"/>
  <c r="BG191" i="13"/>
  <c r="BF191" i="13"/>
  <c r="T191" i="13"/>
  <c r="R191" i="13"/>
  <c r="P191" i="13"/>
  <c r="BI182" i="13"/>
  <c r="BH182" i="13"/>
  <c r="BG182" i="13"/>
  <c r="BF182" i="13"/>
  <c r="T182" i="13"/>
  <c r="R182" i="13"/>
  <c r="P182" i="13"/>
  <c r="BI179" i="13"/>
  <c r="BH179" i="13"/>
  <c r="BG179" i="13"/>
  <c r="BF179" i="13"/>
  <c r="T179" i="13"/>
  <c r="R179" i="13"/>
  <c r="P179" i="13"/>
  <c r="BI174" i="13"/>
  <c r="BH174" i="13"/>
  <c r="BG174" i="13"/>
  <c r="BF174" i="13"/>
  <c r="T174" i="13"/>
  <c r="R174" i="13"/>
  <c r="P174" i="13"/>
  <c r="BI170" i="13"/>
  <c r="BH170" i="13"/>
  <c r="BG170" i="13"/>
  <c r="BF170" i="13"/>
  <c r="T170" i="13"/>
  <c r="R170" i="13"/>
  <c r="P170" i="13"/>
  <c r="BI166" i="13"/>
  <c r="BH166" i="13"/>
  <c r="BG166" i="13"/>
  <c r="BF166" i="13"/>
  <c r="T166" i="13"/>
  <c r="R166" i="13"/>
  <c r="P166" i="13"/>
  <c r="BI163" i="13"/>
  <c r="BH163" i="13"/>
  <c r="BG163" i="13"/>
  <c r="BF163" i="13"/>
  <c r="T163" i="13"/>
  <c r="R163" i="13"/>
  <c r="P163" i="13"/>
  <c r="BI159" i="13"/>
  <c r="BH159" i="13"/>
  <c r="BG159" i="13"/>
  <c r="BF159" i="13"/>
  <c r="T159" i="13"/>
  <c r="R159" i="13"/>
  <c r="P159" i="13"/>
  <c r="BI155" i="13"/>
  <c r="BH155" i="13"/>
  <c r="BG155" i="13"/>
  <c r="BF155" i="13"/>
  <c r="T155" i="13"/>
  <c r="R155" i="13"/>
  <c r="P155" i="13"/>
  <c r="BI148" i="13"/>
  <c r="BH148" i="13"/>
  <c r="BG148" i="13"/>
  <c r="BF148" i="13"/>
  <c r="T148" i="13"/>
  <c r="R148" i="13"/>
  <c r="P148" i="13"/>
  <c r="BI140" i="13"/>
  <c r="BH140" i="13"/>
  <c r="BG140" i="13"/>
  <c r="BF140" i="13"/>
  <c r="T140" i="13"/>
  <c r="R140" i="13"/>
  <c r="P140" i="13"/>
  <c r="BI133" i="13"/>
  <c r="BH133" i="13"/>
  <c r="BG133" i="13"/>
  <c r="BF133" i="13"/>
  <c r="T133" i="13"/>
  <c r="R133" i="13"/>
  <c r="P133" i="13"/>
  <c r="BI128" i="13"/>
  <c r="BH128" i="13"/>
  <c r="BG128" i="13"/>
  <c r="BF128" i="13"/>
  <c r="T128" i="13"/>
  <c r="R128" i="13"/>
  <c r="P128" i="13"/>
  <c r="BI105" i="13"/>
  <c r="BH105" i="13"/>
  <c r="BG105" i="13"/>
  <c r="BF105" i="13"/>
  <c r="T105" i="13"/>
  <c r="R105" i="13"/>
  <c r="P105" i="13"/>
  <c r="BI101" i="13"/>
  <c r="BH101" i="13"/>
  <c r="BG101" i="13"/>
  <c r="BF101" i="13"/>
  <c r="T101" i="13"/>
  <c r="R101" i="13"/>
  <c r="P101" i="13"/>
  <c r="BI97" i="13"/>
  <c r="BH97" i="13"/>
  <c r="BG97" i="13"/>
  <c r="BF97" i="13"/>
  <c r="T97" i="13"/>
  <c r="R97" i="13"/>
  <c r="P97" i="13"/>
  <c r="BI94" i="13"/>
  <c r="BH94" i="13"/>
  <c r="BG94" i="13"/>
  <c r="BF94" i="13"/>
  <c r="T94" i="13"/>
  <c r="R94" i="13"/>
  <c r="P94" i="13"/>
  <c r="BI91" i="13"/>
  <c r="BH91" i="13"/>
  <c r="BG91" i="13"/>
  <c r="BF91" i="13"/>
  <c r="T91" i="13"/>
  <c r="R91" i="13"/>
  <c r="P91" i="13"/>
  <c r="J85" i="13"/>
  <c r="J84" i="13"/>
  <c r="F84" i="13"/>
  <c r="F82" i="13"/>
  <c r="E80" i="13"/>
  <c r="J55" i="13"/>
  <c r="J54" i="13"/>
  <c r="F54" i="13"/>
  <c r="F52" i="13"/>
  <c r="E50" i="13"/>
  <c r="J18" i="13"/>
  <c r="E18" i="13"/>
  <c r="F85" i="13" s="1"/>
  <c r="J17" i="13"/>
  <c r="J12" i="13"/>
  <c r="J82" i="13" s="1"/>
  <c r="E7" i="13"/>
  <c r="E78" i="13" s="1"/>
  <c r="J37" i="12"/>
  <c r="J36" i="12"/>
  <c r="AY65" i="1" s="1"/>
  <c r="J35" i="12"/>
  <c r="AX65" i="1" s="1"/>
  <c r="BI372" i="12"/>
  <c r="BH372" i="12"/>
  <c r="BG372" i="12"/>
  <c r="BF372" i="12"/>
  <c r="T372" i="12"/>
  <c r="T371" i="12" s="1"/>
  <c r="R372" i="12"/>
  <c r="R371" i="12"/>
  <c r="P372" i="12"/>
  <c r="P371" i="12" s="1"/>
  <c r="BI367" i="12"/>
  <c r="BH367" i="12"/>
  <c r="BG367" i="12"/>
  <c r="BF367" i="12"/>
  <c r="T367" i="12"/>
  <c r="R367" i="12"/>
  <c r="P367" i="12"/>
  <c r="BI363" i="12"/>
  <c r="BH363" i="12"/>
  <c r="BG363" i="12"/>
  <c r="BF363" i="12"/>
  <c r="T363" i="12"/>
  <c r="R363" i="12"/>
  <c r="P363" i="12"/>
  <c r="BI359" i="12"/>
  <c r="BH359" i="12"/>
  <c r="BG359" i="12"/>
  <c r="BF359" i="12"/>
  <c r="T359" i="12"/>
  <c r="R359" i="12"/>
  <c r="P359" i="12"/>
  <c r="BI354" i="12"/>
  <c r="BH354" i="12"/>
  <c r="BG354" i="12"/>
  <c r="BF354" i="12"/>
  <c r="T354" i="12"/>
  <c r="R354" i="12"/>
  <c r="P354" i="12"/>
  <c r="BI349" i="12"/>
  <c r="BH349" i="12"/>
  <c r="BG349" i="12"/>
  <c r="BF349" i="12"/>
  <c r="T349" i="12"/>
  <c r="R349" i="12"/>
  <c r="P349" i="12"/>
  <c r="BI345" i="12"/>
  <c r="BH345" i="12"/>
  <c r="BG345" i="12"/>
  <c r="BF345" i="12"/>
  <c r="T345" i="12"/>
  <c r="R345" i="12"/>
  <c r="P345" i="12"/>
  <c r="BI342" i="12"/>
  <c r="BH342" i="12"/>
  <c r="BG342" i="12"/>
  <c r="BF342" i="12"/>
  <c r="T342" i="12"/>
  <c r="R342" i="12"/>
  <c r="P342" i="12"/>
  <c r="BI336" i="12"/>
  <c r="BH336" i="12"/>
  <c r="BG336" i="12"/>
  <c r="BF336" i="12"/>
  <c r="T336" i="12"/>
  <c r="R336" i="12"/>
  <c r="P336" i="12"/>
  <c r="BI330" i="12"/>
  <c r="BH330" i="12"/>
  <c r="BG330" i="12"/>
  <c r="BF330" i="12"/>
  <c r="T330" i="12"/>
  <c r="T329" i="12"/>
  <c r="R330" i="12"/>
  <c r="R329" i="12" s="1"/>
  <c r="P330" i="12"/>
  <c r="P329" i="12" s="1"/>
  <c r="BI325" i="12"/>
  <c r="BH325" i="12"/>
  <c r="BG325" i="12"/>
  <c r="BF325" i="12"/>
  <c r="T325" i="12"/>
  <c r="R325" i="12"/>
  <c r="P325" i="12"/>
  <c r="BI320" i="12"/>
  <c r="BH320" i="12"/>
  <c r="BG320" i="12"/>
  <c r="BF320" i="12"/>
  <c r="T320" i="12"/>
  <c r="R320" i="12"/>
  <c r="P320" i="12"/>
  <c r="BI316" i="12"/>
  <c r="BH316" i="12"/>
  <c r="BG316" i="12"/>
  <c r="BF316" i="12"/>
  <c r="T316" i="12"/>
  <c r="R316" i="12"/>
  <c r="P316" i="12"/>
  <c r="BI311" i="12"/>
  <c r="BH311" i="12"/>
  <c r="BG311" i="12"/>
  <c r="BF311" i="12"/>
  <c r="T311" i="12"/>
  <c r="R311" i="12"/>
  <c r="P311" i="12"/>
  <c r="BI307" i="12"/>
  <c r="BH307" i="12"/>
  <c r="BG307" i="12"/>
  <c r="BF307" i="12"/>
  <c r="T307" i="12"/>
  <c r="R307" i="12"/>
  <c r="P307" i="12"/>
  <c r="BI301" i="12"/>
  <c r="BH301" i="12"/>
  <c r="BG301" i="12"/>
  <c r="BF301" i="12"/>
  <c r="T301" i="12"/>
  <c r="R301" i="12"/>
  <c r="P301" i="12"/>
  <c r="BI297" i="12"/>
  <c r="BH297" i="12"/>
  <c r="BG297" i="12"/>
  <c r="BF297" i="12"/>
  <c r="T297" i="12"/>
  <c r="R297" i="12"/>
  <c r="P297" i="12"/>
  <c r="BI293" i="12"/>
  <c r="BH293" i="12"/>
  <c r="BG293" i="12"/>
  <c r="BF293" i="12"/>
  <c r="T293" i="12"/>
  <c r="R293" i="12"/>
  <c r="P293" i="12"/>
  <c r="BI289" i="12"/>
  <c r="BH289" i="12"/>
  <c r="BG289" i="12"/>
  <c r="BF289" i="12"/>
  <c r="T289" i="12"/>
  <c r="R289" i="12"/>
  <c r="P289" i="12"/>
  <c r="BI283" i="12"/>
  <c r="BH283" i="12"/>
  <c r="BG283" i="12"/>
  <c r="BF283" i="12"/>
  <c r="T283" i="12"/>
  <c r="R283" i="12"/>
  <c r="P283" i="12"/>
  <c r="BI280" i="12"/>
  <c r="BH280" i="12"/>
  <c r="BG280" i="12"/>
  <c r="BF280" i="12"/>
  <c r="T280" i="12"/>
  <c r="R280" i="12"/>
  <c r="P280" i="12"/>
  <c r="BI278" i="12"/>
  <c r="BH278" i="12"/>
  <c r="BG278" i="12"/>
  <c r="BF278" i="12"/>
  <c r="T278" i="12"/>
  <c r="R278" i="12"/>
  <c r="P278"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2" i="12"/>
  <c r="BH252" i="12"/>
  <c r="BG252" i="12"/>
  <c r="BF252" i="12"/>
  <c r="T252" i="12"/>
  <c r="R252" i="12"/>
  <c r="P252" i="12"/>
  <c r="BI248" i="12"/>
  <c r="BH248" i="12"/>
  <c r="BG248" i="12"/>
  <c r="BF248" i="12"/>
  <c r="T248" i="12"/>
  <c r="R248" i="12"/>
  <c r="P248" i="12"/>
  <c r="BI238" i="12"/>
  <c r="BH238" i="12"/>
  <c r="BG238" i="12"/>
  <c r="BF238" i="12"/>
  <c r="T238" i="12"/>
  <c r="R238" i="12"/>
  <c r="P238" i="12"/>
  <c r="BI234" i="12"/>
  <c r="BH234" i="12"/>
  <c r="BG234" i="12"/>
  <c r="BF234" i="12"/>
  <c r="T234" i="12"/>
  <c r="R234" i="12"/>
  <c r="P234" i="12"/>
  <c r="BI230" i="12"/>
  <c r="BH230" i="12"/>
  <c r="BG230" i="12"/>
  <c r="BF230" i="12"/>
  <c r="T230" i="12"/>
  <c r="R230" i="12"/>
  <c r="P230" i="12"/>
  <c r="BI225" i="12"/>
  <c r="BH225" i="12"/>
  <c r="BG225" i="12"/>
  <c r="BF225" i="12"/>
  <c r="T225" i="12"/>
  <c r="R225" i="12"/>
  <c r="P225" i="12"/>
  <c r="BI220" i="12"/>
  <c r="BH220" i="12"/>
  <c r="BG220" i="12"/>
  <c r="BF220" i="12"/>
  <c r="T220" i="12"/>
  <c r="R220" i="12"/>
  <c r="P220" i="12"/>
  <c r="BI217" i="12"/>
  <c r="BH217" i="12"/>
  <c r="BG217" i="12"/>
  <c r="BF217" i="12"/>
  <c r="T217" i="12"/>
  <c r="R217" i="12"/>
  <c r="P217" i="12"/>
  <c r="BI213" i="12"/>
  <c r="BH213" i="12"/>
  <c r="BG213" i="12"/>
  <c r="BF213" i="12"/>
  <c r="T213" i="12"/>
  <c r="R213" i="12"/>
  <c r="P213" i="12"/>
  <c r="BI210" i="12"/>
  <c r="BH210" i="12"/>
  <c r="BG210" i="12"/>
  <c r="BF210" i="12"/>
  <c r="T210" i="12"/>
  <c r="R210" i="12"/>
  <c r="P210" i="12"/>
  <c r="BI201" i="12"/>
  <c r="BH201" i="12"/>
  <c r="BG201" i="12"/>
  <c r="BF201" i="12"/>
  <c r="T201" i="12"/>
  <c r="R201" i="12"/>
  <c r="P201" i="12"/>
  <c r="BI197" i="12"/>
  <c r="BH197" i="12"/>
  <c r="BG197" i="12"/>
  <c r="BF197" i="12"/>
  <c r="T197" i="12"/>
  <c r="R197" i="12"/>
  <c r="P197" i="12"/>
  <c r="BI193" i="12"/>
  <c r="BH193" i="12"/>
  <c r="BG193" i="12"/>
  <c r="BF193" i="12"/>
  <c r="T193" i="12"/>
  <c r="R193" i="12"/>
  <c r="P193" i="12"/>
  <c r="BI186" i="12"/>
  <c r="BH186" i="12"/>
  <c r="BG186" i="12"/>
  <c r="BF186" i="12"/>
  <c r="T186" i="12"/>
  <c r="R186" i="12"/>
  <c r="P186" i="12"/>
  <c r="BI178" i="12"/>
  <c r="BH178" i="12"/>
  <c r="BG178" i="12"/>
  <c r="BF178" i="12"/>
  <c r="T178" i="12"/>
  <c r="R178" i="12"/>
  <c r="P178" i="12"/>
  <c r="BI174" i="12"/>
  <c r="BH174" i="12"/>
  <c r="BG174" i="12"/>
  <c r="BF174" i="12"/>
  <c r="T174" i="12"/>
  <c r="R174" i="12"/>
  <c r="P174" i="12"/>
  <c r="BI167" i="12"/>
  <c r="BH167" i="12"/>
  <c r="BG167" i="12"/>
  <c r="BF167" i="12"/>
  <c r="T167" i="12"/>
  <c r="R167" i="12"/>
  <c r="P167" i="12"/>
  <c r="BI163" i="12"/>
  <c r="BH163" i="12"/>
  <c r="BG163" i="12"/>
  <c r="BF163" i="12"/>
  <c r="T163" i="12"/>
  <c r="R163" i="12"/>
  <c r="P163" i="12"/>
  <c r="BI155" i="12"/>
  <c r="BH155" i="12"/>
  <c r="BG155" i="12"/>
  <c r="BF155" i="12"/>
  <c r="T155" i="12"/>
  <c r="R155" i="12"/>
  <c r="P155" i="12"/>
  <c r="BI146" i="12"/>
  <c r="BH146" i="12"/>
  <c r="BG146" i="12"/>
  <c r="BF146" i="12"/>
  <c r="T146" i="12"/>
  <c r="R146" i="12"/>
  <c r="P146" i="12"/>
  <c r="BI139" i="12"/>
  <c r="BH139" i="12"/>
  <c r="BG139" i="12"/>
  <c r="BF139" i="12"/>
  <c r="T139" i="12"/>
  <c r="R139" i="12"/>
  <c r="P139" i="12"/>
  <c r="BI135" i="12"/>
  <c r="BH135" i="12"/>
  <c r="BG135" i="12"/>
  <c r="BF135" i="12"/>
  <c r="T135" i="12"/>
  <c r="R135" i="12"/>
  <c r="P135" i="12"/>
  <c r="BI125" i="12"/>
  <c r="BH125" i="12"/>
  <c r="BG125" i="12"/>
  <c r="BF125" i="12"/>
  <c r="T125" i="12"/>
  <c r="R125" i="12"/>
  <c r="P125" i="12"/>
  <c r="BI118" i="12"/>
  <c r="BH118" i="12"/>
  <c r="BG118" i="12"/>
  <c r="BF118" i="12"/>
  <c r="T118" i="12"/>
  <c r="R118" i="12"/>
  <c r="P118" i="12"/>
  <c r="BI112" i="12"/>
  <c r="BH112" i="12"/>
  <c r="BG112" i="12"/>
  <c r="BF112" i="12"/>
  <c r="T112" i="12"/>
  <c r="R112" i="12"/>
  <c r="P112" i="12"/>
  <c r="BI108" i="12"/>
  <c r="BH108" i="12"/>
  <c r="BG108" i="12"/>
  <c r="BF108" i="12"/>
  <c r="T108" i="12"/>
  <c r="R108" i="12"/>
  <c r="P108" i="12"/>
  <c r="BI104" i="12"/>
  <c r="BH104" i="12"/>
  <c r="BG104" i="12"/>
  <c r="BF104" i="12"/>
  <c r="T104" i="12"/>
  <c r="R104" i="12"/>
  <c r="P104" i="12"/>
  <c r="BI100" i="12"/>
  <c r="BH100" i="12"/>
  <c r="BG100" i="12"/>
  <c r="BF100" i="12"/>
  <c r="T100" i="12"/>
  <c r="R100" i="12"/>
  <c r="P100" i="12"/>
  <c r="BI94" i="12"/>
  <c r="BH94" i="12"/>
  <c r="BG94" i="12"/>
  <c r="BF94" i="12"/>
  <c r="T94" i="12"/>
  <c r="R94" i="12"/>
  <c r="P94" i="12"/>
  <c r="J88" i="12"/>
  <c r="J87" i="12"/>
  <c r="F87" i="12"/>
  <c r="F85" i="12"/>
  <c r="E83" i="12"/>
  <c r="J55" i="12"/>
  <c r="J54" i="12"/>
  <c r="F54" i="12"/>
  <c r="F52" i="12"/>
  <c r="E50" i="12"/>
  <c r="J18" i="12"/>
  <c r="E18" i="12"/>
  <c r="F88" i="12" s="1"/>
  <c r="J17" i="12"/>
  <c r="J12" i="12"/>
  <c r="J85" i="12" s="1"/>
  <c r="E7" i="12"/>
  <c r="E81" i="12" s="1"/>
  <c r="J37" i="11"/>
  <c r="J36" i="11"/>
  <c r="AY64" i="1"/>
  <c r="J35" i="11"/>
  <c r="AX64" i="1" s="1"/>
  <c r="BI297" i="11"/>
  <c r="BH297" i="11"/>
  <c r="BG297" i="11"/>
  <c r="BF297" i="11"/>
  <c r="T297" i="11"/>
  <c r="T296" i="11" s="1"/>
  <c r="R297" i="11"/>
  <c r="R296" i="11" s="1"/>
  <c r="P297" i="11"/>
  <c r="P296" i="11" s="1"/>
  <c r="BI292" i="11"/>
  <c r="BH292" i="11"/>
  <c r="BG292" i="11"/>
  <c r="BF292" i="11"/>
  <c r="T292" i="11"/>
  <c r="R292" i="11"/>
  <c r="P292" i="11"/>
  <c r="BI288" i="11"/>
  <c r="BH288" i="11"/>
  <c r="BG288" i="11"/>
  <c r="BF288" i="11"/>
  <c r="T288" i="11"/>
  <c r="R288" i="11"/>
  <c r="P288" i="11"/>
  <c r="BI282" i="11"/>
  <c r="BH282" i="11"/>
  <c r="BG282" i="11"/>
  <c r="BF282" i="11"/>
  <c r="T282" i="11"/>
  <c r="T281" i="11" s="1"/>
  <c r="R282" i="11"/>
  <c r="R281" i="11" s="1"/>
  <c r="P282" i="11"/>
  <c r="P281" i="11" s="1"/>
  <c r="BI277" i="11"/>
  <c r="BH277" i="11"/>
  <c r="BG277" i="11"/>
  <c r="BF277" i="11"/>
  <c r="T277" i="11"/>
  <c r="R277" i="11"/>
  <c r="P277" i="11"/>
  <c r="BI272" i="11"/>
  <c r="BH272" i="11"/>
  <c r="BG272" i="11"/>
  <c r="BF272" i="11"/>
  <c r="T272" i="11"/>
  <c r="R272" i="11"/>
  <c r="P272" i="11"/>
  <c r="BI268" i="11"/>
  <c r="BH268" i="11"/>
  <c r="BG268" i="11"/>
  <c r="BF268" i="11"/>
  <c r="T268" i="11"/>
  <c r="R268" i="11"/>
  <c r="P268" i="11"/>
  <c r="BI263" i="11"/>
  <c r="BH263" i="11"/>
  <c r="BG263" i="11"/>
  <c r="BF263" i="11"/>
  <c r="T263" i="11"/>
  <c r="R263" i="11"/>
  <c r="P263" i="11"/>
  <c r="BI259" i="11"/>
  <c r="BH259" i="11"/>
  <c r="BG259" i="11"/>
  <c r="BF259" i="11"/>
  <c r="T259" i="11"/>
  <c r="R259" i="11"/>
  <c r="P259" i="11"/>
  <c r="BI255" i="11"/>
  <c r="BH255" i="11"/>
  <c r="BG255" i="11"/>
  <c r="BF255" i="11"/>
  <c r="T255" i="11"/>
  <c r="R255" i="11"/>
  <c r="P255" i="11"/>
  <c r="BI249" i="11"/>
  <c r="BH249" i="11"/>
  <c r="BG249" i="11"/>
  <c r="BF249" i="11"/>
  <c r="T249" i="11"/>
  <c r="R249" i="11"/>
  <c r="P249" i="11"/>
  <c r="BI246" i="11"/>
  <c r="BH246" i="11"/>
  <c r="BG246" i="11"/>
  <c r="BF246" i="11"/>
  <c r="T246" i="11"/>
  <c r="R246" i="11"/>
  <c r="P246" i="11"/>
  <c r="BI240" i="11"/>
  <c r="BH240" i="11"/>
  <c r="BG240" i="11"/>
  <c r="BF240" i="11"/>
  <c r="T240" i="11"/>
  <c r="R240" i="11"/>
  <c r="P240" i="11"/>
  <c r="BI236" i="11"/>
  <c r="BH236" i="11"/>
  <c r="BG236" i="11"/>
  <c r="BF236" i="11"/>
  <c r="T236" i="11"/>
  <c r="R236" i="11"/>
  <c r="P236" i="11"/>
  <c r="BI232" i="11"/>
  <c r="BH232" i="11"/>
  <c r="BG232" i="11"/>
  <c r="BF232" i="11"/>
  <c r="T232" i="11"/>
  <c r="R232" i="11"/>
  <c r="P232" i="11"/>
  <c r="BI228" i="11"/>
  <c r="BH228" i="11"/>
  <c r="BG228" i="11"/>
  <c r="BF228" i="11"/>
  <c r="T228" i="11"/>
  <c r="R228" i="11"/>
  <c r="P228" i="11"/>
  <c r="BI222" i="11"/>
  <c r="BH222" i="11"/>
  <c r="BG222" i="11"/>
  <c r="BF222" i="11"/>
  <c r="T222" i="11"/>
  <c r="R222" i="11"/>
  <c r="P222" i="11"/>
  <c r="BI216" i="11"/>
  <c r="BH216" i="11"/>
  <c r="BG216" i="11"/>
  <c r="BF216" i="11"/>
  <c r="T216" i="11"/>
  <c r="R216" i="11"/>
  <c r="P216" i="11"/>
  <c r="BI212" i="11"/>
  <c r="BH212" i="11"/>
  <c r="BG212" i="11"/>
  <c r="BF212" i="11"/>
  <c r="T212" i="11"/>
  <c r="R212" i="11"/>
  <c r="P212" i="11"/>
  <c r="BI208" i="11"/>
  <c r="BH208" i="11"/>
  <c r="BG208" i="11"/>
  <c r="BF208" i="11"/>
  <c r="T208" i="11"/>
  <c r="R208" i="11"/>
  <c r="P208" i="11"/>
  <c r="BI204" i="11"/>
  <c r="BH204" i="11"/>
  <c r="BG204" i="11"/>
  <c r="BF204" i="11"/>
  <c r="T204" i="11"/>
  <c r="R204" i="11"/>
  <c r="P204" i="11"/>
  <c r="BI200" i="11"/>
  <c r="BH200" i="11"/>
  <c r="BG200" i="11"/>
  <c r="BF200" i="11"/>
  <c r="T200" i="11"/>
  <c r="R200" i="11"/>
  <c r="P200" i="11"/>
  <c r="BI188" i="11"/>
  <c r="BH188" i="11"/>
  <c r="BG188" i="11"/>
  <c r="BF188" i="11"/>
  <c r="T188" i="11"/>
  <c r="R188" i="11"/>
  <c r="P188" i="11"/>
  <c r="BI180" i="11"/>
  <c r="BH180" i="11"/>
  <c r="BG180" i="11"/>
  <c r="BF180" i="11"/>
  <c r="T180" i="11"/>
  <c r="R180" i="11"/>
  <c r="P180" i="11"/>
  <c r="BI174" i="11"/>
  <c r="BH174" i="11"/>
  <c r="BG174" i="11"/>
  <c r="BF174" i="11"/>
  <c r="T174" i="11"/>
  <c r="R174" i="11"/>
  <c r="P174" i="11"/>
  <c r="BI163" i="11"/>
  <c r="BH163" i="11"/>
  <c r="BG163" i="11"/>
  <c r="BF163" i="11"/>
  <c r="T163" i="11"/>
  <c r="R163" i="11"/>
  <c r="P163" i="11"/>
  <c r="BI156" i="11"/>
  <c r="BH156" i="11"/>
  <c r="BG156" i="11"/>
  <c r="BF156" i="11"/>
  <c r="T156" i="11"/>
  <c r="R156" i="11"/>
  <c r="P156" i="11"/>
  <c r="BI149" i="11"/>
  <c r="BH149" i="11"/>
  <c r="BG149" i="11"/>
  <c r="BF149" i="11"/>
  <c r="T149" i="11"/>
  <c r="R149" i="11"/>
  <c r="P149" i="11"/>
  <c r="BI144" i="11"/>
  <c r="BH144" i="11"/>
  <c r="BG144" i="11"/>
  <c r="BF144" i="11"/>
  <c r="T144" i="11"/>
  <c r="R144" i="11"/>
  <c r="P144" i="11"/>
  <c r="BI141" i="11"/>
  <c r="BH141" i="11"/>
  <c r="BG141" i="11"/>
  <c r="BF141" i="11"/>
  <c r="T141" i="11"/>
  <c r="R141" i="11"/>
  <c r="P141" i="11"/>
  <c r="BI137" i="11"/>
  <c r="BH137" i="11"/>
  <c r="BG137" i="11"/>
  <c r="BF137" i="11"/>
  <c r="T137" i="11"/>
  <c r="R137" i="11"/>
  <c r="P137" i="11"/>
  <c r="BI131" i="11"/>
  <c r="BH131" i="11"/>
  <c r="BG131" i="11"/>
  <c r="BF131" i="11"/>
  <c r="T131" i="11"/>
  <c r="R131" i="11"/>
  <c r="P131" i="11"/>
  <c r="BI125" i="11"/>
  <c r="BH125" i="11"/>
  <c r="BG125" i="11"/>
  <c r="BF125" i="11"/>
  <c r="T125" i="11"/>
  <c r="R125" i="11"/>
  <c r="P125" i="11"/>
  <c r="BI119" i="11"/>
  <c r="BH119" i="11"/>
  <c r="BG119" i="11"/>
  <c r="BF119" i="11"/>
  <c r="T119" i="11"/>
  <c r="R119" i="11"/>
  <c r="P119" i="11"/>
  <c r="BI115" i="11"/>
  <c r="BH115" i="11"/>
  <c r="BG115" i="11"/>
  <c r="BF115" i="11"/>
  <c r="T115" i="11"/>
  <c r="R115" i="11"/>
  <c r="P115" i="11"/>
  <c r="BI109" i="11"/>
  <c r="BH109" i="11"/>
  <c r="BG109" i="11"/>
  <c r="BF109" i="11"/>
  <c r="T109" i="11"/>
  <c r="R109" i="11"/>
  <c r="P109" i="11"/>
  <c r="BI104" i="11"/>
  <c r="BH104" i="11"/>
  <c r="BG104" i="11"/>
  <c r="BF104" i="11"/>
  <c r="T104" i="11"/>
  <c r="R104" i="11"/>
  <c r="P104" i="11"/>
  <c r="BI100" i="11"/>
  <c r="BH100" i="11"/>
  <c r="BG100" i="11"/>
  <c r="BF100" i="11"/>
  <c r="T100" i="11"/>
  <c r="R100" i="11"/>
  <c r="P100" i="11"/>
  <c r="BI96" i="11"/>
  <c r="BH96" i="11"/>
  <c r="BG96" i="11"/>
  <c r="BF96" i="11"/>
  <c r="T96" i="11"/>
  <c r="R96" i="11"/>
  <c r="P96" i="11"/>
  <c r="BI90" i="11"/>
  <c r="BH90" i="11"/>
  <c r="BG90" i="11"/>
  <c r="BF90" i="11"/>
  <c r="T90" i="11"/>
  <c r="R90" i="11"/>
  <c r="P90" i="11"/>
  <c r="J84" i="11"/>
  <c r="J83" i="11"/>
  <c r="F83" i="11"/>
  <c r="F81" i="11"/>
  <c r="E79" i="11"/>
  <c r="J55" i="11"/>
  <c r="J54" i="11"/>
  <c r="F54" i="11"/>
  <c r="F52" i="11"/>
  <c r="E50" i="11"/>
  <c r="J18" i="11"/>
  <c r="E18" i="11"/>
  <c r="F84" i="11" s="1"/>
  <c r="J17" i="11"/>
  <c r="J12" i="11"/>
  <c r="J81" i="11" s="1"/>
  <c r="E7" i="11"/>
  <c r="E77" i="11" s="1"/>
  <c r="J37" i="10"/>
  <c r="J36" i="10"/>
  <c r="AY63" i="1" s="1"/>
  <c r="J35" i="10"/>
  <c r="AX63" i="1" s="1"/>
  <c r="BI188" i="10"/>
  <c r="BH188" i="10"/>
  <c r="BG188" i="10"/>
  <c r="BF188" i="10"/>
  <c r="T188" i="10"/>
  <c r="T187" i="10" s="1"/>
  <c r="R188" i="10"/>
  <c r="R187" i="10" s="1"/>
  <c r="P188" i="10"/>
  <c r="P187" i="10"/>
  <c r="BI183" i="10"/>
  <c r="BH183" i="10"/>
  <c r="BG183" i="10"/>
  <c r="BF183" i="10"/>
  <c r="T183" i="10"/>
  <c r="T182" i="10" s="1"/>
  <c r="R183" i="10"/>
  <c r="R182" i="10"/>
  <c r="P183" i="10"/>
  <c r="P182" i="10" s="1"/>
  <c r="BI178" i="10"/>
  <c r="BH178" i="10"/>
  <c r="BG178" i="10"/>
  <c r="BF178" i="10"/>
  <c r="T178" i="10"/>
  <c r="R178" i="10"/>
  <c r="P178" i="10"/>
  <c r="BI172" i="10"/>
  <c r="BH172" i="10"/>
  <c r="BG172" i="10"/>
  <c r="BF172" i="10"/>
  <c r="T172" i="10"/>
  <c r="R172" i="10"/>
  <c r="P172" i="10"/>
  <c r="BI169" i="10"/>
  <c r="BH169" i="10"/>
  <c r="BG169" i="10"/>
  <c r="BF169" i="10"/>
  <c r="T169" i="10"/>
  <c r="R169" i="10"/>
  <c r="P169" i="10"/>
  <c r="BI165" i="10"/>
  <c r="BH165" i="10"/>
  <c r="BG165" i="10"/>
  <c r="BF165" i="10"/>
  <c r="T165" i="10"/>
  <c r="R165" i="10"/>
  <c r="P165" i="10"/>
  <c r="BI163" i="10"/>
  <c r="BH163" i="10"/>
  <c r="BG163" i="10"/>
  <c r="BF163" i="10"/>
  <c r="T163" i="10"/>
  <c r="R163" i="10"/>
  <c r="P163" i="10"/>
  <c r="BI161" i="10"/>
  <c r="BH161" i="10"/>
  <c r="BG161" i="10"/>
  <c r="BF161" i="10"/>
  <c r="T161" i="10"/>
  <c r="R161" i="10"/>
  <c r="P161" i="10"/>
  <c r="BI157" i="10"/>
  <c r="BH157" i="10"/>
  <c r="BG157" i="10"/>
  <c r="BF157" i="10"/>
  <c r="T157" i="10"/>
  <c r="R157" i="10"/>
  <c r="P157" i="10"/>
  <c r="BI155" i="10"/>
  <c r="BH155" i="10"/>
  <c r="BG155" i="10"/>
  <c r="BF155" i="10"/>
  <c r="T155" i="10"/>
  <c r="R155" i="10"/>
  <c r="P155" i="10"/>
  <c r="BI151" i="10"/>
  <c r="BH151" i="10"/>
  <c r="BG151" i="10"/>
  <c r="BF151" i="10"/>
  <c r="T151" i="10"/>
  <c r="R151" i="10"/>
  <c r="P151" i="10"/>
  <c r="BI143" i="10"/>
  <c r="BH143" i="10"/>
  <c r="BG143" i="10"/>
  <c r="BF143" i="10"/>
  <c r="T143" i="10"/>
  <c r="R143" i="10"/>
  <c r="P143" i="10"/>
  <c r="BI139" i="10"/>
  <c r="BH139" i="10"/>
  <c r="BG139" i="10"/>
  <c r="BF139" i="10"/>
  <c r="T139" i="10"/>
  <c r="R139" i="10"/>
  <c r="P139" i="10"/>
  <c r="BI135" i="10"/>
  <c r="BH135" i="10"/>
  <c r="BG135" i="10"/>
  <c r="BF135" i="10"/>
  <c r="T135" i="10"/>
  <c r="R135" i="10"/>
  <c r="P135" i="10"/>
  <c r="BI128" i="10"/>
  <c r="BH128" i="10"/>
  <c r="BG128" i="10"/>
  <c r="BF128" i="10"/>
  <c r="T128" i="10"/>
  <c r="R128" i="10"/>
  <c r="P128" i="10"/>
  <c r="BI121" i="10"/>
  <c r="BH121" i="10"/>
  <c r="BG121" i="10"/>
  <c r="BF121" i="10"/>
  <c r="T121" i="10"/>
  <c r="R121" i="10"/>
  <c r="P121" i="10"/>
  <c r="BI114" i="10"/>
  <c r="BH114" i="10"/>
  <c r="BG114" i="10"/>
  <c r="BF114" i="10"/>
  <c r="T114" i="10"/>
  <c r="R114" i="10"/>
  <c r="P114" i="10"/>
  <c r="BI107" i="10"/>
  <c r="BH107" i="10"/>
  <c r="BG107" i="10"/>
  <c r="BF107" i="10"/>
  <c r="T107" i="10"/>
  <c r="R107" i="10"/>
  <c r="P107" i="10"/>
  <c r="BI103" i="10"/>
  <c r="BH103" i="10"/>
  <c r="BG103" i="10"/>
  <c r="BF103" i="10"/>
  <c r="T103" i="10"/>
  <c r="R103" i="10"/>
  <c r="P103" i="10"/>
  <c r="BI99" i="10"/>
  <c r="BH99" i="10"/>
  <c r="BG99" i="10"/>
  <c r="BF99" i="10"/>
  <c r="T99" i="10"/>
  <c r="R99" i="10"/>
  <c r="P99" i="10"/>
  <c r="BI95" i="10"/>
  <c r="BH95" i="10"/>
  <c r="BG95" i="10"/>
  <c r="BF95" i="10"/>
  <c r="T95" i="10"/>
  <c r="R95" i="10"/>
  <c r="P95" i="10"/>
  <c r="BI88" i="10"/>
  <c r="BH88" i="10"/>
  <c r="BG88" i="10"/>
  <c r="BF88" i="10"/>
  <c r="T88" i="10"/>
  <c r="R88" i="10"/>
  <c r="P88" i="10"/>
  <c r="J82" i="10"/>
  <c r="J81" i="10"/>
  <c r="F81" i="10"/>
  <c r="F79" i="10"/>
  <c r="E77" i="10"/>
  <c r="J55" i="10"/>
  <c r="J54" i="10"/>
  <c r="F54" i="10"/>
  <c r="F52" i="10"/>
  <c r="E50" i="10"/>
  <c r="J18" i="10"/>
  <c r="E18" i="10"/>
  <c r="F82" i="10" s="1"/>
  <c r="J17" i="10"/>
  <c r="J12" i="10"/>
  <c r="J79" i="10" s="1"/>
  <c r="E7" i="10"/>
  <c r="E75" i="10"/>
  <c r="J37" i="9"/>
  <c r="J36" i="9"/>
  <c r="AY62" i="1" s="1"/>
  <c r="J35" i="9"/>
  <c r="AX62" i="1"/>
  <c r="BI232" i="9"/>
  <c r="BH232" i="9"/>
  <c r="BG232" i="9"/>
  <c r="BF232" i="9"/>
  <c r="T232" i="9"/>
  <c r="T231" i="9" s="1"/>
  <c r="R232" i="9"/>
  <c r="R231" i="9" s="1"/>
  <c r="P232" i="9"/>
  <c r="P231" i="9" s="1"/>
  <c r="BI223" i="9"/>
  <c r="BH223" i="9"/>
  <c r="BG223" i="9"/>
  <c r="BF223" i="9"/>
  <c r="T223" i="9"/>
  <c r="R223" i="9"/>
  <c r="P223" i="9"/>
  <c r="BI220" i="9"/>
  <c r="BH220" i="9"/>
  <c r="BG220" i="9"/>
  <c r="BF220" i="9"/>
  <c r="T220" i="9"/>
  <c r="R220" i="9"/>
  <c r="P220" i="9"/>
  <c r="BI217" i="9"/>
  <c r="BH217" i="9"/>
  <c r="BG217" i="9"/>
  <c r="BF217" i="9"/>
  <c r="T217" i="9"/>
  <c r="R217" i="9"/>
  <c r="P217" i="9"/>
  <c r="BI214" i="9"/>
  <c r="BH214" i="9"/>
  <c r="BG214" i="9"/>
  <c r="BF214" i="9"/>
  <c r="T214" i="9"/>
  <c r="R214" i="9"/>
  <c r="P214" i="9"/>
  <c r="BI209" i="9"/>
  <c r="BH209" i="9"/>
  <c r="BG209" i="9"/>
  <c r="BF209" i="9"/>
  <c r="T209" i="9"/>
  <c r="R209" i="9"/>
  <c r="P209" i="9"/>
  <c r="BI204" i="9"/>
  <c r="BH204" i="9"/>
  <c r="BG204" i="9"/>
  <c r="BF204" i="9"/>
  <c r="T204" i="9"/>
  <c r="R204" i="9"/>
  <c r="P204" i="9"/>
  <c r="BI200" i="9"/>
  <c r="BH200" i="9"/>
  <c r="BG200" i="9"/>
  <c r="BF200" i="9"/>
  <c r="T200" i="9"/>
  <c r="R200" i="9"/>
  <c r="P200" i="9"/>
  <c r="BI196" i="9"/>
  <c r="BH196" i="9"/>
  <c r="BG196" i="9"/>
  <c r="BF196" i="9"/>
  <c r="T196" i="9"/>
  <c r="R196" i="9"/>
  <c r="P196" i="9"/>
  <c r="BI192" i="9"/>
  <c r="BH192" i="9"/>
  <c r="BG192" i="9"/>
  <c r="BF192" i="9"/>
  <c r="T192" i="9"/>
  <c r="R192" i="9"/>
  <c r="P192" i="9"/>
  <c r="BI188" i="9"/>
  <c r="BH188" i="9"/>
  <c r="BG188" i="9"/>
  <c r="BF188" i="9"/>
  <c r="T188" i="9"/>
  <c r="R188" i="9"/>
  <c r="P188" i="9"/>
  <c r="BI183" i="9"/>
  <c r="BH183" i="9"/>
  <c r="BG183" i="9"/>
  <c r="BF183" i="9"/>
  <c r="T183" i="9"/>
  <c r="R183" i="9"/>
  <c r="P183" i="9"/>
  <c r="BI177" i="9"/>
  <c r="BH177" i="9"/>
  <c r="BG177" i="9"/>
  <c r="BF177" i="9"/>
  <c r="T177" i="9"/>
  <c r="T176" i="9" s="1"/>
  <c r="R177" i="9"/>
  <c r="R176" i="9" s="1"/>
  <c r="P177" i="9"/>
  <c r="P176" i="9" s="1"/>
  <c r="BI172" i="9"/>
  <c r="BH172" i="9"/>
  <c r="BG172" i="9"/>
  <c r="BF172" i="9"/>
  <c r="T172" i="9"/>
  <c r="R172" i="9"/>
  <c r="P172" i="9"/>
  <c r="BI167" i="9"/>
  <c r="BH167" i="9"/>
  <c r="BG167" i="9"/>
  <c r="BF167" i="9"/>
  <c r="T167" i="9"/>
  <c r="R167" i="9"/>
  <c r="P167" i="9"/>
  <c r="BI163" i="9"/>
  <c r="BH163" i="9"/>
  <c r="BG163" i="9"/>
  <c r="BF163" i="9"/>
  <c r="T163" i="9"/>
  <c r="R163" i="9"/>
  <c r="P163" i="9"/>
  <c r="BI158" i="9"/>
  <c r="BH158" i="9"/>
  <c r="BG158" i="9"/>
  <c r="BF158" i="9"/>
  <c r="T158" i="9"/>
  <c r="R158" i="9"/>
  <c r="P158" i="9"/>
  <c r="BI154" i="9"/>
  <c r="BH154" i="9"/>
  <c r="BG154" i="9"/>
  <c r="BF154" i="9"/>
  <c r="T154" i="9"/>
  <c r="R154" i="9"/>
  <c r="P154" i="9"/>
  <c r="BI144" i="9"/>
  <c r="BH144" i="9"/>
  <c r="BG144" i="9"/>
  <c r="BF144" i="9"/>
  <c r="T144" i="9"/>
  <c r="R144" i="9"/>
  <c r="P144" i="9"/>
  <c r="BI140" i="9"/>
  <c r="BH140" i="9"/>
  <c r="BG140" i="9"/>
  <c r="BF140" i="9"/>
  <c r="T140" i="9"/>
  <c r="R140" i="9"/>
  <c r="P140" i="9"/>
  <c r="BI135" i="9"/>
  <c r="BH135" i="9"/>
  <c r="BG135" i="9"/>
  <c r="BF135" i="9"/>
  <c r="T135" i="9"/>
  <c r="R135" i="9"/>
  <c r="P135" i="9"/>
  <c r="BI130" i="9"/>
  <c r="BH130" i="9"/>
  <c r="BG130" i="9"/>
  <c r="BF130" i="9"/>
  <c r="T130" i="9"/>
  <c r="R130" i="9"/>
  <c r="P130" i="9"/>
  <c r="BI125" i="9"/>
  <c r="BH125" i="9"/>
  <c r="BG125" i="9"/>
  <c r="BF125" i="9"/>
  <c r="T125" i="9"/>
  <c r="R125" i="9"/>
  <c r="P125" i="9"/>
  <c r="BI121" i="9"/>
  <c r="BH121" i="9"/>
  <c r="BG121" i="9"/>
  <c r="BF121" i="9"/>
  <c r="T121" i="9"/>
  <c r="R121" i="9"/>
  <c r="P121" i="9"/>
  <c r="BI115" i="9"/>
  <c r="BH115" i="9"/>
  <c r="BG115" i="9"/>
  <c r="BF115" i="9"/>
  <c r="T115" i="9"/>
  <c r="R115" i="9"/>
  <c r="P115" i="9"/>
  <c r="BI110" i="9"/>
  <c r="BH110" i="9"/>
  <c r="BG110" i="9"/>
  <c r="BF110" i="9"/>
  <c r="T110" i="9"/>
  <c r="R110" i="9"/>
  <c r="P110" i="9"/>
  <c r="BI106" i="9"/>
  <c r="BH106" i="9"/>
  <c r="BG106" i="9"/>
  <c r="BF106" i="9"/>
  <c r="T106" i="9"/>
  <c r="R106" i="9"/>
  <c r="P106" i="9"/>
  <c r="BI102" i="9"/>
  <c r="BH102" i="9"/>
  <c r="BG102" i="9"/>
  <c r="BF102" i="9"/>
  <c r="T102" i="9"/>
  <c r="R102" i="9"/>
  <c r="P102" i="9"/>
  <c r="BI97" i="9"/>
  <c r="BH97" i="9"/>
  <c r="BG97" i="9"/>
  <c r="BF97" i="9"/>
  <c r="T97" i="9"/>
  <c r="R97" i="9"/>
  <c r="P97" i="9"/>
  <c r="BI92" i="9"/>
  <c r="BH92" i="9"/>
  <c r="BG92" i="9"/>
  <c r="BF92" i="9"/>
  <c r="T92" i="9"/>
  <c r="T91" i="9" s="1"/>
  <c r="R92" i="9"/>
  <c r="R91" i="9" s="1"/>
  <c r="P92" i="9"/>
  <c r="P91" i="9"/>
  <c r="J86" i="9"/>
  <c r="J85" i="9"/>
  <c r="F85" i="9"/>
  <c r="F83" i="9"/>
  <c r="E81" i="9"/>
  <c r="J55" i="9"/>
  <c r="J54" i="9"/>
  <c r="F54" i="9"/>
  <c r="F52" i="9"/>
  <c r="E50" i="9"/>
  <c r="J18" i="9"/>
  <c r="E18" i="9"/>
  <c r="F86" i="9"/>
  <c r="J17" i="9"/>
  <c r="J12" i="9"/>
  <c r="J52" i="9" s="1"/>
  <c r="E7" i="9"/>
  <c r="E79" i="9" s="1"/>
  <c r="J37" i="8"/>
  <c r="J36" i="8"/>
  <c r="AY61" i="1"/>
  <c r="J35" i="8"/>
  <c r="AX61" i="1" s="1"/>
  <c r="BI236" i="8"/>
  <c r="BH236" i="8"/>
  <c r="BG236" i="8"/>
  <c r="BF236" i="8"/>
  <c r="T236" i="8"/>
  <c r="T235" i="8"/>
  <c r="R236" i="8"/>
  <c r="R235" i="8" s="1"/>
  <c r="P236" i="8"/>
  <c r="P235" i="8" s="1"/>
  <c r="BI228" i="8"/>
  <c r="BH228" i="8"/>
  <c r="BG228" i="8"/>
  <c r="BF228" i="8"/>
  <c r="T228" i="8"/>
  <c r="T227" i="8"/>
  <c r="T226" i="8" s="1"/>
  <c r="R228" i="8"/>
  <c r="R227" i="8" s="1"/>
  <c r="R226" i="8" s="1"/>
  <c r="P228" i="8"/>
  <c r="P227" i="8"/>
  <c r="P226" i="8" s="1"/>
  <c r="BI222" i="8"/>
  <c r="BH222" i="8"/>
  <c r="BG222" i="8"/>
  <c r="BF222" i="8"/>
  <c r="T222" i="8"/>
  <c r="T221" i="8" s="1"/>
  <c r="R222" i="8"/>
  <c r="R221" i="8" s="1"/>
  <c r="P222" i="8"/>
  <c r="P221" i="8"/>
  <c r="BI217" i="8"/>
  <c r="BH217" i="8"/>
  <c r="BG217" i="8"/>
  <c r="BF217" i="8"/>
  <c r="T217" i="8"/>
  <c r="R217" i="8"/>
  <c r="P217" i="8"/>
  <c r="BI212" i="8"/>
  <c r="BH212" i="8"/>
  <c r="BG212" i="8"/>
  <c r="BF212" i="8"/>
  <c r="T212" i="8"/>
  <c r="R212" i="8"/>
  <c r="P212" i="8"/>
  <c r="BI208" i="8"/>
  <c r="BH208" i="8"/>
  <c r="BG208" i="8"/>
  <c r="BF208" i="8"/>
  <c r="T208" i="8"/>
  <c r="R208" i="8"/>
  <c r="P208" i="8"/>
  <c r="BI203" i="8"/>
  <c r="BH203" i="8"/>
  <c r="BG203" i="8"/>
  <c r="BF203" i="8"/>
  <c r="T203" i="8"/>
  <c r="R203" i="8"/>
  <c r="P203" i="8"/>
  <c r="BI199" i="8"/>
  <c r="BH199" i="8"/>
  <c r="BG199" i="8"/>
  <c r="BF199" i="8"/>
  <c r="T199" i="8"/>
  <c r="R199" i="8"/>
  <c r="P199" i="8"/>
  <c r="BI195" i="8"/>
  <c r="BH195" i="8"/>
  <c r="BG195" i="8"/>
  <c r="BF195" i="8"/>
  <c r="T195" i="8"/>
  <c r="R195" i="8"/>
  <c r="P195" i="8"/>
  <c r="BI189" i="8"/>
  <c r="BH189" i="8"/>
  <c r="BG189" i="8"/>
  <c r="BF189" i="8"/>
  <c r="T189" i="8"/>
  <c r="R189" i="8"/>
  <c r="P189" i="8"/>
  <c r="BI186" i="8"/>
  <c r="BH186" i="8"/>
  <c r="BG186" i="8"/>
  <c r="BF186" i="8"/>
  <c r="T186" i="8"/>
  <c r="R186" i="8"/>
  <c r="P186" i="8"/>
  <c r="BI180" i="8"/>
  <c r="BH180" i="8"/>
  <c r="BG180" i="8"/>
  <c r="BF180" i="8"/>
  <c r="T180" i="8"/>
  <c r="R180" i="8"/>
  <c r="P180" i="8"/>
  <c r="BI176" i="8"/>
  <c r="BH176" i="8"/>
  <c r="BG176" i="8"/>
  <c r="BF176" i="8"/>
  <c r="T176" i="8"/>
  <c r="R176" i="8"/>
  <c r="P176" i="8"/>
  <c r="BI172" i="8"/>
  <c r="BH172" i="8"/>
  <c r="BG172" i="8"/>
  <c r="BF172" i="8"/>
  <c r="T172" i="8"/>
  <c r="R172" i="8"/>
  <c r="P172" i="8"/>
  <c r="BI167" i="8"/>
  <c r="BH167" i="8"/>
  <c r="BG167" i="8"/>
  <c r="BF167" i="8"/>
  <c r="T167" i="8"/>
  <c r="R167" i="8"/>
  <c r="P167" i="8"/>
  <c r="BI161" i="8"/>
  <c r="BH161" i="8"/>
  <c r="BG161" i="8"/>
  <c r="BF161" i="8"/>
  <c r="T161" i="8"/>
  <c r="R161" i="8"/>
  <c r="P161" i="8"/>
  <c r="BI155" i="8"/>
  <c r="BH155" i="8"/>
  <c r="BG155" i="8"/>
  <c r="BF155" i="8"/>
  <c r="T155" i="8"/>
  <c r="R155" i="8"/>
  <c r="P155" i="8"/>
  <c r="BI151" i="8"/>
  <c r="BH151" i="8"/>
  <c r="BG151" i="8"/>
  <c r="BF151" i="8"/>
  <c r="T151" i="8"/>
  <c r="R151" i="8"/>
  <c r="P151" i="8"/>
  <c r="BI147" i="8"/>
  <c r="BH147" i="8"/>
  <c r="BG147" i="8"/>
  <c r="BF147" i="8"/>
  <c r="T147" i="8"/>
  <c r="R147" i="8"/>
  <c r="P147" i="8"/>
  <c r="BI143" i="8"/>
  <c r="BH143" i="8"/>
  <c r="BG143" i="8"/>
  <c r="BF143" i="8"/>
  <c r="T143" i="8"/>
  <c r="R143" i="8"/>
  <c r="P143" i="8"/>
  <c r="BI139" i="8"/>
  <c r="BH139" i="8"/>
  <c r="BG139" i="8"/>
  <c r="BF139" i="8"/>
  <c r="T139" i="8"/>
  <c r="R139" i="8"/>
  <c r="P139" i="8"/>
  <c r="BI132" i="8"/>
  <c r="BH132" i="8"/>
  <c r="BG132" i="8"/>
  <c r="BF132" i="8"/>
  <c r="T132" i="8"/>
  <c r="R132" i="8"/>
  <c r="P132" i="8"/>
  <c r="BI124" i="8"/>
  <c r="BH124" i="8"/>
  <c r="BG124" i="8"/>
  <c r="BF124" i="8"/>
  <c r="T124" i="8"/>
  <c r="R124" i="8"/>
  <c r="P124" i="8"/>
  <c r="BI119" i="8"/>
  <c r="BH119" i="8"/>
  <c r="BG119" i="8"/>
  <c r="BF119" i="8"/>
  <c r="T119" i="8"/>
  <c r="R119" i="8"/>
  <c r="P119" i="8"/>
  <c r="BI116" i="8"/>
  <c r="BH116" i="8"/>
  <c r="BG116" i="8"/>
  <c r="BF116" i="8"/>
  <c r="T116" i="8"/>
  <c r="R116" i="8"/>
  <c r="P116" i="8"/>
  <c r="BI112" i="8"/>
  <c r="BH112" i="8"/>
  <c r="BG112" i="8"/>
  <c r="BF112" i="8"/>
  <c r="T112" i="8"/>
  <c r="R112" i="8"/>
  <c r="P112" i="8"/>
  <c r="BI107" i="8"/>
  <c r="BH107" i="8"/>
  <c r="BG107" i="8"/>
  <c r="BF107" i="8"/>
  <c r="T107" i="8"/>
  <c r="R107" i="8"/>
  <c r="P107" i="8"/>
  <c r="BI99" i="8"/>
  <c r="BH99" i="8"/>
  <c r="BG99" i="8"/>
  <c r="BF99" i="8"/>
  <c r="T99" i="8"/>
  <c r="R99" i="8"/>
  <c r="P99" i="8"/>
  <c r="BI95" i="8"/>
  <c r="BH95" i="8"/>
  <c r="BG95" i="8"/>
  <c r="BF95" i="8"/>
  <c r="T95" i="8"/>
  <c r="R95" i="8"/>
  <c r="P95" i="8"/>
  <c r="BI89" i="8"/>
  <c r="BH89" i="8"/>
  <c r="BG89" i="8"/>
  <c r="BF89" i="8"/>
  <c r="T89" i="8"/>
  <c r="R89" i="8"/>
  <c r="P89" i="8"/>
  <c r="J83" i="8"/>
  <c r="J82" i="8"/>
  <c r="F82" i="8"/>
  <c r="F80" i="8"/>
  <c r="E78" i="8"/>
  <c r="J55" i="8"/>
  <c r="J54" i="8"/>
  <c r="F54" i="8"/>
  <c r="F52" i="8"/>
  <c r="E50" i="8"/>
  <c r="J18" i="8"/>
  <c r="E18" i="8"/>
  <c r="F83" i="8" s="1"/>
  <c r="J17" i="8"/>
  <c r="J12" i="8"/>
  <c r="J52" i="8" s="1"/>
  <c r="E7" i="8"/>
  <c r="E48" i="8" s="1"/>
  <c r="J37" i="7"/>
  <c r="J36" i="7"/>
  <c r="AY60" i="1" s="1"/>
  <c r="J35" i="7"/>
  <c r="AX60" i="1" s="1"/>
  <c r="BI244" i="7"/>
  <c r="BH244" i="7"/>
  <c r="BG244" i="7"/>
  <c r="BF244" i="7"/>
  <c r="T244" i="7"/>
  <c r="T243" i="7" s="1"/>
  <c r="T242" i="7" s="1"/>
  <c r="R244" i="7"/>
  <c r="R243" i="7"/>
  <c r="R242" i="7" s="1"/>
  <c r="P244" i="7"/>
  <c r="P243" i="7"/>
  <c r="P242" i="7" s="1"/>
  <c r="BI239" i="7"/>
  <c r="BH239" i="7"/>
  <c r="BG239" i="7"/>
  <c r="BF239" i="7"/>
  <c r="T239" i="7"/>
  <c r="T238" i="7" s="1"/>
  <c r="R239" i="7"/>
  <c r="R238" i="7" s="1"/>
  <c r="P239" i="7"/>
  <c r="P238" i="7" s="1"/>
  <c r="BI234" i="7"/>
  <c r="BH234" i="7"/>
  <c r="BG234" i="7"/>
  <c r="BF234" i="7"/>
  <c r="T234" i="7"/>
  <c r="R234" i="7"/>
  <c r="P234" i="7"/>
  <c r="BI230" i="7"/>
  <c r="BH230" i="7"/>
  <c r="BG230" i="7"/>
  <c r="BF230" i="7"/>
  <c r="T230" i="7"/>
  <c r="R230" i="7"/>
  <c r="P230" i="7"/>
  <c r="BI227" i="7"/>
  <c r="BH227" i="7"/>
  <c r="BG227" i="7"/>
  <c r="BF227" i="7"/>
  <c r="T227" i="7"/>
  <c r="R227" i="7"/>
  <c r="P227" i="7"/>
  <c r="BI219" i="7"/>
  <c r="BH219" i="7"/>
  <c r="BG219" i="7"/>
  <c r="BF219" i="7"/>
  <c r="T219" i="7"/>
  <c r="R219" i="7"/>
  <c r="P219" i="7"/>
  <c r="BI214" i="7"/>
  <c r="BH214" i="7"/>
  <c r="BG214" i="7"/>
  <c r="BF214" i="7"/>
  <c r="T214" i="7"/>
  <c r="R214" i="7"/>
  <c r="P214" i="7"/>
  <c r="BI210" i="7"/>
  <c r="BH210" i="7"/>
  <c r="BG210" i="7"/>
  <c r="BF210" i="7"/>
  <c r="T210" i="7"/>
  <c r="R210" i="7"/>
  <c r="P210" i="7"/>
  <c r="BI207" i="7"/>
  <c r="BH207" i="7"/>
  <c r="BG207" i="7"/>
  <c r="BF207" i="7"/>
  <c r="T207" i="7"/>
  <c r="R207" i="7"/>
  <c r="P207" i="7"/>
  <c r="BI203" i="7"/>
  <c r="BH203" i="7"/>
  <c r="BG203" i="7"/>
  <c r="BF203" i="7"/>
  <c r="T203" i="7"/>
  <c r="R203" i="7"/>
  <c r="P203" i="7"/>
  <c r="BI200" i="7"/>
  <c r="BH200" i="7"/>
  <c r="BG200" i="7"/>
  <c r="BF200" i="7"/>
  <c r="T200" i="7"/>
  <c r="R200" i="7"/>
  <c r="P200" i="7"/>
  <c r="BI196" i="7"/>
  <c r="BH196" i="7"/>
  <c r="BG196" i="7"/>
  <c r="BF196" i="7"/>
  <c r="T196" i="7"/>
  <c r="R196" i="7"/>
  <c r="P196" i="7"/>
  <c r="BI190" i="7"/>
  <c r="BH190" i="7"/>
  <c r="BG190" i="7"/>
  <c r="BF190" i="7"/>
  <c r="T190" i="7"/>
  <c r="T189" i="7" s="1"/>
  <c r="R190" i="7"/>
  <c r="R189" i="7" s="1"/>
  <c r="P190" i="7"/>
  <c r="P189" i="7" s="1"/>
  <c r="BI185" i="7"/>
  <c r="BH185" i="7"/>
  <c r="BG185" i="7"/>
  <c r="BF185" i="7"/>
  <c r="T185" i="7"/>
  <c r="R185" i="7"/>
  <c r="P185" i="7"/>
  <c r="BI180" i="7"/>
  <c r="BH180" i="7"/>
  <c r="BG180" i="7"/>
  <c r="BF180" i="7"/>
  <c r="T180" i="7"/>
  <c r="R180" i="7"/>
  <c r="P180" i="7"/>
  <c r="BI176" i="7"/>
  <c r="BH176" i="7"/>
  <c r="BG176" i="7"/>
  <c r="BF176" i="7"/>
  <c r="T176" i="7"/>
  <c r="R176" i="7"/>
  <c r="P176" i="7"/>
  <c r="BI171" i="7"/>
  <c r="BH171" i="7"/>
  <c r="BG171" i="7"/>
  <c r="BF171" i="7"/>
  <c r="T171" i="7"/>
  <c r="R171" i="7"/>
  <c r="P171" i="7"/>
  <c r="BI167" i="7"/>
  <c r="BH167" i="7"/>
  <c r="BG167" i="7"/>
  <c r="BF167" i="7"/>
  <c r="T167" i="7"/>
  <c r="R167" i="7"/>
  <c r="P167" i="7"/>
  <c r="BI160" i="7"/>
  <c r="BH160" i="7"/>
  <c r="BG160" i="7"/>
  <c r="BF160" i="7"/>
  <c r="T160" i="7"/>
  <c r="R160" i="7"/>
  <c r="P160" i="7"/>
  <c r="BI154" i="7"/>
  <c r="BH154" i="7"/>
  <c r="BG154" i="7"/>
  <c r="BF154" i="7"/>
  <c r="T154" i="7"/>
  <c r="R154" i="7"/>
  <c r="P154" i="7"/>
  <c r="BI148" i="7"/>
  <c r="BH148" i="7"/>
  <c r="BG148" i="7"/>
  <c r="BF148" i="7"/>
  <c r="T148" i="7"/>
  <c r="R148" i="7"/>
  <c r="P148" i="7"/>
  <c r="BI144" i="7"/>
  <c r="BH144" i="7"/>
  <c r="BG144" i="7"/>
  <c r="BF144" i="7"/>
  <c r="T144" i="7"/>
  <c r="R144" i="7"/>
  <c r="P144" i="7"/>
  <c r="BI138" i="7"/>
  <c r="BH138" i="7"/>
  <c r="BG138" i="7"/>
  <c r="BF138" i="7"/>
  <c r="T138" i="7"/>
  <c r="R138" i="7"/>
  <c r="P138" i="7"/>
  <c r="BI134" i="7"/>
  <c r="BH134" i="7"/>
  <c r="BG134" i="7"/>
  <c r="BF134" i="7"/>
  <c r="T134" i="7"/>
  <c r="R134" i="7"/>
  <c r="P134" i="7"/>
  <c r="BI128" i="7"/>
  <c r="BH128" i="7"/>
  <c r="BG128" i="7"/>
  <c r="BF128" i="7"/>
  <c r="T128" i="7"/>
  <c r="R128" i="7"/>
  <c r="P128" i="7"/>
  <c r="BI125" i="7"/>
  <c r="BH125" i="7"/>
  <c r="BG125" i="7"/>
  <c r="BF125" i="7"/>
  <c r="T125" i="7"/>
  <c r="R125" i="7"/>
  <c r="P125" i="7"/>
  <c r="BI120" i="7"/>
  <c r="BH120" i="7"/>
  <c r="BG120" i="7"/>
  <c r="BF120" i="7"/>
  <c r="T120" i="7"/>
  <c r="R120" i="7"/>
  <c r="P120" i="7"/>
  <c r="BI116" i="7"/>
  <c r="BH116" i="7"/>
  <c r="BG116" i="7"/>
  <c r="BF116" i="7"/>
  <c r="T116" i="7"/>
  <c r="R116" i="7"/>
  <c r="P116" i="7"/>
  <c r="BI109" i="7"/>
  <c r="BH109" i="7"/>
  <c r="BG109" i="7"/>
  <c r="BF109" i="7"/>
  <c r="T109" i="7"/>
  <c r="R109" i="7"/>
  <c r="P109" i="7"/>
  <c r="BI105" i="7"/>
  <c r="BH105" i="7"/>
  <c r="BG105" i="7"/>
  <c r="BF105" i="7"/>
  <c r="T105" i="7"/>
  <c r="R105" i="7"/>
  <c r="P105" i="7"/>
  <c r="BI101" i="7"/>
  <c r="BH101" i="7"/>
  <c r="BG101" i="7"/>
  <c r="BF101" i="7"/>
  <c r="T101" i="7"/>
  <c r="R101" i="7"/>
  <c r="P101" i="7"/>
  <c r="BI94" i="7"/>
  <c r="BH94" i="7"/>
  <c r="BG94" i="7"/>
  <c r="BF94" i="7"/>
  <c r="T94" i="7"/>
  <c r="T93" i="7" s="1"/>
  <c r="R94" i="7"/>
  <c r="R93" i="7" s="1"/>
  <c r="P94" i="7"/>
  <c r="P93" i="7" s="1"/>
  <c r="J88" i="7"/>
  <c r="J87" i="7"/>
  <c r="F87" i="7"/>
  <c r="F85" i="7"/>
  <c r="E83" i="7"/>
  <c r="J55" i="7"/>
  <c r="J54" i="7"/>
  <c r="F54" i="7"/>
  <c r="F52" i="7"/>
  <c r="E50" i="7"/>
  <c r="J18" i="7"/>
  <c r="E18" i="7"/>
  <c r="F55" i="7"/>
  <c r="J17" i="7"/>
  <c r="J12" i="7"/>
  <c r="J52" i="7" s="1"/>
  <c r="E7" i="7"/>
  <c r="E81" i="7"/>
  <c r="J37" i="6"/>
  <c r="J36" i="6"/>
  <c r="AY59" i="1"/>
  <c r="J35" i="6"/>
  <c r="AX59" i="1" s="1"/>
  <c r="BI541" i="6"/>
  <c r="BH541" i="6"/>
  <c r="BG541" i="6"/>
  <c r="BF541" i="6"/>
  <c r="T541" i="6"/>
  <c r="T540" i="6" s="1"/>
  <c r="R541" i="6"/>
  <c r="R540" i="6" s="1"/>
  <c r="P541" i="6"/>
  <c r="P540" i="6" s="1"/>
  <c r="BI537" i="6"/>
  <c r="BH537" i="6"/>
  <c r="BG537" i="6"/>
  <c r="BF537" i="6"/>
  <c r="T537" i="6"/>
  <c r="R537" i="6"/>
  <c r="P537" i="6"/>
  <c r="BI532" i="6"/>
  <c r="BH532" i="6"/>
  <c r="BG532" i="6"/>
  <c r="BF532" i="6"/>
  <c r="T532" i="6"/>
  <c r="R532" i="6"/>
  <c r="P532" i="6"/>
  <c r="BI523" i="6"/>
  <c r="BH523" i="6"/>
  <c r="BG523" i="6"/>
  <c r="BF523" i="6"/>
  <c r="T523" i="6"/>
  <c r="R523" i="6"/>
  <c r="P523" i="6"/>
  <c r="BI517" i="6"/>
  <c r="BH517" i="6"/>
  <c r="BG517" i="6"/>
  <c r="BF517" i="6"/>
  <c r="T517" i="6"/>
  <c r="R517" i="6"/>
  <c r="P517" i="6"/>
  <c r="BI511" i="6"/>
  <c r="BH511" i="6"/>
  <c r="BG511" i="6"/>
  <c r="BF511" i="6"/>
  <c r="T511" i="6"/>
  <c r="R511" i="6"/>
  <c r="P511" i="6"/>
  <c r="BI508" i="6"/>
  <c r="BH508" i="6"/>
  <c r="BG508" i="6"/>
  <c r="BF508" i="6"/>
  <c r="T508" i="6"/>
  <c r="R508" i="6"/>
  <c r="P508" i="6"/>
  <c r="BI499" i="6"/>
  <c r="BH499" i="6"/>
  <c r="BG499" i="6"/>
  <c r="BF499" i="6"/>
  <c r="T499" i="6"/>
  <c r="R499" i="6"/>
  <c r="P499" i="6"/>
  <c r="BI494" i="6"/>
  <c r="BH494" i="6"/>
  <c r="BG494" i="6"/>
  <c r="BF494" i="6"/>
  <c r="T494" i="6"/>
  <c r="R494" i="6"/>
  <c r="P494" i="6"/>
  <c r="BI487" i="6"/>
  <c r="BH487" i="6"/>
  <c r="BG487" i="6"/>
  <c r="BF487" i="6"/>
  <c r="T487" i="6"/>
  <c r="R487" i="6"/>
  <c r="P487" i="6"/>
  <c r="BI482" i="6"/>
  <c r="BH482" i="6"/>
  <c r="BG482" i="6"/>
  <c r="BF482" i="6"/>
  <c r="T482" i="6"/>
  <c r="R482" i="6"/>
  <c r="P482" i="6"/>
  <c r="BI478" i="6"/>
  <c r="BH478" i="6"/>
  <c r="BG478" i="6"/>
  <c r="BF478" i="6"/>
  <c r="T478" i="6"/>
  <c r="R478" i="6"/>
  <c r="P478" i="6"/>
  <c r="BI475" i="6"/>
  <c r="BH475" i="6"/>
  <c r="BG475" i="6"/>
  <c r="BF475" i="6"/>
  <c r="T475" i="6"/>
  <c r="R475" i="6"/>
  <c r="P475" i="6"/>
  <c r="BI464" i="6"/>
  <c r="BH464" i="6"/>
  <c r="BG464" i="6"/>
  <c r="BF464" i="6"/>
  <c r="T464" i="6"/>
  <c r="R464" i="6"/>
  <c r="P464" i="6"/>
  <c r="BI458" i="6"/>
  <c r="BH458" i="6"/>
  <c r="BG458" i="6"/>
  <c r="BF458" i="6"/>
  <c r="T458" i="6"/>
  <c r="T457" i="6" s="1"/>
  <c r="R458" i="6"/>
  <c r="R457" i="6" s="1"/>
  <c r="P458" i="6"/>
  <c r="P457" i="6" s="1"/>
  <c r="BI450" i="6"/>
  <c r="BH450" i="6"/>
  <c r="BG450" i="6"/>
  <c r="BF450" i="6"/>
  <c r="T450" i="6"/>
  <c r="R450" i="6"/>
  <c r="P450" i="6"/>
  <c r="BI445" i="6"/>
  <c r="BH445" i="6"/>
  <c r="BG445" i="6"/>
  <c r="BF445" i="6"/>
  <c r="T445" i="6"/>
  <c r="R445" i="6"/>
  <c r="P445" i="6"/>
  <c r="BI438" i="6"/>
  <c r="BH438" i="6"/>
  <c r="BG438" i="6"/>
  <c r="BF438" i="6"/>
  <c r="T438" i="6"/>
  <c r="R438" i="6"/>
  <c r="P438" i="6"/>
  <c r="BI434" i="6"/>
  <c r="BH434" i="6"/>
  <c r="BG434" i="6"/>
  <c r="BF434" i="6"/>
  <c r="T434" i="6"/>
  <c r="R434" i="6"/>
  <c r="P434" i="6"/>
  <c r="BI429" i="6"/>
  <c r="BH429" i="6"/>
  <c r="BG429" i="6"/>
  <c r="BF429" i="6"/>
  <c r="T429" i="6"/>
  <c r="R429" i="6"/>
  <c r="P429" i="6"/>
  <c r="BI424" i="6"/>
  <c r="BH424" i="6"/>
  <c r="BG424" i="6"/>
  <c r="BF424" i="6"/>
  <c r="T424" i="6"/>
  <c r="R424" i="6"/>
  <c r="P424" i="6"/>
  <c r="BI419" i="6"/>
  <c r="BH419" i="6"/>
  <c r="BG419" i="6"/>
  <c r="BF419" i="6"/>
  <c r="T419" i="6"/>
  <c r="R419" i="6"/>
  <c r="P419" i="6"/>
  <c r="BI415" i="6"/>
  <c r="BH415" i="6"/>
  <c r="BG415" i="6"/>
  <c r="BF415" i="6"/>
  <c r="T415" i="6"/>
  <c r="R415" i="6"/>
  <c r="P415" i="6"/>
  <c r="BI410" i="6"/>
  <c r="BH410" i="6"/>
  <c r="BG410" i="6"/>
  <c r="BF410" i="6"/>
  <c r="T410" i="6"/>
  <c r="R410" i="6"/>
  <c r="P410" i="6"/>
  <c r="BI406" i="6"/>
  <c r="BH406" i="6"/>
  <c r="BG406" i="6"/>
  <c r="BF406" i="6"/>
  <c r="T406" i="6"/>
  <c r="R406" i="6"/>
  <c r="P406" i="6"/>
  <c r="BI402" i="6"/>
  <c r="BH402" i="6"/>
  <c r="BG402" i="6"/>
  <c r="BF402" i="6"/>
  <c r="T402" i="6"/>
  <c r="R402" i="6"/>
  <c r="P402" i="6"/>
  <c r="BI396" i="6"/>
  <c r="BH396" i="6"/>
  <c r="BG396" i="6"/>
  <c r="BF396" i="6"/>
  <c r="T396" i="6"/>
  <c r="R396" i="6"/>
  <c r="P396" i="6"/>
  <c r="BI390" i="6"/>
  <c r="BH390" i="6"/>
  <c r="BG390" i="6"/>
  <c r="BF390" i="6"/>
  <c r="T390" i="6"/>
  <c r="R390" i="6"/>
  <c r="P390" i="6"/>
  <c r="BI386" i="6"/>
  <c r="BH386" i="6"/>
  <c r="BG386" i="6"/>
  <c r="BF386" i="6"/>
  <c r="T386" i="6"/>
  <c r="R386" i="6"/>
  <c r="P386" i="6"/>
  <c r="BI381" i="6"/>
  <c r="BH381" i="6"/>
  <c r="BG381" i="6"/>
  <c r="BF381" i="6"/>
  <c r="T381" i="6"/>
  <c r="R381" i="6"/>
  <c r="P381" i="6"/>
  <c r="BI375" i="6"/>
  <c r="BH375" i="6"/>
  <c r="BG375" i="6"/>
  <c r="BF375" i="6"/>
  <c r="T375" i="6"/>
  <c r="R375" i="6"/>
  <c r="P375" i="6"/>
  <c r="BI369" i="6"/>
  <c r="BH369" i="6"/>
  <c r="BG369" i="6"/>
  <c r="BF369" i="6"/>
  <c r="T369" i="6"/>
  <c r="R369" i="6"/>
  <c r="P369" i="6"/>
  <c r="BI363" i="6"/>
  <c r="BH363" i="6"/>
  <c r="BG363" i="6"/>
  <c r="BF363" i="6"/>
  <c r="T363" i="6"/>
  <c r="R363" i="6"/>
  <c r="P363" i="6"/>
  <c r="BI357" i="6"/>
  <c r="BH357" i="6"/>
  <c r="BG357" i="6"/>
  <c r="BF357" i="6"/>
  <c r="T357" i="6"/>
  <c r="R357" i="6"/>
  <c r="P357" i="6"/>
  <c r="BI353" i="6"/>
  <c r="BH353" i="6"/>
  <c r="BG353" i="6"/>
  <c r="BF353" i="6"/>
  <c r="T353" i="6"/>
  <c r="R353" i="6"/>
  <c r="P353" i="6"/>
  <c r="BI349" i="6"/>
  <c r="BH349" i="6"/>
  <c r="BG349" i="6"/>
  <c r="BF349" i="6"/>
  <c r="T349" i="6"/>
  <c r="R349" i="6"/>
  <c r="P349" i="6"/>
  <c r="BI345" i="6"/>
  <c r="BH345" i="6"/>
  <c r="BG345" i="6"/>
  <c r="BF345" i="6"/>
  <c r="T345" i="6"/>
  <c r="R345" i="6"/>
  <c r="P345" i="6"/>
  <c r="BI341" i="6"/>
  <c r="BH341" i="6"/>
  <c r="BG341" i="6"/>
  <c r="BF341" i="6"/>
  <c r="T341" i="6"/>
  <c r="R341" i="6"/>
  <c r="P341" i="6"/>
  <c r="BI336" i="6"/>
  <c r="BH336" i="6"/>
  <c r="BG336" i="6"/>
  <c r="BF336" i="6"/>
  <c r="T336" i="6"/>
  <c r="R336" i="6"/>
  <c r="P336" i="6"/>
  <c r="BI332" i="6"/>
  <c r="BH332" i="6"/>
  <c r="BG332" i="6"/>
  <c r="BF332" i="6"/>
  <c r="T332" i="6"/>
  <c r="R332" i="6"/>
  <c r="P332" i="6"/>
  <c r="BI327" i="6"/>
  <c r="BH327" i="6"/>
  <c r="BG327" i="6"/>
  <c r="BF327" i="6"/>
  <c r="T327" i="6"/>
  <c r="R327" i="6"/>
  <c r="P327" i="6"/>
  <c r="BI323" i="6"/>
  <c r="BH323" i="6"/>
  <c r="BG323" i="6"/>
  <c r="BF323" i="6"/>
  <c r="T323" i="6"/>
  <c r="R323" i="6"/>
  <c r="P323" i="6"/>
  <c r="BI319" i="6"/>
  <c r="BH319" i="6"/>
  <c r="BG319" i="6"/>
  <c r="BF319" i="6"/>
  <c r="T319" i="6"/>
  <c r="R319" i="6"/>
  <c r="P319" i="6"/>
  <c r="BI313" i="6"/>
  <c r="BH313" i="6"/>
  <c r="BG313" i="6"/>
  <c r="BF313" i="6"/>
  <c r="T313" i="6"/>
  <c r="R313" i="6"/>
  <c r="P313" i="6"/>
  <c r="BI306" i="6"/>
  <c r="BH306" i="6"/>
  <c r="BG306" i="6"/>
  <c r="BF306" i="6"/>
  <c r="T306" i="6"/>
  <c r="R306" i="6"/>
  <c r="P306" i="6"/>
  <c r="BI295" i="6"/>
  <c r="BH295" i="6"/>
  <c r="BG295" i="6"/>
  <c r="BF295" i="6"/>
  <c r="T295" i="6"/>
  <c r="R295" i="6"/>
  <c r="P295" i="6"/>
  <c r="BI290" i="6"/>
  <c r="BH290" i="6"/>
  <c r="BG290" i="6"/>
  <c r="BF290" i="6"/>
  <c r="T290" i="6"/>
  <c r="R290" i="6"/>
  <c r="P290" i="6"/>
  <c r="BI285" i="6"/>
  <c r="BH285" i="6"/>
  <c r="BG285" i="6"/>
  <c r="BF285" i="6"/>
  <c r="T285" i="6"/>
  <c r="R285" i="6"/>
  <c r="P285" i="6"/>
  <c r="BI279" i="6"/>
  <c r="BH279" i="6"/>
  <c r="BG279" i="6"/>
  <c r="BF279" i="6"/>
  <c r="T279" i="6"/>
  <c r="R279" i="6"/>
  <c r="P279" i="6"/>
  <c r="BI273" i="6"/>
  <c r="BH273" i="6"/>
  <c r="BG273" i="6"/>
  <c r="BF273" i="6"/>
  <c r="T273" i="6"/>
  <c r="R273" i="6"/>
  <c r="P273" i="6"/>
  <c r="BI267" i="6"/>
  <c r="BH267" i="6"/>
  <c r="BG267" i="6"/>
  <c r="BF267" i="6"/>
  <c r="T267" i="6"/>
  <c r="R267" i="6"/>
  <c r="P267" i="6"/>
  <c r="BI261" i="6"/>
  <c r="BH261" i="6"/>
  <c r="BG261" i="6"/>
  <c r="BF261" i="6"/>
  <c r="T261" i="6"/>
  <c r="R261" i="6"/>
  <c r="P261" i="6"/>
  <c r="BI255" i="6"/>
  <c r="BH255" i="6"/>
  <c r="BG255" i="6"/>
  <c r="BF255" i="6"/>
  <c r="T255" i="6"/>
  <c r="R255" i="6"/>
  <c r="P255" i="6"/>
  <c r="BI249" i="6"/>
  <c r="BH249" i="6"/>
  <c r="BG249" i="6"/>
  <c r="BF249" i="6"/>
  <c r="T249" i="6"/>
  <c r="R249" i="6"/>
  <c r="P249" i="6"/>
  <c r="BI244" i="6"/>
  <c r="BH244" i="6"/>
  <c r="BG244" i="6"/>
  <c r="BF244" i="6"/>
  <c r="T244" i="6"/>
  <c r="R244" i="6"/>
  <c r="P244" i="6"/>
  <c r="BI238" i="6"/>
  <c r="BH238" i="6"/>
  <c r="BG238" i="6"/>
  <c r="BF238" i="6"/>
  <c r="T238" i="6"/>
  <c r="R238" i="6"/>
  <c r="P238" i="6"/>
  <c r="BI226" i="6"/>
  <c r="BH226" i="6"/>
  <c r="BG226" i="6"/>
  <c r="BF226" i="6"/>
  <c r="T226" i="6"/>
  <c r="R226" i="6"/>
  <c r="P226" i="6"/>
  <c r="BI219" i="6"/>
  <c r="BH219" i="6"/>
  <c r="BG219" i="6"/>
  <c r="BF219" i="6"/>
  <c r="T219" i="6"/>
  <c r="R219" i="6"/>
  <c r="P219" i="6"/>
  <c r="BI214" i="6"/>
  <c r="BH214" i="6"/>
  <c r="BG214" i="6"/>
  <c r="BF214" i="6"/>
  <c r="T214" i="6"/>
  <c r="R214" i="6"/>
  <c r="P214" i="6"/>
  <c r="BI210" i="6"/>
  <c r="BH210" i="6"/>
  <c r="BG210" i="6"/>
  <c r="BF210" i="6"/>
  <c r="T210" i="6"/>
  <c r="R210" i="6"/>
  <c r="P210" i="6"/>
  <c r="BI205" i="6"/>
  <c r="BH205" i="6"/>
  <c r="BG205" i="6"/>
  <c r="BF205" i="6"/>
  <c r="T205" i="6"/>
  <c r="R205" i="6"/>
  <c r="P205" i="6"/>
  <c r="BI202" i="6"/>
  <c r="BH202" i="6"/>
  <c r="BG202" i="6"/>
  <c r="BF202" i="6"/>
  <c r="T202" i="6"/>
  <c r="R202" i="6"/>
  <c r="P202" i="6"/>
  <c r="BI198" i="6"/>
  <c r="BH198" i="6"/>
  <c r="BG198" i="6"/>
  <c r="BF198" i="6"/>
  <c r="T198" i="6"/>
  <c r="R198" i="6"/>
  <c r="P198" i="6"/>
  <c r="BI194" i="6"/>
  <c r="BH194" i="6"/>
  <c r="BG194" i="6"/>
  <c r="BF194" i="6"/>
  <c r="T194" i="6"/>
  <c r="R194" i="6"/>
  <c r="P194" i="6"/>
  <c r="BI190" i="6"/>
  <c r="BH190" i="6"/>
  <c r="BG190" i="6"/>
  <c r="BF190" i="6"/>
  <c r="T190" i="6"/>
  <c r="R190" i="6"/>
  <c r="P190" i="6"/>
  <c r="BI185" i="6"/>
  <c r="BH185" i="6"/>
  <c r="BG185" i="6"/>
  <c r="BF185" i="6"/>
  <c r="T185" i="6"/>
  <c r="R185" i="6"/>
  <c r="P185" i="6"/>
  <c r="BI180" i="6"/>
  <c r="BH180" i="6"/>
  <c r="BG180" i="6"/>
  <c r="BF180" i="6"/>
  <c r="T180" i="6"/>
  <c r="R180" i="6"/>
  <c r="P180" i="6"/>
  <c r="BI174" i="6"/>
  <c r="BH174" i="6"/>
  <c r="BG174" i="6"/>
  <c r="BF174" i="6"/>
  <c r="T174" i="6"/>
  <c r="R174" i="6"/>
  <c r="P174" i="6"/>
  <c r="BI170" i="6"/>
  <c r="BH170" i="6"/>
  <c r="BG170" i="6"/>
  <c r="BF170" i="6"/>
  <c r="T170" i="6"/>
  <c r="R170" i="6"/>
  <c r="P170" i="6"/>
  <c r="BI163" i="6"/>
  <c r="BH163" i="6"/>
  <c r="BG163" i="6"/>
  <c r="BF163" i="6"/>
  <c r="T163" i="6"/>
  <c r="R163" i="6"/>
  <c r="P163" i="6"/>
  <c r="BI156" i="6"/>
  <c r="BH156" i="6"/>
  <c r="BG156" i="6"/>
  <c r="BF156" i="6"/>
  <c r="T156" i="6"/>
  <c r="R156" i="6"/>
  <c r="P156" i="6"/>
  <c r="BI150" i="6"/>
  <c r="BH150" i="6"/>
  <c r="BG150" i="6"/>
  <c r="BF150" i="6"/>
  <c r="T150" i="6"/>
  <c r="R150" i="6"/>
  <c r="P150" i="6"/>
  <c r="BI143" i="6"/>
  <c r="BH143" i="6"/>
  <c r="BG143" i="6"/>
  <c r="BF143" i="6"/>
  <c r="T143" i="6"/>
  <c r="R143" i="6"/>
  <c r="P143" i="6"/>
  <c r="BI129" i="6"/>
  <c r="BH129" i="6"/>
  <c r="BG129" i="6"/>
  <c r="BF129" i="6"/>
  <c r="T129" i="6"/>
  <c r="R129" i="6"/>
  <c r="P129" i="6"/>
  <c r="BI122" i="6"/>
  <c r="BH122" i="6"/>
  <c r="BG122" i="6"/>
  <c r="BF122" i="6"/>
  <c r="T122" i="6"/>
  <c r="R122" i="6"/>
  <c r="P122" i="6"/>
  <c r="BI118" i="6"/>
  <c r="BH118" i="6"/>
  <c r="BG118" i="6"/>
  <c r="BF118" i="6"/>
  <c r="T118" i="6"/>
  <c r="R118" i="6"/>
  <c r="P118" i="6"/>
  <c r="BI106" i="6"/>
  <c r="BH106" i="6"/>
  <c r="BG106" i="6"/>
  <c r="BF106" i="6"/>
  <c r="T106" i="6"/>
  <c r="R106" i="6"/>
  <c r="P106" i="6"/>
  <c r="BI101" i="6"/>
  <c r="BH101" i="6"/>
  <c r="BG101" i="6"/>
  <c r="BF101" i="6"/>
  <c r="T101" i="6"/>
  <c r="R101" i="6"/>
  <c r="P101" i="6"/>
  <c r="BI95" i="6"/>
  <c r="BH95" i="6"/>
  <c r="BG95" i="6"/>
  <c r="BF95" i="6"/>
  <c r="T95" i="6"/>
  <c r="R95" i="6"/>
  <c r="P95" i="6"/>
  <c r="J89" i="6"/>
  <c r="J88" i="6"/>
  <c r="F88" i="6"/>
  <c r="F86" i="6"/>
  <c r="E84" i="6"/>
  <c r="J55" i="6"/>
  <c r="J54" i="6"/>
  <c r="F54" i="6"/>
  <c r="F52" i="6"/>
  <c r="E50" i="6"/>
  <c r="J18" i="6"/>
  <c r="E18" i="6"/>
  <c r="F55" i="6" s="1"/>
  <c r="J17" i="6"/>
  <c r="J12" i="6"/>
  <c r="J86" i="6" s="1"/>
  <c r="E7" i="6"/>
  <c r="E48" i="6" s="1"/>
  <c r="J37" i="5"/>
  <c r="J36" i="5"/>
  <c r="AY58" i="1" s="1"/>
  <c r="J35" i="5"/>
  <c r="AX58" i="1" s="1"/>
  <c r="BI213" i="5"/>
  <c r="BH213" i="5"/>
  <c r="BG213" i="5"/>
  <c r="BF213" i="5"/>
  <c r="T213" i="5"/>
  <c r="R213" i="5"/>
  <c r="P213" i="5"/>
  <c r="BI210" i="5"/>
  <c r="BH210" i="5"/>
  <c r="BG210" i="5"/>
  <c r="BF210" i="5"/>
  <c r="T210" i="5"/>
  <c r="R210" i="5"/>
  <c r="P210" i="5"/>
  <c r="BI194" i="5"/>
  <c r="BH194" i="5"/>
  <c r="BG194" i="5"/>
  <c r="BF194" i="5"/>
  <c r="T194" i="5"/>
  <c r="R194" i="5"/>
  <c r="P194" i="5"/>
  <c r="BI191" i="5"/>
  <c r="BH191" i="5"/>
  <c r="BG191" i="5"/>
  <c r="BF191" i="5"/>
  <c r="T191" i="5"/>
  <c r="R191" i="5"/>
  <c r="P191" i="5"/>
  <c r="BI185" i="5"/>
  <c r="BH185" i="5"/>
  <c r="BG185" i="5"/>
  <c r="BF185" i="5"/>
  <c r="T185" i="5"/>
  <c r="T184" i="5"/>
  <c r="R185" i="5"/>
  <c r="R184" i="5" s="1"/>
  <c r="P185" i="5"/>
  <c r="P184" i="5" s="1"/>
  <c r="BI179" i="5"/>
  <c r="BH179" i="5"/>
  <c r="BG179" i="5"/>
  <c r="BF179" i="5"/>
  <c r="T179" i="5"/>
  <c r="T178" i="5" s="1"/>
  <c r="R179" i="5"/>
  <c r="R178" i="5" s="1"/>
  <c r="P179" i="5"/>
  <c r="P178" i="5" s="1"/>
  <c r="BI176" i="5"/>
  <c r="BH176" i="5"/>
  <c r="BG176" i="5"/>
  <c r="BF176" i="5"/>
  <c r="T176" i="5"/>
  <c r="R176" i="5"/>
  <c r="P176" i="5"/>
  <c r="BI171" i="5"/>
  <c r="BH171" i="5"/>
  <c r="BG171" i="5"/>
  <c r="BF171" i="5"/>
  <c r="T171" i="5"/>
  <c r="R171" i="5"/>
  <c r="P171" i="5"/>
  <c r="BI166" i="5"/>
  <c r="BH166" i="5"/>
  <c r="BG166" i="5"/>
  <c r="BF166" i="5"/>
  <c r="T166" i="5"/>
  <c r="R166" i="5"/>
  <c r="P166" i="5"/>
  <c r="BI162" i="5"/>
  <c r="BH162" i="5"/>
  <c r="BG162" i="5"/>
  <c r="BF162" i="5"/>
  <c r="T162" i="5"/>
  <c r="R162" i="5"/>
  <c r="P162" i="5"/>
  <c r="BI157" i="5"/>
  <c r="BH157" i="5"/>
  <c r="BG157" i="5"/>
  <c r="BF157" i="5"/>
  <c r="T157" i="5"/>
  <c r="R157" i="5"/>
  <c r="P157" i="5"/>
  <c r="BI149" i="5"/>
  <c r="BH149" i="5"/>
  <c r="BG149" i="5"/>
  <c r="BF149" i="5"/>
  <c r="T149" i="5"/>
  <c r="R149" i="5"/>
  <c r="P149" i="5"/>
  <c r="BI145" i="5"/>
  <c r="BH145" i="5"/>
  <c r="BG145" i="5"/>
  <c r="BF145" i="5"/>
  <c r="T145" i="5"/>
  <c r="R145" i="5"/>
  <c r="P145" i="5"/>
  <c r="BI141" i="5"/>
  <c r="BH141" i="5"/>
  <c r="BG141" i="5"/>
  <c r="BF141" i="5"/>
  <c r="T141" i="5"/>
  <c r="R141" i="5"/>
  <c r="P141" i="5"/>
  <c r="BI138" i="5"/>
  <c r="BH138" i="5"/>
  <c r="BG138" i="5"/>
  <c r="BF138" i="5"/>
  <c r="T138" i="5"/>
  <c r="R138" i="5"/>
  <c r="P138" i="5"/>
  <c r="BI133" i="5"/>
  <c r="BH133" i="5"/>
  <c r="BG133" i="5"/>
  <c r="BF133" i="5"/>
  <c r="T133" i="5"/>
  <c r="R133" i="5"/>
  <c r="P133" i="5"/>
  <c r="BI127" i="5"/>
  <c r="BH127" i="5"/>
  <c r="BG127" i="5"/>
  <c r="BF127" i="5"/>
  <c r="T127" i="5"/>
  <c r="R127" i="5"/>
  <c r="P127" i="5"/>
  <c r="BI112" i="5"/>
  <c r="BH112" i="5"/>
  <c r="BG112" i="5"/>
  <c r="BF112" i="5"/>
  <c r="T112" i="5"/>
  <c r="R112" i="5"/>
  <c r="P112" i="5"/>
  <c r="BI106" i="5"/>
  <c r="BH106" i="5"/>
  <c r="BG106" i="5"/>
  <c r="BF106" i="5"/>
  <c r="T106" i="5"/>
  <c r="R106" i="5"/>
  <c r="P106" i="5"/>
  <c r="BI102" i="5"/>
  <c r="BH102" i="5"/>
  <c r="BG102" i="5"/>
  <c r="BF102" i="5"/>
  <c r="T102" i="5"/>
  <c r="R102" i="5"/>
  <c r="P102" i="5"/>
  <c r="BI96" i="5"/>
  <c r="BH96" i="5"/>
  <c r="BG96" i="5"/>
  <c r="BF96" i="5"/>
  <c r="T96" i="5"/>
  <c r="R96" i="5"/>
  <c r="P96" i="5"/>
  <c r="BI91" i="5"/>
  <c r="BH91" i="5"/>
  <c r="BG91" i="5"/>
  <c r="BF91" i="5"/>
  <c r="T91" i="5"/>
  <c r="R91" i="5"/>
  <c r="P91" i="5"/>
  <c r="J85" i="5"/>
  <c r="J84" i="5"/>
  <c r="F84" i="5"/>
  <c r="F82" i="5"/>
  <c r="E80" i="5"/>
  <c r="J55" i="5"/>
  <c r="J54" i="5"/>
  <c r="F54" i="5"/>
  <c r="F52" i="5"/>
  <c r="E50" i="5"/>
  <c r="J18" i="5"/>
  <c r="E18" i="5"/>
  <c r="F55" i="5" s="1"/>
  <c r="J17" i="5"/>
  <c r="J12" i="5"/>
  <c r="J52" i="5"/>
  <c r="E7" i="5"/>
  <c r="E78" i="5" s="1"/>
  <c r="J37" i="4"/>
  <c r="J36" i="4"/>
  <c r="AY57" i="1" s="1"/>
  <c r="J35" i="4"/>
  <c r="AX57" i="1" s="1"/>
  <c r="BI298" i="4"/>
  <c r="BH298" i="4"/>
  <c r="BG298" i="4"/>
  <c r="BF298" i="4"/>
  <c r="T298" i="4"/>
  <c r="T297" i="4" s="1"/>
  <c r="R298" i="4"/>
  <c r="R297" i="4" s="1"/>
  <c r="P298" i="4"/>
  <c r="P297" i="4" s="1"/>
  <c r="BI293" i="4"/>
  <c r="BH293" i="4"/>
  <c r="BG293" i="4"/>
  <c r="BF293" i="4"/>
  <c r="T293" i="4"/>
  <c r="R293" i="4"/>
  <c r="P293" i="4"/>
  <c r="BI289" i="4"/>
  <c r="BH289" i="4"/>
  <c r="BG289" i="4"/>
  <c r="BF289" i="4"/>
  <c r="T289" i="4"/>
  <c r="R289" i="4"/>
  <c r="P289" i="4"/>
  <c r="BI286" i="4"/>
  <c r="BH286" i="4"/>
  <c r="BG286" i="4"/>
  <c r="BF286" i="4"/>
  <c r="T286" i="4"/>
  <c r="R286" i="4"/>
  <c r="P286" i="4"/>
  <c r="BI280" i="4"/>
  <c r="BH280" i="4"/>
  <c r="BG280" i="4"/>
  <c r="BF280" i="4"/>
  <c r="T280" i="4"/>
  <c r="R280" i="4"/>
  <c r="P280" i="4"/>
  <c r="BI275" i="4"/>
  <c r="BH275" i="4"/>
  <c r="BG275" i="4"/>
  <c r="BF275" i="4"/>
  <c r="T275" i="4"/>
  <c r="R275" i="4"/>
  <c r="P275" i="4"/>
  <c r="BI271" i="4"/>
  <c r="BH271" i="4"/>
  <c r="BG271" i="4"/>
  <c r="BF271" i="4"/>
  <c r="T271" i="4"/>
  <c r="R271" i="4"/>
  <c r="P271" i="4"/>
  <c r="BI267" i="4"/>
  <c r="BH267" i="4"/>
  <c r="BG267" i="4"/>
  <c r="BF267" i="4"/>
  <c r="T267" i="4"/>
  <c r="R267" i="4"/>
  <c r="P267" i="4"/>
  <c r="BI259" i="4"/>
  <c r="BH259" i="4"/>
  <c r="BG259" i="4"/>
  <c r="BF259" i="4"/>
  <c r="T259" i="4"/>
  <c r="R259" i="4"/>
  <c r="P259" i="4"/>
  <c r="BI254" i="4"/>
  <c r="BH254" i="4"/>
  <c r="BG254" i="4"/>
  <c r="BF254" i="4"/>
  <c r="T254" i="4"/>
  <c r="R254" i="4"/>
  <c r="P254" i="4"/>
  <c r="BI250" i="4"/>
  <c r="BH250" i="4"/>
  <c r="BG250" i="4"/>
  <c r="BF250" i="4"/>
  <c r="T250" i="4"/>
  <c r="R250" i="4"/>
  <c r="P250" i="4"/>
  <c r="BI242" i="4"/>
  <c r="BH242" i="4"/>
  <c r="BG242" i="4"/>
  <c r="BF242" i="4"/>
  <c r="T242" i="4"/>
  <c r="R242" i="4"/>
  <c r="P242" i="4"/>
  <c r="BI233" i="4"/>
  <c r="BH233" i="4"/>
  <c r="BG233" i="4"/>
  <c r="BF233" i="4"/>
  <c r="T233" i="4"/>
  <c r="R233" i="4"/>
  <c r="P233" i="4"/>
  <c r="BI227" i="4"/>
  <c r="BH227" i="4"/>
  <c r="BG227" i="4"/>
  <c r="BF227" i="4"/>
  <c r="T227" i="4"/>
  <c r="T226" i="4" s="1"/>
  <c r="R227" i="4"/>
  <c r="R226" i="4" s="1"/>
  <c r="P227" i="4"/>
  <c r="P226" i="4" s="1"/>
  <c r="BI222" i="4"/>
  <c r="BH222" i="4"/>
  <c r="BG222" i="4"/>
  <c r="BF222" i="4"/>
  <c r="T222" i="4"/>
  <c r="R222" i="4"/>
  <c r="P222" i="4"/>
  <c r="BI217" i="4"/>
  <c r="BH217" i="4"/>
  <c r="BG217" i="4"/>
  <c r="BF217" i="4"/>
  <c r="T217" i="4"/>
  <c r="R217" i="4"/>
  <c r="P217" i="4"/>
  <c r="BI213" i="4"/>
  <c r="BH213" i="4"/>
  <c r="BG213" i="4"/>
  <c r="BF213" i="4"/>
  <c r="T213" i="4"/>
  <c r="R213" i="4"/>
  <c r="P213" i="4"/>
  <c r="BI208" i="4"/>
  <c r="BH208" i="4"/>
  <c r="BG208" i="4"/>
  <c r="BF208" i="4"/>
  <c r="T208" i="4"/>
  <c r="R208" i="4"/>
  <c r="P208" i="4"/>
  <c r="BI204" i="4"/>
  <c r="BH204" i="4"/>
  <c r="BG204" i="4"/>
  <c r="BF204" i="4"/>
  <c r="T204" i="4"/>
  <c r="R204" i="4"/>
  <c r="P204" i="4"/>
  <c r="BI198" i="4"/>
  <c r="BH198" i="4"/>
  <c r="BG198" i="4"/>
  <c r="BF198" i="4"/>
  <c r="T198" i="4"/>
  <c r="R198" i="4"/>
  <c r="P198" i="4"/>
  <c r="BI195" i="4"/>
  <c r="BH195" i="4"/>
  <c r="BG195" i="4"/>
  <c r="BF195" i="4"/>
  <c r="T195" i="4"/>
  <c r="R195" i="4"/>
  <c r="P195" i="4"/>
  <c r="BI191" i="4"/>
  <c r="BH191" i="4"/>
  <c r="BG191" i="4"/>
  <c r="BF191" i="4"/>
  <c r="T191" i="4"/>
  <c r="R191" i="4"/>
  <c r="P191" i="4"/>
  <c r="BI187" i="4"/>
  <c r="BH187" i="4"/>
  <c r="BG187" i="4"/>
  <c r="BF187" i="4"/>
  <c r="T187" i="4"/>
  <c r="R187" i="4"/>
  <c r="P187" i="4"/>
  <c r="BI183" i="4"/>
  <c r="BH183" i="4"/>
  <c r="BG183" i="4"/>
  <c r="BF183" i="4"/>
  <c r="T183" i="4"/>
  <c r="R183" i="4"/>
  <c r="P183" i="4"/>
  <c r="BI178" i="4"/>
  <c r="BH178" i="4"/>
  <c r="BG178" i="4"/>
  <c r="BF178" i="4"/>
  <c r="T178" i="4"/>
  <c r="R178" i="4"/>
  <c r="P178" i="4"/>
  <c r="BI174" i="4"/>
  <c r="BH174" i="4"/>
  <c r="BG174" i="4"/>
  <c r="BF174" i="4"/>
  <c r="T174" i="4"/>
  <c r="R174" i="4"/>
  <c r="P174" i="4"/>
  <c r="BI167" i="4"/>
  <c r="BH167" i="4"/>
  <c r="BG167" i="4"/>
  <c r="BF167" i="4"/>
  <c r="T167" i="4"/>
  <c r="R167" i="4"/>
  <c r="P167" i="4"/>
  <c r="BI163" i="4"/>
  <c r="BH163" i="4"/>
  <c r="BG163" i="4"/>
  <c r="BF163" i="4"/>
  <c r="T163" i="4"/>
  <c r="R163" i="4"/>
  <c r="P163" i="4"/>
  <c r="BI158" i="4"/>
  <c r="BH158" i="4"/>
  <c r="BG158" i="4"/>
  <c r="BF158" i="4"/>
  <c r="T158" i="4"/>
  <c r="R158" i="4"/>
  <c r="P158" i="4"/>
  <c r="BI151" i="4"/>
  <c r="BH151" i="4"/>
  <c r="BG151" i="4"/>
  <c r="BF151" i="4"/>
  <c r="T151" i="4"/>
  <c r="R151" i="4"/>
  <c r="P151" i="4"/>
  <c r="BI145" i="4"/>
  <c r="BH145" i="4"/>
  <c r="BG145" i="4"/>
  <c r="BF145" i="4"/>
  <c r="T145" i="4"/>
  <c r="R145" i="4"/>
  <c r="P145" i="4"/>
  <c r="BI138" i="4"/>
  <c r="BH138" i="4"/>
  <c r="BG138" i="4"/>
  <c r="BF138" i="4"/>
  <c r="T138" i="4"/>
  <c r="R138" i="4"/>
  <c r="P138" i="4"/>
  <c r="BI133" i="4"/>
  <c r="BH133" i="4"/>
  <c r="BG133" i="4"/>
  <c r="BF133" i="4"/>
  <c r="T133" i="4"/>
  <c r="R133" i="4"/>
  <c r="P133" i="4"/>
  <c r="BI127" i="4"/>
  <c r="BH127" i="4"/>
  <c r="BG127" i="4"/>
  <c r="BF127" i="4"/>
  <c r="T127" i="4"/>
  <c r="R127" i="4"/>
  <c r="P127" i="4"/>
  <c r="BI123" i="4"/>
  <c r="BH123" i="4"/>
  <c r="BG123" i="4"/>
  <c r="BF123" i="4"/>
  <c r="T123" i="4"/>
  <c r="R123" i="4"/>
  <c r="P123" i="4"/>
  <c r="BI113" i="4"/>
  <c r="BH113" i="4"/>
  <c r="BG113" i="4"/>
  <c r="BF113" i="4"/>
  <c r="T113" i="4"/>
  <c r="R113" i="4"/>
  <c r="P113" i="4"/>
  <c r="BI108" i="4"/>
  <c r="BH108" i="4"/>
  <c r="BG108" i="4"/>
  <c r="BF108" i="4"/>
  <c r="T108" i="4"/>
  <c r="R108" i="4"/>
  <c r="P108" i="4"/>
  <c r="BI101" i="4"/>
  <c r="BH101" i="4"/>
  <c r="BG101" i="4"/>
  <c r="BF101" i="4"/>
  <c r="T101" i="4"/>
  <c r="R101" i="4"/>
  <c r="P101" i="4"/>
  <c r="BI92" i="4"/>
  <c r="BH92" i="4"/>
  <c r="BG92" i="4"/>
  <c r="BF92" i="4"/>
  <c r="T92" i="4"/>
  <c r="T91" i="4" s="1"/>
  <c r="R92" i="4"/>
  <c r="R91" i="4" s="1"/>
  <c r="P92" i="4"/>
  <c r="P91" i="4" s="1"/>
  <c r="J86" i="4"/>
  <c r="J85" i="4"/>
  <c r="F85" i="4"/>
  <c r="F83" i="4"/>
  <c r="E81" i="4"/>
  <c r="J55" i="4"/>
  <c r="J54" i="4"/>
  <c r="F54" i="4"/>
  <c r="F52" i="4"/>
  <c r="E50" i="4"/>
  <c r="J18" i="4"/>
  <c r="E18" i="4"/>
  <c r="F55" i="4" s="1"/>
  <c r="J17" i="4"/>
  <c r="J12" i="4"/>
  <c r="J52" i="4" s="1"/>
  <c r="E7" i="4"/>
  <c r="E48" i="4" s="1"/>
  <c r="J37" i="3"/>
  <c r="J36" i="3"/>
  <c r="AY56" i="1" s="1"/>
  <c r="J35" i="3"/>
  <c r="AX56" i="1"/>
  <c r="BI264" i="3"/>
  <c r="BH264" i="3"/>
  <c r="BG264" i="3"/>
  <c r="BF264" i="3"/>
  <c r="T264" i="3"/>
  <c r="T263" i="3" s="1"/>
  <c r="T262" i="3" s="1"/>
  <c r="R264" i="3"/>
  <c r="R263" i="3" s="1"/>
  <c r="R262" i="3" s="1"/>
  <c r="P264" i="3"/>
  <c r="P263" i="3" s="1"/>
  <c r="P262" i="3" s="1"/>
  <c r="BI259" i="3"/>
  <c r="BH259" i="3"/>
  <c r="BG259" i="3"/>
  <c r="BF259" i="3"/>
  <c r="T259" i="3"/>
  <c r="T258" i="3"/>
  <c r="R259" i="3"/>
  <c r="R258" i="3" s="1"/>
  <c r="P259" i="3"/>
  <c r="P258" i="3" s="1"/>
  <c r="BI254" i="3"/>
  <c r="BH254" i="3"/>
  <c r="BG254" i="3"/>
  <c r="BF254" i="3"/>
  <c r="T254" i="3"/>
  <c r="T253" i="3" s="1"/>
  <c r="R254" i="3"/>
  <c r="R253" i="3" s="1"/>
  <c r="P254" i="3"/>
  <c r="P253" i="3" s="1"/>
  <c r="BI249" i="3"/>
  <c r="BH249" i="3"/>
  <c r="BG249" i="3"/>
  <c r="BF249" i="3"/>
  <c r="T249" i="3"/>
  <c r="R249" i="3"/>
  <c r="P249" i="3"/>
  <c r="BI244" i="3"/>
  <c r="BH244" i="3"/>
  <c r="BG244" i="3"/>
  <c r="BF244" i="3"/>
  <c r="T244" i="3"/>
  <c r="R244" i="3"/>
  <c r="P244" i="3"/>
  <c r="BI240" i="3"/>
  <c r="BH240" i="3"/>
  <c r="BG240" i="3"/>
  <c r="BF240" i="3"/>
  <c r="T240" i="3"/>
  <c r="R240" i="3"/>
  <c r="P240" i="3"/>
  <c r="BI235" i="3"/>
  <c r="BH235" i="3"/>
  <c r="BG235" i="3"/>
  <c r="BF235" i="3"/>
  <c r="T235" i="3"/>
  <c r="R235" i="3"/>
  <c r="P235" i="3"/>
  <c r="BI231" i="3"/>
  <c r="BH231" i="3"/>
  <c r="BG231" i="3"/>
  <c r="BF231" i="3"/>
  <c r="T231" i="3"/>
  <c r="R231" i="3"/>
  <c r="P231" i="3"/>
  <c r="BI227" i="3"/>
  <c r="BH227" i="3"/>
  <c r="BG227" i="3"/>
  <c r="BF227" i="3"/>
  <c r="T227" i="3"/>
  <c r="R227" i="3"/>
  <c r="P227" i="3"/>
  <c r="BI221" i="3"/>
  <c r="BH221" i="3"/>
  <c r="BG221" i="3"/>
  <c r="BF221" i="3"/>
  <c r="T221" i="3"/>
  <c r="R221" i="3"/>
  <c r="P221" i="3"/>
  <c r="BI218" i="3"/>
  <c r="BH218" i="3"/>
  <c r="BG218" i="3"/>
  <c r="BF218" i="3"/>
  <c r="T218" i="3"/>
  <c r="R218" i="3"/>
  <c r="P218" i="3"/>
  <c r="BI212" i="3"/>
  <c r="BH212" i="3"/>
  <c r="BG212" i="3"/>
  <c r="BF212" i="3"/>
  <c r="T212" i="3"/>
  <c r="R212" i="3"/>
  <c r="P212" i="3"/>
  <c r="BI208" i="3"/>
  <c r="BH208" i="3"/>
  <c r="BG208" i="3"/>
  <c r="BF208" i="3"/>
  <c r="T208" i="3"/>
  <c r="R208" i="3"/>
  <c r="P208" i="3"/>
  <c r="BI202" i="3"/>
  <c r="BH202" i="3"/>
  <c r="BG202" i="3"/>
  <c r="BF202" i="3"/>
  <c r="T202" i="3"/>
  <c r="R202" i="3"/>
  <c r="P202" i="3"/>
  <c r="BI197" i="3"/>
  <c r="BH197" i="3"/>
  <c r="BG197" i="3"/>
  <c r="BF197" i="3"/>
  <c r="T197" i="3"/>
  <c r="R197" i="3"/>
  <c r="P197" i="3"/>
  <c r="BI193" i="3"/>
  <c r="BH193" i="3"/>
  <c r="BG193" i="3"/>
  <c r="BF193" i="3"/>
  <c r="T193" i="3"/>
  <c r="R193" i="3"/>
  <c r="P193" i="3"/>
  <c r="BI189" i="3"/>
  <c r="BH189" i="3"/>
  <c r="BG189" i="3"/>
  <c r="BF189" i="3"/>
  <c r="T189" i="3"/>
  <c r="R189" i="3"/>
  <c r="P189" i="3"/>
  <c r="BI183" i="3"/>
  <c r="BH183" i="3"/>
  <c r="BG183" i="3"/>
  <c r="BF183" i="3"/>
  <c r="T183" i="3"/>
  <c r="R183" i="3"/>
  <c r="P183" i="3"/>
  <c r="BI174" i="3"/>
  <c r="BH174" i="3"/>
  <c r="BG174" i="3"/>
  <c r="BF174" i="3"/>
  <c r="T174" i="3"/>
  <c r="R174" i="3"/>
  <c r="P174" i="3"/>
  <c r="BI165" i="3"/>
  <c r="BH165" i="3"/>
  <c r="BG165" i="3"/>
  <c r="BF165" i="3"/>
  <c r="T165" i="3"/>
  <c r="R165" i="3"/>
  <c r="P165" i="3"/>
  <c r="BI150" i="3"/>
  <c r="BH150" i="3"/>
  <c r="BG150" i="3"/>
  <c r="BF150" i="3"/>
  <c r="T150" i="3"/>
  <c r="R150" i="3"/>
  <c r="P150" i="3"/>
  <c r="BI135" i="3"/>
  <c r="BH135" i="3"/>
  <c r="BG135" i="3"/>
  <c r="BF135" i="3"/>
  <c r="T135" i="3"/>
  <c r="R135" i="3"/>
  <c r="P135" i="3"/>
  <c r="BI130" i="3"/>
  <c r="BH130" i="3"/>
  <c r="BG130" i="3"/>
  <c r="BF130" i="3"/>
  <c r="T130" i="3"/>
  <c r="R130" i="3"/>
  <c r="P130" i="3"/>
  <c r="BI125" i="3"/>
  <c r="BH125" i="3"/>
  <c r="BG125" i="3"/>
  <c r="BF125" i="3"/>
  <c r="T125" i="3"/>
  <c r="R125" i="3"/>
  <c r="P125" i="3"/>
  <c r="BI121" i="3"/>
  <c r="BH121" i="3"/>
  <c r="BG121" i="3"/>
  <c r="BF121" i="3"/>
  <c r="T121" i="3"/>
  <c r="R121" i="3"/>
  <c r="P121" i="3"/>
  <c r="BI117" i="3"/>
  <c r="BH117" i="3"/>
  <c r="BG117" i="3"/>
  <c r="BF117" i="3"/>
  <c r="T117" i="3"/>
  <c r="R117" i="3"/>
  <c r="P117" i="3"/>
  <c r="BI113" i="3"/>
  <c r="BH113" i="3"/>
  <c r="BG113" i="3"/>
  <c r="BF113" i="3"/>
  <c r="T113" i="3"/>
  <c r="R113" i="3"/>
  <c r="P113" i="3"/>
  <c r="BI109" i="3"/>
  <c r="BH109" i="3"/>
  <c r="BG109" i="3"/>
  <c r="BF109" i="3"/>
  <c r="T109" i="3"/>
  <c r="R109" i="3"/>
  <c r="P109" i="3"/>
  <c r="BI105" i="3"/>
  <c r="BH105" i="3"/>
  <c r="BG105" i="3"/>
  <c r="BF105" i="3"/>
  <c r="T105" i="3"/>
  <c r="R105" i="3"/>
  <c r="P105" i="3"/>
  <c r="BI100" i="3"/>
  <c r="BH100" i="3"/>
  <c r="BG100" i="3"/>
  <c r="BF100" i="3"/>
  <c r="T100" i="3"/>
  <c r="R100" i="3"/>
  <c r="P100" i="3"/>
  <c r="BI96" i="3"/>
  <c r="BH96" i="3"/>
  <c r="BG96" i="3"/>
  <c r="BF96" i="3"/>
  <c r="T96" i="3"/>
  <c r="R96" i="3"/>
  <c r="P96" i="3"/>
  <c r="BI89" i="3"/>
  <c r="BH89" i="3"/>
  <c r="BG89" i="3"/>
  <c r="BF89" i="3"/>
  <c r="T89" i="3"/>
  <c r="R89" i="3"/>
  <c r="P89" i="3"/>
  <c r="J83" i="3"/>
  <c r="J82" i="3"/>
  <c r="F82" i="3"/>
  <c r="F80" i="3"/>
  <c r="E78" i="3"/>
  <c r="J55" i="3"/>
  <c r="J54" i="3"/>
  <c r="F54" i="3"/>
  <c r="F52" i="3"/>
  <c r="E50" i="3"/>
  <c r="J18" i="3"/>
  <c r="E18" i="3"/>
  <c r="F83" i="3" s="1"/>
  <c r="J17" i="3"/>
  <c r="J12" i="3"/>
  <c r="J80" i="3" s="1"/>
  <c r="E7" i="3"/>
  <c r="E76" i="3" s="1"/>
  <c r="J37" i="2"/>
  <c r="J36" i="2"/>
  <c r="AY55" i="1" s="1"/>
  <c r="J35" i="2"/>
  <c r="AX55" i="1"/>
  <c r="BI172" i="2"/>
  <c r="BH172" i="2"/>
  <c r="BG172" i="2"/>
  <c r="BF172" i="2"/>
  <c r="T172" i="2"/>
  <c r="T171" i="2" s="1"/>
  <c r="R172" i="2"/>
  <c r="R171" i="2" s="1"/>
  <c r="P172" i="2"/>
  <c r="P171" i="2" s="1"/>
  <c r="BI162" i="2"/>
  <c r="BH162" i="2"/>
  <c r="BG162" i="2"/>
  <c r="BF162" i="2"/>
  <c r="T162" i="2"/>
  <c r="T161" i="2" s="1"/>
  <c r="R162" i="2"/>
  <c r="R161" i="2" s="1"/>
  <c r="P162" i="2"/>
  <c r="P161" i="2" s="1"/>
  <c r="BI159" i="2"/>
  <c r="BH159" i="2"/>
  <c r="BG159" i="2"/>
  <c r="BF159" i="2"/>
  <c r="T159" i="2"/>
  <c r="T158" i="2" s="1"/>
  <c r="R159" i="2"/>
  <c r="R158" i="2" s="1"/>
  <c r="P159" i="2"/>
  <c r="P158" i="2" s="1"/>
  <c r="BI155" i="2"/>
  <c r="BH155" i="2"/>
  <c r="BG155" i="2"/>
  <c r="BF155" i="2"/>
  <c r="T155" i="2"/>
  <c r="R155" i="2"/>
  <c r="P155"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2" i="2"/>
  <c r="BH132" i="2"/>
  <c r="BG132" i="2"/>
  <c r="BF132" i="2"/>
  <c r="T132" i="2"/>
  <c r="R132" i="2"/>
  <c r="P132" i="2"/>
  <c r="BI129" i="2"/>
  <c r="BH129" i="2"/>
  <c r="BG129" i="2"/>
  <c r="BF129" i="2"/>
  <c r="T129" i="2"/>
  <c r="R129" i="2"/>
  <c r="P129" i="2"/>
  <c r="BI126" i="2"/>
  <c r="BH126" i="2"/>
  <c r="BG126" i="2"/>
  <c r="BF126" i="2"/>
  <c r="T126" i="2"/>
  <c r="R126" i="2"/>
  <c r="P126" i="2"/>
  <c r="BI120" i="2"/>
  <c r="BH120" i="2"/>
  <c r="BG120" i="2"/>
  <c r="BF120" i="2"/>
  <c r="T120" i="2"/>
  <c r="R120" i="2"/>
  <c r="P120" i="2"/>
  <c r="BI111" i="2"/>
  <c r="BH111" i="2"/>
  <c r="BG111" i="2"/>
  <c r="BF111" i="2"/>
  <c r="T111" i="2"/>
  <c r="R111" i="2"/>
  <c r="P111" i="2"/>
  <c r="BI107" i="2"/>
  <c r="BH107" i="2"/>
  <c r="BG107" i="2"/>
  <c r="BF107" i="2"/>
  <c r="T107" i="2"/>
  <c r="R107" i="2"/>
  <c r="P107" i="2"/>
  <c r="BI102" i="2"/>
  <c r="BH102" i="2"/>
  <c r="BG102" i="2"/>
  <c r="BF102" i="2"/>
  <c r="T102" i="2"/>
  <c r="R102" i="2"/>
  <c r="P102" i="2"/>
  <c r="BI91" i="2"/>
  <c r="BH91" i="2"/>
  <c r="F36" i="2" s="1"/>
  <c r="BG91" i="2"/>
  <c r="BF91" i="2"/>
  <c r="T91" i="2"/>
  <c r="R91" i="2"/>
  <c r="P91" i="2"/>
  <c r="J85" i="2"/>
  <c r="J84" i="2"/>
  <c r="F84" i="2"/>
  <c r="F82" i="2"/>
  <c r="E80" i="2"/>
  <c r="J55" i="2"/>
  <c r="J54" i="2"/>
  <c r="F54" i="2"/>
  <c r="F52" i="2"/>
  <c r="E50" i="2"/>
  <c r="J18" i="2"/>
  <c r="E18" i="2"/>
  <c r="F55" i="2" s="1"/>
  <c r="J17" i="2"/>
  <c r="J12" i="2"/>
  <c r="J82" i="2" s="1"/>
  <c r="E7" i="2"/>
  <c r="E78" i="2" s="1"/>
  <c r="L50" i="1"/>
  <c r="AM50" i="1"/>
  <c r="AM49" i="1"/>
  <c r="L49" i="1"/>
  <c r="AM47" i="1"/>
  <c r="L47" i="1"/>
  <c r="L45" i="1"/>
  <c r="L44" i="1"/>
  <c r="J232" i="11"/>
  <c r="BK297" i="11"/>
  <c r="BK232" i="11"/>
  <c r="BK144" i="11"/>
  <c r="BK255" i="11"/>
  <c r="BK104" i="11"/>
  <c r="BK354" i="12"/>
  <c r="J320" i="12"/>
  <c r="BK225" i="12"/>
  <c r="BK359" i="12"/>
  <c r="BK330" i="12"/>
  <c r="BK272" i="12"/>
  <c r="BK289" i="12"/>
  <c r="J220" i="12"/>
  <c r="J155" i="12"/>
  <c r="J314" i="13"/>
  <c r="J212" i="13"/>
  <c r="J253" i="13"/>
  <c r="BK267" i="13"/>
  <c r="BK140" i="13"/>
  <c r="J753" i="14"/>
  <c r="BK660" i="14"/>
  <c r="BK577" i="14"/>
  <c r="BK470" i="14"/>
  <c r="BK312" i="14"/>
  <c r="BK223" i="14"/>
  <c r="J163" i="14"/>
  <c r="BK817" i="14"/>
  <c r="BK664" i="14"/>
  <c r="J516" i="14"/>
  <c r="BK436" i="14"/>
  <c r="BK306" i="14"/>
  <c r="J199" i="14"/>
  <c r="J123" i="14"/>
  <c r="J737" i="14"/>
  <c r="J591" i="14"/>
  <c r="J494" i="14"/>
  <c r="BK396" i="14"/>
  <c r="BK265" i="14"/>
  <c r="BK863" i="14"/>
  <c r="J842" i="14"/>
  <c r="J788" i="14"/>
  <c r="J714" i="14"/>
  <c r="J633" i="14"/>
  <c r="J520" i="14"/>
  <c r="BK388" i="14"/>
  <c r="BK248" i="14"/>
  <c r="BK680" i="15"/>
  <c r="J607" i="15"/>
  <c r="BK417" i="15"/>
  <c r="BK305" i="15"/>
  <c r="J244" i="15"/>
  <c r="BK119" i="15"/>
  <c r="BK549" i="15"/>
  <c r="J433" i="15"/>
  <c r="J221" i="15"/>
  <c r="J119" i="15"/>
  <c r="BK527" i="15"/>
  <c r="J400" i="15"/>
  <c r="BK244" i="15"/>
  <c r="BK159" i="15"/>
  <c r="BK567" i="15"/>
  <c r="J459" i="15"/>
  <c r="J342" i="15"/>
  <c r="BK299" i="15"/>
  <c r="J203" i="15"/>
  <c r="J148" i="16"/>
  <c r="J121" i="16"/>
  <c r="J100" i="16"/>
  <c r="J85" i="17"/>
  <c r="BK396" i="19"/>
  <c r="J301" i="19"/>
  <c r="BK231" i="19"/>
  <c r="BK165" i="19"/>
  <c r="J109" i="19"/>
  <c r="J328" i="19"/>
  <c r="BK277" i="19"/>
  <c r="J201" i="19"/>
  <c r="J413" i="19"/>
  <c r="BK301" i="19"/>
  <c r="BK219" i="19"/>
  <c r="J185" i="19"/>
  <c r="BK138" i="19"/>
  <c r="J432" i="19"/>
  <c r="BK369" i="19"/>
  <c r="J285" i="19"/>
  <c r="J154" i="19"/>
  <c r="BK85" i="20"/>
  <c r="BK111" i="2"/>
  <c r="BK125" i="3"/>
  <c r="BK240" i="3"/>
  <c r="BK193" i="3"/>
  <c r="J117" i="3"/>
  <c r="BK89" i="3"/>
  <c r="BK183" i="3"/>
  <c r="J121" i="3"/>
  <c r="BK254" i="3"/>
  <c r="J227" i="3"/>
  <c r="J113" i="3"/>
  <c r="BK271" i="4"/>
  <c r="BK198" i="4"/>
  <c r="BK222" i="4"/>
  <c r="J163" i="4"/>
  <c r="J286" i="4"/>
  <c r="J145" i="4"/>
  <c r="J222" i="4"/>
  <c r="J194" i="5"/>
  <c r="BK112" i="5"/>
  <c r="BK179" i="5"/>
  <c r="BK145" i="5"/>
  <c r="BK487" i="6"/>
  <c r="J375" i="6"/>
  <c r="J202" i="6"/>
  <c r="BK336" i="6"/>
  <c r="J143" i="6"/>
  <c r="BK95" i="6"/>
  <c r="J487" i="6"/>
  <c r="J475" i="6"/>
  <c r="BK429" i="6"/>
  <c r="J406" i="6"/>
  <c r="J381" i="6"/>
  <c r="BK341" i="6"/>
  <c r="BK323" i="6"/>
  <c r="J285" i="6"/>
  <c r="BK244" i="6"/>
  <c r="J210" i="6"/>
  <c r="BK185" i="6"/>
  <c r="BK156" i="6"/>
  <c r="J541" i="6"/>
  <c r="J429" i="6"/>
  <c r="BK267" i="6"/>
  <c r="BK198" i="6"/>
  <c r="J118" i="6"/>
  <c r="J94" i="7"/>
  <c r="BK134" i="7"/>
  <c r="J125" i="7"/>
  <c r="BK116" i="7"/>
  <c r="J172" i="8"/>
  <c r="J195" i="8"/>
  <c r="BK132" i="8"/>
  <c r="BK95" i="8"/>
  <c r="BK161" i="8"/>
  <c r="BK214" i="9"/>
  <c r="BK110" i="9"/>
  <c r="J188" i="9"/>
  <c r="BK223" i="9"/>
  <c r="BK135" i="9"/>
  <c r="J209" i="9"/>
  <c r="BK115" i="9"/>
  <c r="BK139" i="10"/>
  <c r="J151" i="10"/>
  <c r="J114" i="10"/>
  <c r="J236" i="11"/>
  <c r="J156" i="11"/>
  <c r="BK236" i="11"/>
  <c r="J131" i="11"/>
  <c r="BK222" i="11"/>
  <c r="J222" i="11"/>
  <c r="BK96" i="11"/>
  <c r="J325" i="12"/>
  <c r="BK220" i="12"/>
  <c r="J135" i="12"/>
  <c r="BK316" i="12"/>
  <c r="J193" i="12"/>
  <c r="BK278" i="12"/>
  <c r="J252" i="12"/>
  <c r="J146" i="12"/>
  <c r="BK235" i="13"/>
  <c r="J245" i="13"/>
  <c r="BK191" i="13"/>
  <c r="J128" i="13"/>
  <c r="BK793" i="14"/>
  <c r="BK677" i="14"/>
  <c r="J595" i="14"/>
  <c r="J488" i="14"/>
  <c r="BK331" i="14"/>
  <c r="J248" i="14"/>
  <c r="J119" i="14"/>
  <c r="J717" i="14"/>
  <c r="BK585" i="14"/>
  <c r="BK513" i="14"/>
  <c r="J312" i="14"/>
  <c r="J174" i="14"/>
  <c r="BK777" i="14"/>
  <c r="BK570" i="14"/>
  <c r="J461" i="14"/>
  <c r="BK340" i="14"/>
  <c r="BK144" i="14"/>
  <c r="BK832" i="14"/>
  <c r="J751" i="14"/>
  <c r="BK689" i="14"/>
  <c r="J570" i="14"/>
  <c r="BK461" i="14"/>
  <c r="BK400" i="14"/>
  <c r="J265" i="14"/>
  <c r="BK138" i="14"/>
  <c r="J667" i="15"/>
  <c r="BK442" i="15"/>
  <c r="BK278" i="15"/>
  <c r="BK174" i="15"/>
  <c r="BK631" i="15"/>
  <c r="J515" i="15"/>
  <c r="BK459" i="15"/>
  <c r="J273" i="15"/>
  <c r="BK199" i="15"/>
  <c r="BK564" i="15"/>
  <c r="BK446" i="15"/>
  <c r="J276" i="15"/>
  <c r="J225" i="15"/>
  <c r="BK610" i="15"/>
  <c r="BK523" i="15"/>
  <c r="BK400" i="15"/>
  <c r="J305" i="15"/>
  <c r="J229" i="15"/>
  <c r="BK149" i="15"/>
  <c r="J111" i="16"/>
  <c r="J132" i="16"/>
  <c r="BK144" i="16"/>
  <c r="J87" i="17"/>
  <c r="BK87" i="18"/>
  <c r="J332" i="19"/>
  <c r="J262" i="19"/>
  <c r="BK177" i="19"/>
  <c r="BK100" i="19"/>
  <c r="BK297" i="19"/>
  <c r="BK243" i="19"/>
  <c r="J141" i="19"/>
  <c r="BK388" i="19"/>
  <c r="J293" i="19"/>
  <c r="J211" i="19"/>
  <c r="BK118" i="19"/>
  <c r="BK392" i="19"/>
  <c r="J245" i="19"/>
  <c r="J151" i="19"/>
  <c r="J85" i="20"/>
  <c r="J159" i="2"/>
  <c r="BK159" i="2"/>
  <c r="BK129" i="2"/>
  <c r="BK143" i="2"/>
  <c r="J424" i="6"/>
  <c r="J226" i="6"/>
  <c r="BK244" i="7"/>
  <c r="BK180" i="7"/>
  <c r="J239" i="7"/>
  <c r="J105" i="7"/>
  <c r="J144" i="7"/>
  <c r="J154" i="7"/>
  <c r="J208" i="8"/>
  <c r="J147" i="8"/>
  <c r="BK151" i="8"/>
  <c r="J143" i="8"/>
  <c r="BK176" i="8"/>
  <c r="J89" i="8"/>
  <c r="BK154" i="9"/>
  <c r="BK192" i="9"/>
  <c r="J97" i="9"/>
  <c r="BK125" i="9"/>
  <c r="BK183" i="10"/>
  <c r="BK95" i="10"/>
  <c r="J143" i="10"/>
  <c r="BK188" i="10"/>
  <c r="J277" i="11"/>
  <c r="BK163" i="11"/>
  <c r="J240" i="11"/>
  <c r="BK137" i="11"/>
  <c r="J246" i="11"/>
  <c r="J90" i="11"/>
  <c r="BK90" i="11"/>
  <c r="BK297" i="12"/>
  <c r="J213" i="12"/>
  <c r="J372" i="12"/>
  <c r="BK307" i="12"/>
  <c r="J118" i="12"/>
  <c r="BK270" i="12"/>
  <c r="J112" i="12"/>
  <c r="J301" i="12"/>
  <c r="J289" i="12"/>
  <c r="J270" i="12"/>
  <c r="J256" i="12"/>
  <c r="J225" i="12"/>
  <c r="BK213" i="12"/>
  <c r="BK155" i="12"/>
  <c r="BK112" i="12"/>
  <c r="BK100" i="12"/>
  <c r="J297" i="13"/>
  <c r="BK277" i="13"/>
  <c r="BK253" i="13"/>
  <c r="BK241" i="13"/>
  <c r="BK212" i="13"/>
  <c r="BK174" i="13"/>
  <c r="BK166" i="13"/>
  <c r="BK128" i="13"/>
  <c r="BK314" i="13"/>
  <c r="BK225" i="13"/>
  <c r="BK297" i="13"/>
  <c r="J198" i="13"/>
  <c r="J241" i="13"/>
  <c r="BK97" i="13"/>
  <c r="J742" i="14"/>
  <c r="BK633" i="14"/>
  <c r="J534" i="14"/>
  <c r="J360" i="14"/>
  <c r="BK273" i="14"/>
  <c r="BK156" i="14"/>
  <c r="BK821" i="14"/>
  <c r="J656" i="14"/>
  <c r="J498" i="14"/>
  <c r="J351" i="14"/>
  <c r="J235" i="14"/>
  <c r="BK133" i="14"/>
  <c r="BK751" i="14"/>
  <c r="BK656" i="14"/>
  <c r="J554" i="14"/>
  <c r="J482" i="14"/>
  <c r="BK345" i="14"/>
  <c r="J863" i="14"/>
  <c r="J838" i="14"/>
  <c r="J723" i="14"/>
  <c r="BK639" i="14"/>
  <c r="J450" i="14"/>
  <c r="BK360" i="14"/>
  <c r="BK235" i="14"/>
  <c r="BK119" i="14"/>
  <c r="BK651" i="15"/>
  <c r="BK438" i="15"/>
  <c r="J328" i="15"/>
  <c r="BK268" i="15"/>
  <c r="J193" i="15"/>
  <c r="J610" i="15"/>
  <c r="BK491" i="15"/>
  <c r="BK428" i="15"/>
  <c r="J268" i="15"/>
  <c r="J174" i="15"/>
  <c r="J631" i="15"/>
  <c r="J442" i="15"/>
  <c r="J260" i="15"/>
  <c r="BK114" i="15"/>
  <c r="J582" i="15"/>
  <c r="J475" i="15"/>
  <c r="J376" i="15"/>
  <c r="J266" i="15"/>
  <c r="BK221" i="15"/>
  <c r="J159" i="15"/>
  <c r="J140" i="16"/>
  <c r="BK152" i="16"/>
  <c r="J107" i="16"/>
  <c r="J96" i="17"/>
  <c r="BK92" i="18"/>
  <c r="J315" i="19"/>
  <c r="BK274" i="19"/>
  <c r="J189" i="19"/>
  <c r="BK114" i="19"/>
  <c r="BK366" i="19"/>
  <c r="BK293" i="19"/>
  <c r="J206" i="19"/>
  <c r="J128" i="19"/>
  <c r="BK400" i="19"/>
  <c r="J319" i="19"/>
  <c r="J215" i="19"/>
  <c r="J129" i="2"/>
  <c r="J155" i="2"/>
  <c r="J107" i="2"/>
  <c r="J149" i="2"/>
  <c r="J102" i="2"/>
  <c r="BK117" i="3"/>
  <c r="BK235" i="3"/>
  <c r="BK150" i="3"/>
  <c r="BK264" i="3"/>
  <c r="J218" i="3"/>
  <c r="J289" i="4"/>
  <c r="BK145" i="4"/>
  <c r="J208" i="4"/>
  <c r="J101" i="4"/>
  <c r="J227" i="4"/>
  <c r="J138" i="4"/>
  <c r="BK259" i="4"/>
  <c r="BK210" i="5"/>
  <c r="J138" i="5"/>
  <c r="J191" i="5"/>
  <c r="J171" i="5"/>
  <c r="J458" i="6"/>
  <c r="BK369" i="6"/>
  <c r="BK279" i="6"/>
  <c r="BK532" i="6"/>
  <c r="BK375" i="6"/>
  <c r="J255" i="6"/>
  <c r="J478" i="6"/>
  <c r="J323" i="6"/>
  <c r="J249" i="6"/>
  <c r="BK210" i="6"/>
  <c r="J244" i="7"/>
  <c r="J171" i="7"/>
  <c r="J227" i="7"/>
  <c r="J210" i="7"/>
  <c r="BK203" i="7"/>
  <c r="BK120" i="7"/>
  <c r="BK199" i="8"/>
  <c r="BK112" i="8"/>
  <c r="BK143" i="8"/>
  <c r="BK236" i="8"/>
  <c r="J112" i="8"/>
  <c r="BK102" i="9"/>
  <c r="J183" i="9"/>
  <c r="J196" i="9"/>
  <c r="J92" i="9"/>
  <c r="J130" i="9"/>
  <c r="BK103" i="10"/>
  <c r="J135" i="10"/>
  <c r="BK107" i="10"/>
  <c r="J297" i="11"/>
  <c r="BK216" i="11"/>
  <c r="BK131" i="11"/>
  <c r="BK249" i="11"/>
  <c r="BK141" i="11"/>
  <c r="BK272" i="11"/>
  <c r="BK200" i="11"/>
  <c r="J255" i="11"/>
  <c r="J363" i="12"/>
  <c r="J316" i="12"/>
  <c r="BK94" i="12"/>
  <c r="J293" i="12"/>
  <c r="BK104" i="12"/>
  <c r="J264" i="12"/>
  <c r="BK186" i="12"/>
  <c r="J319" i="13"/>
  <c r="J202" i="13"/>
  <c r="BK230" i="13"/>
  <c r="BK105" i="13"/>
  <c r="BK202" i="13"/>
  <c r="J94" i="13"/>
  <c r="BK748" i="14"/>
  <c r="J615" i="14"/>
  <c r="BK482" i="14"/>
  <c r="J370" i="14"/>
  <c r="BK214" i="14"/>
  <c r="BK102" i="14"/>
  <c r="BK698" i="14"/>
  <c r="J529" i="14"/>
  <c r="BK466" i="14"/>
  <c r="BK370" i="14"/>
  <c r="J283" i="14"/>
  <c r="J168" i="14"/>
  <c r="BK723" i="14"/>
  <c r="J563" i="14"/>
  <c r="J478" i="14"/>
  <c r="BK444" i="14"/>
  <c r="J331" i="14"/>
  <c r="J102" i="14"/>
  <c r="BK842" i="14"/>
  <c r="J748" i="14"/>
  <c r="BK680" i="14"/>
  <c r="J558" i="14"/>
  <c r="J466" i="14"/>
  <c r="J294" i="14"/>
  <c r="J226" i="14"/>
  <c r="BK671" i="15"/>
  <c r="J491" i="15"/>
  <c r="BK363" i="15"/>
  <c r="BK284" i="15"/>
  <c r="BK240" i="15"/>
  <c r="BK105" i="15"/>
  <c r="J560" i="15"/>
  <c r="J450" i="15"/>
  <c r="BK282" i="15"/>
  <c r="J184" i="15"/>
  <c r="J114" i="15"/>
  <c r="J519" i="15"/>
  <c r="J417" i="15"/>
  <c r="BK264" i="15"/>
  <c r="J165" i="15"/>
  <c r="BK576" i="15"/>
  <c r="J467" i="15"/>
  <c r="J407" i="15"/>
  <c r="BK288" i="15"/>
  <c r="BK157" i="15"/>
  <c r="BK132" i="16"/>
  <c r="J144" i="16"/>
  <c r="J91" i="16"/>
  <c r="BK93" i="17"/>
  <c r="J87" i="18"/>
  <c r="BK421" i="19"/>
  <c r="J289" i="19"/>
  <c r="J219" i="19"/>
  <c r="BK132" i="19"/>
  <c r="J372" i="19"/>
  <c r="J311" i="19"/>
  <c r="BK245" i="19"/>
  <c r="BK109" i="19"/>
  <c r="J375" i="19"/>
  <c r="J274" i="19"/>
  <c r="J197" i="19"/>
  <c r="BK151" i="19"/>
  <c r="BK441" i="19"/>
  <c r="J382" i="19"/>
  <c r="J308" i="19"/>
  <c r="BK235" i="19"/>
  <c r="J95" i="21"/>
  <c r="BK95" i="21"/>
  <c r="BK101" i="21"/>
  <c r="J88" i="21"/>
  <c r="BK128" i="19"/>
  <c r="J350" i="19"/>
  <c r="J243" i="19"/>
  <c r="J92" i="20"/>
  <c r="J143" i="2"/>
  <c r="BK126" i="2"/>
  <c r="J120" i="2"/>
  <c r="BK135" i="3"/>
  <c r="J96" i="3"/>
  <c r="BK244" i="3"/>
  <c r="J212" i="3"/>
  <c r="J135" i="3"/>
  <c r="BK96" i="3"/>
  <c r="J193" i="3"/>
  <c r="BK109" i="3"/>
  <c r="J183" i="3"/>
  <c r="J259" i="4"/>
  <c r="J113" i="4"/>
  <c r="J198" i="4"/>
  <c r="J275" i="4"/>
  <c r="BK158" i="4"/>
  <c r="BK286" i="4"/>
  <c r="J67" i="5"/>
  <c r="BK176" i="5"/>
  <c r="BK185" i="5"/>
  <c r="BK141" i="5"/>
  <c r="BK508" i="6"/>
  <c r="J390" i="6"/>
  <c r="J349" i="6"/>
  <c r="BK163" i="6"/>
  <c r="BK458" i="6"/>
  <c r="J290" i="6"/>
  <c r="BK537" i="6"/>
  <c r="BK419" i="6"/>
  <c r="J313" i="6"/>
  <c r="BK202" i="6"/>
  <c r="BK106" i="6"/>
  <c r="BK160" i="7"/>
  <c r="J203" i="7"/>
  <c r="BK190" i="7"/>
  <c r="J234" i="7"/>
  <c r="BK125" i="7"/>
  <c r="BK195" i="8"/>
  <c r="J180" i="8"/>
  <c r="J186" i="8"/>
  <c r="BK186" i="8"/>
  <c r="BK124" i="8"/>
  <c r="BK188" i="9"/>
  <c r="BK92" i="9"/>
  <c r="BK158" i="9"/>
  <c r="BK140" i="9"/>
  <c r="BK183" i="9"/>
  <c r="J157" i="10"/>
  <c r="BK88" i="10"/>
  <c r="BK121" i="10"/>
  <c r="J396" i="19"/>
  <c r="BK372" i="19"/>
  <c r="BK305" i="19"/>
  <c r="BK173" i="19"/>
  <c r="BK87" i="20"/>
  <c r="BK140" i="2"/>
  <c r="BK134" i="2"/>
  <c r="J202" i="3"/>
  <c r="BK121" i="3"/>
  <c r="J254" i="3"/>
  <c r="J231" i="3"/>
  <c r="BK189" i="3"/>
  <c r="BK105" i="3"/>
  <c r="BK218" i="3"/>
  <c r="J174" i="3"/>
  <c r="J244" i="3"/>
  <c r="J105" i="3"/>
  <c r="J174" i="4"/>
  <c r="BK250" i="4"/>
  <c r="J167" i="4"/>
  <c r="BK191" i="4"/>
  <c r="BK92" i="4"/>
  <c r="J195" i="4"/>
  <c r="BK162" i="5"/>
  <c r="BK96" i="5"/>
  <c r="BK166" i="5"/>
  <c r="BK106" i="5"/>
  <c r="J445" i="6"/>
  <c r="BK306" i="6"/>
  <c r="BK101" i="6"/>
  <c r="BK349" i="6"/>
  <c r="J198" i="6"/>
  <c r="J482" i="6"/>
  <c r="BK386" i="6"/>
  <c r="J261" i="6"/>
  <c r="J185" i="6"/>
  <c r="BK200" i="7"/>
  <c r="J109" i="7"/>
  <c r="J128" i="7"/>
  <c r="J138" i="7"/>
  <c r="BK171" i="7"/>
  <c r="J217" i="8"/>
  <c r="J155" i="8"/>
  <c r="J95" i="8"/>
  <c r="BK212" i="8"/>
  <c r="J232" i="9"/>
  <c r="BK163" i="9"/>
  <c r="BK204" i="9"/>
  <c r="J102" i="9"/>
  <c r="J110" i="9"/>
  <c r="J135" i="9"/>
  <c r="J121" i="10"/>
  <c r="BK155" i="10"/>
  <c r="BK165" i="10"/>
  <c r="J128" i="10"/>
  <c r="J429" i="19"/>
  <c r="BK378" i="19"/>
  <c r="J268" i="19"/>
  <c r="J138" i="19"/>
  <c r="BK89" i="20"/>
  <c r="BK162" i="2"/>
  <c r="AS54" i="1"/>
  <c r="J125" i="3"/>
  <c r="J221" i="3"/>
  <c r="BK275" i="4"/>
  <c r="J127" i="4"/>
  <c r="J217" i="4"/>
  <c r="BK138" i="4"/>
  <c r="J250" i="4"/>
  <c r="J133" i="4"/>
  <c r="J233" i="4"/>
  <c r="BK167" i="4"/>
  <c r="J127" i="5"/>
  <c r="J106" i="5"/>
  <c r="J523" i="6"/>
  <c r="J419" i="6"/>
  <c r="J357" i="6"/>
  <c r="BK226" i="6"/>
  <c r="J396" i="6"/>
  <c r="J319" i="6"/>
  <c r="J150" i="6"/>
  <c r="BK438" i="6"/>
  <c r="J345" i="6"/>
  <c r="BK219" i="6"/>
  <c r="J230" i="7"/>
  <c r="J120" i="7"/>
  <c r="BK230" i="7"/>
  <c r="J214" i="7"/>
  <c r="BK196" i="7"/>
  <c r="BK105" i="7"/>
  <c r="BK99" i="8"/>
  <c r="J139" i="8"/>
  <c r="BK116" i="8"/>
  <c r="BK155" i="8"/>
  <c r="J99" i="8"/>
  <c r="J115" i="9"/>
  <c r="J167" i="9"/>
  <c r="BK200" i="9"/>
  <c r="BK217" i="9"/>
  <c r="BK178" i="10"/>
  <c r="J165" i="10"/>
  <c r="J103" i="10"/>
  <c r="J183" i="10"/>
  <c r="BK135" i="10"/>
  <c r="J282" i="11"/>
  <c r="BK208" i="11"/>
  <c r="J144" i="11"/>
  <c r="BK268" i="11"/>
  <c r="BK174" i="11"/>
  <c r="BK119" i="11"/>
  <c r="J188" i="11"/>
  <c r="BK228" i="11"/>
  <c r="J109" i="11"/>
  <c r="BK342" i="12"/>
  <c r="J258" i="12"/>
  <c r="BK139" i="12"/>
  <c r="BK252" i="12"/>
  <c r="J100" i="12"/>
  <c r="BK258" i="12"/>
  <c r="BK193" i="12"/>
  <c r="BK101" i="13"/>
  <c r="J221" i="13"/>
  <c r="BK163" i="13"/>
  <c r="BK221" i="13"/>
  <c r="BK91" i="13"/>
  <c r="BK182" i="13"/>
  <c r="BK804" i="14"/>
  <c r="J680" i="14"/>
  <c r="J599" i="14"/>
  <c r="BK516" i="14"/>
  <c r="BK354" i="14"/>
  <c r="BK278" i="14"/>
  <c r="J179" i="14"/>
  <c r="J832" i="14"/>
  <c r="J539" i="14"/>
  <c r="J396" i="14"/>
  <c r="J340" i="14"/>
  <c r="J269" i="14"/>
  <c r="BK163" i="14"/>
  <c r="J759" i="14"/>
  <c r="BK642" i="14"/>
  <c r="BK511" i="14"/>
  <c r="J436" i="14"/>
  <c r="BK375" i="14"/>
  <c r="BK199" i="14"/>
  <c r="J858" i="14"/>
  <c r="J773" i="14"/>
  <c r="BK694" i="14"/>
  <c r="J577" i="14"/>
  <c r="J430" i="14"/>
  <c r="BK351" i="14"/>
  <c r="J214" i="14"/>
  <c r="BK123" i="14"/>
  <c r="BK664" i="15"/>
  <c r="J486" i="15"/>
  <c r="J359" i="15"/>
  <c r="BK260" i="15"/>
  <c r="J188" i="15"/>
  <c r="J585" i="15"/>
  <c r="BK475" i="15"/>
  <c r="BK376" i="15"/>
  <c r="BK252" i="15"/>
  <c r="J181" i="15"/>
  <c r="J571" i="15"/>
  <c r="BK456" i="15"/>
  <c r="BK266" i="15"/>
  <c r="J623" i="15"/>
  <c r="J527" i="15"/>
  <c r="J424" i="15"/>
  <c r="BK314" i="15"/>
  <c r="J271" i="15"/>
  <c r="BK165" i="15"/>
  <c r="BK125" i="16"/>
  <c r="J155" i="16"/>
  <c r="BK100" i="16"/>
  <c r="BK87" i="17"/>
  <c r="BK89" i="18"/>
  <c r="J378" i="19"/>
  <c r="J277" i="19"/>
  <c r="BK215" i="19"/>
  <c r="BK145" i="19"/>
  <c r="BK413" i="19"/>
  <c r="BK342" i="19"/>
  <c r="BK250" i="19"/>
  <c r="BK160" i="19"/>
  <c r="J386" i="19"/>
  <c r="BK268" i="19"/>
  <c r="BK206" i="19"/>
  <c r="J165" i="19"/>
  <c r="J114" i="19"/>
  <c r="J405" i="19"/>
  <c r="J336" i="19"/>
  <c r="BK259" i="19"/>
  <c r="J228" i="19"/>
  <c r="J89" i="20"/>
  <c r="BK172" i="2"/>
  <c r="BK197" i="3"/>
  <c r="BK174" i="3"/>
  <c r="BK100" i="3"/>
  <c r="J259" i="3"/>
  <c r="BK221" i="3"/>
  <c r="BK165" i="3"/>
  <c r="J100" i="3"/>
  <c r="J197" i="3"/>
  <c r="BK130" i="3"/>
  <c r="J89" i="3"/>
  <c r="J240" i="3"/>
  <c r="BK208" i="3"/>
  <c r="BK293" i="4"/>
  <c r="BK217" i="4"/>
  <c r="BK101" i="4"/>
  <c r="BK195" i="4"/>
  <c r="BK113" i="4"/>
  <c r="BK242" i="4"/>
  <c r="J123" i="4"/>
  <c r="BK280" i="4"/>
  <c r="BK133" i="4"/>
  <c r="J166" i="5"/>
  <c r="J179" i="5"/>
  <c r="BK194" i="5"/>
  <c r="J149" i="5"/>
  <c r="J537" i="6"/>
  <c r="BK345" i="6"/>
  <c r="J156" i="6"/>
  <c r="J511" i="6"/>
  <c r="J410" i="6"/>
  <c r="BK255" i="6"/>
  <c r="J122" i="6"/>
  <c r="J101" i="6"/>
  <c r="BK494" i="6"/>
  <c r="BK478" i="6"/>
  <c r="BK424" i="6"/>
  <c r="BK390" i="6"/>
  <c r="BK357" i="6"/>
  <c r="J336" i="6"/>
  <c r="BK319" i="6"/>
  <c r="BK295" i="6"/>
  <c r="BK249" i="6"/>
  <c r="J219" i="6"/>
  <c r="BK180" i="6"/>
  <c r="BK150" i="6"/>
  <c r="J532" i="6"/>
  <c r="BK327" i="6"/>
  <c r="J214" i="6"/>
  <c r="BK227" i="7"/>
  <c r="BK167" i="7"/>
  <c r="BK185" i="7"/>
  <c r="BK234" i="7"/>
  <c r="J190" i="7"/>
  <c r="BK138" i="7"/>
  <c r="J203" i="8"/>
  <c r="BK119" i="8"/>
  <c r="BK208" i="8"/>
  <c r="J199" i="8"/>
  <c r="J132" i="8"/>
  <c r="J172" i="9"/>
  <c r="J214" i="9"/>
  <c r="J106" i="9"/>
  <c r="BK167" i="9"/>
  <c r="BK106" i="9"/>
  <c r="J154" i="9"/>
  <c r="BK163" i="10"/>
  <c r="BK172" i="10"/>
  <c r="BK114" i="10"/>
  <c r="J99" i="10"/>
  <c r="J263" i="11"/>
  <c r="J212" i="11"/>
  <c r="J272" i="11"/>
  <c r="BK204" i="11"/>
  <c r="J249" i="11"/>
  <c r="J259" i="11"/>
  <c r="BK372" i="12"/>
  <c r="BK283" i="12"/>
  <c r="J197" i="12"/>
  <c r="BK349" i="12"/>
  <c r="J278" i="12"/>
  <c r="BK108" i="12"/>
  <c r="J210" i="12"/>
  <c r="BK94" i="13"/>
  <c r="J216" i="13"/>
  <c r="J133" i="13"/>
  <c r="BK216" i="13"/>
  <c r="J277" i="13"/>
  <c r="J166" i="13"/>
  <c r="BK740" i="14"/>
  <c r="BK652" i="14"/>
  <c r="BK554" i="14"/>
  <c r="BK430" i="14"/>
  <c r="J306" i="14"/>
  <c r="J192" i="14"/>
  <c r="BK838" i="14"/>
  <c r="BK672" i="14"/>
  <c r="BK534" i="14"/>
  <c r="J400" i="14"/>
  <c r="J273" i="14"/>
  <c r="BK149" i="14"/>
  <c r="BK742" i="14"/>
  <c r="BK646" i="14"/>
  <c r="BK508" i="14"/>
  <c r="BK422" i="14"/>
  <c r="BK269" i="14"/>
  <c r="BK107" i="14"/>
  <c r="J846" i="14"/>
  <c r="J777" i="14"/>
  <c r="J708" i="14"/>
  <c r="BK599" i="14"/>
  <c r="J525" i="14"/>
  <c r="BK418" i="14"/>
  <c r="BK286" i="14"/>
  <c r="J211" i="14"/>
  <c r="BK677" i="15"/>
  <c r="J634" i="15"/>
  <c r="BK413" i="15"/>
  <c r="J346" i="15"/>
  <c r="BK258" i="15"/>
  <c r="J149" i="15"/>
  <c r="J588" i="15"/>
  <c r="J482" i="15"/>
  <c r="J413" i="15"/>
  <c r="J240" i="15"/>
  <c r="BK168" i="15"/>
  <c r="J102" i="15"/>
  <c r="J495" i="15"/>
  <c r="J350" i="15"/>
  <c r="BK246" i="15"/>
  <c r="J651" i="15"/>
  <c r="J549" i="15"/>
  <c r="J456" i="15"/>
  <c r="BK355" i="15"/>
  <c r="J284" i="15"/>
  <c r="J208" i="15"/>
  <c r="J152" i="16"/>
  <c r="BK148" i="16"/>
  <c r="J117" i="16"/>
  <c r="BK85" i="17"/>
  <c r="BK85" i="18"/>
  <c r="J417" i="19"/>
  <c r="BK308" i="19"/>
  <c r="J235" i="19"/>
  <c r="BK149" i="19"/>
  <c r="BK417" i="19"/>
  <c r="BK350" i="19"/>
  <c r="BK281" i="19"/>
  <c r="BK222" i="19"/>
  <c r="J100" i="19"/>
  <c r="BK360" i="19"/>
  <c r="J265" i="19"/>
  <c r="BK181" i="19"/>
  <c r="BK436" i="19"/>
  <c r="BK354" i="19"/>
  <c r="J231" i="19"/>
  <c r="J118" i="19"/>
  <c r="J162" i="2"/>
  <c r="BK120" i="2"/>
  <c r="J146" i="2"/>
  <c r="BK102" i="2"/>
  <c r="BK137" i="2"/>
  <c r="BK231" i="3"/>
  <c r="J150" i="3"/>
  <c r="J242" i="4"/>
  <c r="J151" i="4"/>
  <c r="J92" i="4"/>
  <c r="J204" i="4"/>
  <c r="J158" i="4"/>
  <c r="J271" i="4"/>
  <c r="J178" i="4"/>
  <c r="J293" i="4"/>
  <c r="BK213" i="4"/>
  <c r="BK213" i="5"/>
  <c r="J185" i="5"/>
  <c r="BK149" i="5"/>
  <c r="BK127" i="5"/>
  <c r="BK191" i="5"/>
  <c r="BK138" i="5"/>
  <c r="BK91" i="5"/>
  <c r="BK511" i="6"/>
  <c r="J438" i="6"/>
  <c r="BK363" i="6"/>
  <c r="BK273" i="6"/>
  <c r="BK122" i="6"/>
  <c r="J499" i="6"/>
  <c r="J369" i="6"/>
  <c r="BK261" i="6"/>
  <c r="J190" i="6"/>
  <c r="BK499" i="6"/>
  <c r="BK402" i="6"/>
  <c r="J273" i="6"/>
  <c r="J194" i="6"/>
  <c r="BK219" i="7"/>
  <c r="J116" i="7"/>
  <c r="J180" i="7"/>
  <c r="J207" i="7"/>
  <c r="J176" i="7"/>
  <c r="BK128" i="7"/>
  <c r="J176" i="8"/>
  <c r="BK217" i="8"/>
  <c r="BK189" i="8"/>
  <c r="BK203" i="8"/>
  <c r="J116" i="8"/>
  <c r="J177" i="9"/>
  <c r="BK97" i="9"/>
  <c r="BK172" i="9"/>
  <c r="J158" i="9"/>
  <c r="BK220" i="9"/>
  <c r="J144" i="9"/>
  <c r="BK128" i="10"/>
  <c r="BK157" i="10"/>
  <c r="J139" i="10"/>
  <c r="BK292" i="11"/>
  <c r="J204" i="11"/>
  <c r="BK288" i="11"/>
  <c r="J149" i="11"/>
  <c r="BK263" i="11"/>
  <c r="BK109" i="11"/>
  <c r="J141" i="11"/>
  <c r="J367" i="12"/>
  <c r="J262" i="12"/>
  <c r="BK167" i="12"/>
  <c r="BK345" i="12"/>
  <c r="BK264" i="12"/>
  <c r="BK325" i="12"/>
  <c r="BK256" i="12"/>
  <c r="J104" i="12"/>
  <c r="J297" i="12"/>
  <c r="BK280" i="12"/>
  <c r="BK268" i="12"/>
  <c r="BK238" i="12"/>
  <c r="BK217" i="12"/>
  <c r="BK201" i="12"/>
  <c r="BK135" i="12"/>
  <c r="J108" i="12"/>
  <c r="BK310" i="13"/>
  <c r="BK279" i="13"/>
  <c r="BK258" i="13"/>
  <c r="J235" i="13"/>
  <c r="BK198" i="13"/>
  <c r="J170" i="13"/>
  <c r="BK155" i="13"/>
  <c r="J97" i="13"/>
  <c r="BK262" i="13"/>
  <c r="BK148" i="13"/>
  <c r="BK170" i="13"/>
  <c r="J301" i="13"/>
  <c r="J148" i="13"/>
  <c r="J817" i="14"/>
  <c r="J689" i="14"/>
  <c r="J607" i="14"/>
  <c r="BK478" i="14"/>
  <c r="J319" i="14"/>
  <c r="BK211" i="14"/>
  <c r="J107" i="14"/>
  <c r="J677" i="14"/>
  <c r="BK520" i="14"/>
  <c r="BK383" i="14"/>
  <c r="BK288" i="14"/>
  <c r="J171" i="14"/>
  <c r="J784" i="14"/>
  <c r="BK595" i="14"/>
  <c r="J502" i="14"/>
  <c r="J418" i="14"/>
  <c r="J288" i="14"/>
  <c r="J184" i="14"/>
  <c r="J854" i="14"/>
  <c r="J793" i="14"/>
  <c r="BK703" i="14"/>
  <c r="BK607" i="14"/>
  <c r="BK494" i="14"/>
  <c r="BK290" i="14"/>
  <c r="J205" i="14"/>
  <c r="J671" i="15"/>
  <c r="BK499" i="15"/>
  <c r="J299" i="15"/>
  <c r="J250" i="15"/>
  <c r="BK667" i="15"/>
  <c r="BK634" i="15"/>
  <c r="J536" i="15"/>
  <c r="BK350" i="15"/>
  <c r="BK234" i="15"/>
  <c r="J157" i="15"/>
  <c r="J556" i="15"/>
  <c r="BK421" i="15"/>
  <c r="J278" i="15"/>
  <c r="BK184" i="15"/>
  <c r="BK556" i="15"/>
  <c r="BK450" i="15"/>
  <c r="BK328" i="15"/>
  <c r="BK142" i="15"/>
  <c r="BK117" i="16"/>
  <c r="BK140" i="16"/>
  <c r="BK121" i="16"/>
  <c r="BK96" i="17"/>
  <c r="J92" i="18"/>
  <c r="BK357" i="19"/>
  <c r="J256" i="19"/>
  <c r="J173" i="19"/>
  <c r="BK429" i="19"/>
  <c r="BK346" i="19"/>
  <c r="J271" i="19"/>
  <c r="BK239" i="19"/>
  <c r="BK426" i="19"/>
  <c r="J354" i="19"/>
  <c r="J239" i="19"/>
  <c r="BK149" i="2"/>
  <c r="BK107" i="2"/>
  <c r="J137" i="2"/>
  <c r="BK91" i="2"/>
  <c r="J126" i="2"/>
  <c r="J130" i="3"/>
  <c r="J249" i="3"/>
  <c r="J208" i="3"/>
  <c r="BK113" i="3"/>
  <c r="J235" i="3"/>
  <c r="J109" i="3"/>
  <c r="BK254" i="4"/>
  <c r="J187" i="4"/>
  <c r="J280" i="4"/>
  <c r="BK163" i="4"/>
  <c r="BK289" i="4"/>
  <c r="BK174" i="4"/>
  <c r="BK157" i="5"/>
  <c r="J133" i="5"/>
  <c r="J162" i="5"/>
  <c r="BK133" i="5"/>
  <c r="BK434" i="6"/>
  <c r="BK353" i="6"/>
  <c r="BK174" i="6"/>
  <c r="J508" i="6"/>
  <c r="J341" i="6"/>
  <c r="BK194" i="6"/>
  <c r="J434" i="6"/>
  <c r="BK381" i="6"/>
  <c r="BK238" i="6"/>
  <c r="J170" i="6"/>
  <c r="J134" i="7"/>
  <c r="J200" i="7"/>
  <c r="J101" i="7"/>
  <c r="BK239" i="7"/>
  <c r="BK144" i="7"/>
  <c r="J222" i="8"/>
  <c r="BK222" i="8"/>
  <c r="J212" i="8"/>
  <c r="J189" i="8"/>
  <c r="BK139" i="8"/>
  <c r="BK121" i="9"/>
  <c r="J200" i="9"/>
  <c r="BK232" i="9"/>
  <c r="J121" i="9"/>
  <c r="BK177" i="9"/>
  <c r="BK143" i="10"/>
  <c r="BK161" i="10"/>
  <c r="BK151" i="10"/>
  <c r="J178" i="10"/>
  <c r="BK259" i="11"/>
  <c r="J174" i="11"/>
  <c r="BK212" i="11"/>
  <c r="BK115" i="11"/>
  <c r="J100" i="11"/>
  <c r="J119" i="11"/>
  <c r="J359" i="12"/>
  <c r="BK260" i="12"/>
  <c r="BK178" i="12"/>
  <c r="BK367" i="12"/>
  <c r="J336" i="12"/>
  <c r="BK230" i="12"/>
  <c r="BK301" i="12"/>
  <c r="BK248" i="12"/>
  <c r="BK163" i="12"/>
  <c r="J279" i="13"/>
  <c r="BK301" i="13"/>
  <c r="J174" i="13"/>
  <c r="J258" i="13"/>
  <c r="BK133" i="13"/>
  <c r="J812" i="14"/>
  <c r="J684" i="14"/>
  <c r="J642" i="14"/>
  <c r="J545" i="14"/>
  <c r="BK326" i="14"/>
  <c r="BK251" i="14"/>
  <c r="BK128" i="14"/>
  <c r="BK809" i="14"/>
  <c r="BK628" i="14"/>
  <c r="J508" i="14"/>
  <c r="J345" i="14"/>
  <c r="BK184" i="14"/>
  <c r="J797" i="14"/>
  <c r="J740" i="14"/>
  <c r="J639" i="14"/>
  <c r="BK525" i="14"/>
  <c r="J412" i="14"/>
  <c r="J223" i="14"/>
  <c r="BK858" i="14"/>
  <c r="J809" i="14"/>
  <c r="BK717" i="14"/>
  <c r="J624" i="14"/>
  <c r="J513" i="14"/>
  <c r="BK364" i="14"/>
  <c r="J195" i="14"/>
  <c r="J687" i="15"/>
  <c r="BK579" i="15"/>
  <c r="BK407" i="15"/>
  <c r="BK271" i="15"/>
  <c r="BK208" i="15"/>
  <c r="J655" i="15"/>
  <c r="BK571" i="15"/>
  <c r="BK519" i="15"/>
  <c r="BK346" i="15"/>
  <c r="BK203" i="15"/>
  <c r="BK585" i="15"/>
  <c r="J478" i="15"/>
  <c r="BK372" i="15"/>
  <c r="BK254" i="15"/>
  <c r="BK639" i="15"/>
  <c r="BK536" i="15"/>
  <c r="J446" i="15"/>
  <c r="J310" i="15"/>
  <c r="J217" i="15"/>
  <c r="J105" i="15"/>
  <c r="BK155" i="16"/>
  <c r="J87" i="16"/>
  <c r="BK111" i="16"/>
  <c r="BK105" i="16"/>
  <c r="J89" i="17"/>
  <c r="J392" i="19"/>
  <c r="BK319" i="19"/>
  <c r="BK253" i="19"/>
  <c r="J160" i="19"/>
  <c r="J421" i="19"/>
  <c r="J360" i="19"/>
  <c r="BK289" i="19"/>
  <c r="BK211" i="19"/>
  <c r="BK96" i="19"/>
  <c r="J357" i="19"/>
  <c r="BK262" i="19"/>
  <c r="J169" i="19"/>
  <c r="J123" i="19"/>
  <c r="J441" i="19"/>
  <c r="BK375" i="19"/>
  <c r="BK332" i="19"/>
  <c r="J248" i="19"/>
  <c r="J132" i="19"/>
  <c r="J101" i="21"/>
  <c r="J85" i="21"/>
  <c r="J98" i="21"/>
  <c r="BK98" i="21"/>
  <c r="BK180" i="11"/>
  <c r="BK282" i="11"/>
  <c r="J137" i="11"/>
  <c r="BK363" i="12"/>
  <c r="J280" i="12"/>
  <c r="BK174" i="12"/>
  <c r="BK336" i="12"/>
  <c r="J311" i="12"/>
  <c r="J186" i="12"/>
  <c r="J272" i="12"/>
  <c r="J174" i="12"/>
  <c r="BK319" i="13"/>
  <c r="J267" i="13"/>
  <c r="J310" i="13"/>
  <c r="BK159" i="13"/>
  <c r="J208" i="13"/>
  <c r="J91" i="13"/>
  <c r="BK708" i="14"/>
  <c r="J628" i="14"/>
  <c r="BK551" i="14"/>
  <c r="BK403" i="14"/>
  <c r="BK294" i="14"/>
  <c r="BK112" i="14"/>
  <c r="BK714" i="14"/>
  <c r="BK615" i="14"/>
  <c r="J474" i="14"/>
  <c r="J375" i="14"/>
  <c r="BK179" i="14"/>
  <c r="BK788" i="14"/>
  <c r="J694" i="14"/>
  <c r="J551" i="14"/>
  <c r="BK474" i="14"/>
  <c r="BK302" i="14"/>
  <c r="J138" i="14"/>
  <c r="J850" i="14"/>
  <c r="J821" i="14"/>
  <c r="BK737" i="14"/>
  <c r="J664" i="14"/>
  <c r="BK502" i="14"/>
  <c r="BK412" i="14"/>
  <c r="BK283" i="14"/>
  <c r="J149" i="14"/>
  <c r="J677" i="15"/>
  <c r="BK515" i="15"/>
  <c r="J372" i="15"/>
  <c r="BK273" i="15"/>
  <c r="BK217" i="15"/>
  <c r="J664" i="15"/>
  <c r="BK623" i="15"/>
  <c r="BK495" i="15"/>
  <c r="J314" i="15"/>
  <c r="BK276" i="15"/>
  <c r="J639" i="15"/>
  <c r="J512" i="15"/>
  <c r="BK342" i="15"/>
  <c r="J234" i="15"/>
  <c r="BK588" i="15"/>
  <c r="BK482" i="15"/>
  <c r="BK396" i="15"/>
  <c r="J264" i="15"/>
  <c r="J109" i="15"/>
  <c r="J105" i="16"/>
  <c r="J137" i="16"/>
  <c r="BK160" i="16"/>
  <c r="J93" i="17"/>
  <c r="J85" i="18"/>
  <c r="BK328" i="19"/>
  <c r="J259" i="19"/>
  <c r="BK185" i="19"/>
  <c r="J426" i="19"/>
  <c r="J363" i="19"/>
  <c r="J305" i="19"/>
  <c r="BK241" i="19"/>
  <c r="BK104" i="19"/>
  <c r="J342" i="19"/>
  <c r="J250" i="19"/>
  <c r="J193" i="19"/>
  <c r="J149" i="19"/>
  <c r="J436" i="19"/>
  <c r="J388" i="19"/>
  <c r="BK323" i="19"/>
  <c r="J241" i="19"/>
  <c r="J104" i="19"/>
  <c r="J87" i="20"/>
  <c r="BK187" i="4"/>
  <c r="J298" i="4"/>
  <c r="BK178" i="4"/>
  <c r="J145" i="5"/>
  <c r="J210" i="5"/>
  <c r="J96" i="5"/>
  <c r="J112" i="5"/>
  <c r="J415" i="6"/>
  <c r="BK285" i="6"/>
  <c r="J95" i="6"/>
  <c r="J494" i="6"/>
  <c r="J295" i="6"/>
  <c r="BK129" i="6"/>
  <c r="J106" i="6"/>
  <c r="BK517" i="6"/>
  <c r="BK482" i="6"/>
  <c r="BK464" i="6"/>
  <c r="BK415" i="6"/>
  <c r="J386" i="6"/>
  <c r="J353" i="6"/>
  <c r="J332" i="6"/>
  <c r="BK313" i="6"/>
  <c r="J267" i="6"/>
  <c r="J238" i="6"/>
  <c r="BK205" i="6"/>
  <c r="J163" i="6"/>
  <c r="BK143" i="6"/>
  <c r="BK475" i="6"/>
  <c r="BK396" i="6"/>
  <c r="J244" i="6"/>
  <c r="J180" i="6"/>
  <c r="J196" i="7"/>
  <c r="BK148" i="7"/>
  <c r="BK214" i="7"/>
  <c r="J160" i="7"/>
  <c r="J167" i="7"/>
  <c r="BK228" i="8"/>
  <c r="J228" i="8"/>
  <c r="BK147" i="8"/>
  <c r="BK172" i="8"/>
  <c r="BK180" i="8"/>
  <c r="J107" i="8"/>
  <c r="J125" i="9"/>
  <c r="J163" i="9"/>
  <c r="BK99" i="10"/>
  <c r="J155" i="10"/>
  <c r="J163" i="10"/>
  <c r="J288" i="11"/>
  <c r="BK188" i="11"/>
  <c r="J96" i="11"/>
  <c r="BK156" i="11"/>
  <c r="BK277" i="11"/>
  <c r="BK149" i="11"/>
  <c r="BK125" i="11"/>
  <c r="J354" i="12"/>
  <c r="J248" i="12"/>
  <c r="J163" i="12"/>
  <c r="J345" i="12"/>
  <c r="J234" i="12"/>
  <c r="J307" i="12"/>
  <c r="J268" i="12"/>
  <c r="J178" i="12"/>
  <c r="J290" i="13"/>
  <c r="BK179" i="13"/>
  <c r="J155" i="13"/>
  <c r="J205" i="13"/>
  <c r="J828" i="14"/>
  <c r="J703" i="14"/>
  <c r="BK624" i="14"/>
  <c r="BK529" i="14"/>
  <c r="J388" i="14"/>
  <c r="J286" i="14"/>
  <c r="BK168" i="14"/>
  <c r="BK824" i="14"/>
  <c r="J652" i="14"/>
  <c r="J470" i="14"/>
  <c r="J364" i="14"/>
  <c r="BK195" i="14"/>
  <c r="BK812" i="14"/>
  <c r="J728" i="14"/>
  <c r="BK545" i="14"/>
  <c r="BK488" i="14"/>
  <c r="J392" i="14"/>
  <c r="BK205" i="14"/>
  <c r="BK854" i="14"/>
  <c r="J804" i="14"/>
  <c r="BK732" i="14"/>
  <c r="J646" i="14"/>
  <c r="J511" i="14"/>
  <c r="J354" i="14"/>
  <c r="BK232" i="14"/>
  <c r="BK687" i="15"/>
  <c r="J576" i="15"/>
  <c r="BK367" i="15"/>
  <c r="BK295" i="15"/>
  <c r="BK225" i="15"/>
  <c r="BK102" i="15"/>
  <c r="J564" i="15"/>
  <c r="J355" i="15"/>
  <c r="BK229" i="15"/>
  <c r="J153" i="15"/>
  <c r="J523" i="15"/>
  <c r="BK424" i="15"/>
  <c r="J258" i="15"/>
  <c r="J168" i="15"/>
  <c r="J579" i="15"/>
  <c r="J438" i="15"/>
  <c r="J319" i="15"/>
  <c r="BK163" i="15"/>
  <c r="BK137" i="16"/>
  <c r="BK91" i="16"/>
  <c r="J95" i="16"/>
  <c r="BK91" i="17"/>
  <c r="BK382" i="19"/>
  <c r="BK285" i="19"/>
  <c r="BK197" i="19"/>
  <c r="BK123" i="19"/>
  <c r="J369" i="19"/>
  <c r="BK336" i="19"/>
  <c r="J253" i="19"/>
  <c r="BK189" i="19"/>
  <c r="BK409" i="19"/>
  <c r="J346" i="19"/>
  <c r="J222" i="19"/>
  <c r="BK141" i="19"/>
  <c r="BK432" i="19"/>
  <c r="BK311" i="19"/>
  <c r="BK193" i="19"/>
  <c r="BK92" i="20"/>
  <c r="J111" i="2"/>
  <c r="J91" i="2"/>
  <c r="J134" i="2"/>
  <c r="BK155" i="2"/>
  <c r="BK132" i="2"/>
  <c r="BK259" i="3"/>
  <c r="BK212" i="3"/>
  <c r="BK298" i="4"/>
  <c r="J213" i="4"/>
  <c r="BK123" i="4"/>
  <c r="BK233" i="4"/>
  <c r="J183" i="4"/>
  <c r="BK108" i="4"/>
  <c r="BK204" i="4"/>
  <c r="BK127" i="4"/>
  <c r="BK267" i="4"/>
  <c r="J191" i="4"/>
  <c r="BK171" i="5"/>
  <c r="BK102" i="5"/>
  <c r="J91" i="5"/>
  <c r="J157" i="5"/>
  <c r="J102" i="5"/>
  <c r="J450" i="6"/>
  <c r="BK410" i="6"/>
  <c r="BK332" i="6"/>
  <c r="BK170" i="6"/>
  <c r="BK523" i="6"/>
  <c r="BK445" i="6"/>
  <c r="J306" i="6"/>
  <c r="BK214" i="6"/>
  <c r="BK541" i="6"/>
  <c r="J464" i="6"/>
  <c r="J363" i="6"/>
  <c r="J205" i="6"/>
  <c r="J174" i="6"/>
  <c r="BK154" i="7"/>
  <c r="BK207" i="7"/>
  <c r="BK94" i="7"/>
  <c r="J219" i="7"/>
  <c r="J236" i="8"/>
  <c r="BK89" i="8"/>
  <c r="J124" i="8"/>
  <c r="BK107" i="8"/>
  <c r="J151" i="8"/>
  <c r="BK209" i="9"/>
  <c r="J217" i="9"/>
  <c r="J140" i="9"/>
  <c r="J220" i="9"/>
  <c r="J192" i="9"/>
  <c r="J161" i="10"/>
  <c r="J169" i="10"/>
  <c r="J88" i="10"/>
  <c r="BK169" i="10"/>
  <c r="J228" i="11"/>
  <c r="BK100" i="11"/>
  <c r="J208" i="11"/>
  <c r="J104" i="11"/>
  <c r="J216" i="11"/>
  <c r="BK246" i="11"/>
  <c r="J115" i="11"/>
  <c r="J349" i="12"/>
  <c r="J238" i="12"/>
  <c r="J125" i="12"/>
  <c r="BK320" i="12"/>
  <c r="J217" i="12"/>
  <c r="J283" i="12"/>
  <c r="J201" i="12"/>
  <c r="BK311" i="12"/>
  <c r="BK293" i="12"/>
  <c r="J274" i="12"/>
  <c r="J260" i="12"/>
  <c r="BK234" i="12"/>
  <c r="BK210" i="12"/>
  <c r="J139" i="12"/>
  <c r="BK125" i="12"/>
  <c r="J94" i="12"/>
  <c r="BK290" i="13"/>
  <c r="J262" i="13"/>
  <c r="BK245" i="13"/>
  <c r="BK205" i="13"/>
  <c r="J182" i="13"/>
  <c r="J163" i="13"/>
  <c r="J105" i="13"/>
  <c r="BK304" i="13"/>
  <c r="J191" i="13"/>
  <c r="J225" i="13"/>
  <c r="J101" i="13"/>
  <c r="J179" i="13"/>
  <c r="BK797" i="14"/>
  <c r="J672" i="14"/>
  <c r="BK573" i="14"/>
  <c r="BK392" i="14"/>
  <c r="J290" i="14"/>
  <c r="BK171" i="14"/>
  <c r="BK759" i="14"/>
  <c r="J573" i="14"/>
  <c r="J444" i="14"/>
  <c r="J326" i="14"/>
  <c r="BK192" i="14"/>
  <c r="J824" i="14"/>
  <c r="J732" i="14"/>
  <c r="BK539" i="14"/>
  <c r="BK450" i="14"/>
  <c r="BK226" i="14"/>
  <c r="J112" i="14"/>
  <c r="BK846" i="14"/>
  <c r="BK753" i="14"/>
  <c r="BK684" i="14"/>
  <c r="BK563" i="14"/>
  <c r="J407" i="14"/>
  <c r="J278" i="14"/>
  <c r="J144" i="14"/>
  <c r="J680" i="15"/>
  <c r="BK582" i="15"/>
  <c r="J396" i="15"/>
  <c r="J282" i="15"/>
  <c r="J238" i="15"/>
  <c r="J142" i="15"/>
  <c r="J567" i="15"/>
  <c r="BK467" i="15"/>
  <c r="BK310" i="15"/>
  <c r="BK188" i="15"/>
  <c r="BK109" i="15"/>
  <c r="J499" i="15"/>
  <c r="J363" i="15"/>
  <c r="BK250" i="15"/>
  <c r="BK616" i="15"/>
  <c r="BK512" i="15"/>
  <c r="J421" i="15"/>
  <c r="J295" i="15"/>
  <c r="J246" i="15"/>
  <c r="J199" i="15"/>
  <c r="J160" i="16"/>
  <c r="BK95" i="16"/>
  <c r="J125" i="16"/>
  <c r="BK87" i="16"/>
  <c r="BK89" i="17"/>
  <c r="J409" i="19"/>
  <c r="J297" i="19"/>
  <c r="J225" i="19"/>
  <c r="BK154" i="19"/>
  <c r="BK386" i="19"/>
  <c r="BK315" i="19"/>
  <c r="BK248" i="19"/>
  <c r="BK169" i="19"/>
  <c r="J366" i="19"/>
  <c r="BK271" i="19"/>
  <c r="BK201" i="19"/>
  <c r="BK146" i="2"/>
  <c r="J172" i="2"/>
  <c r="J132" i="2"/>
  <c r="J140" i="2"/>
  <c r="J189" i="3"/>
  <c r="J264" i="3"/>
  <c r="BK227" i="3"/>
  <c r="J165" i="3"/>
  <c r="BK249" i="3"/>
  <c r="BK202" i="3"/>
  <c r="J267" i="4"/>
  <c r="BK227" i="4"/>
  <c r="BK151" i="4"/>
  <c r="J254" i="4"/>
  <c r="BK183" i="4"/>
  <c r="J108" i="4"/>
  <c r="BK208" i="4"/>
  <c r="J176" i="5"/>
  <c r="J213" i="5"/>
  <c r="J141" i="5"/>
  <c r="J517" i="6"/>
  <c r="J402" i="6"/>
  <c r="J327" i="6"/>
  <c r="BK118" i="6"/>
  <c r="BK450" i="6"/>
  <c r="J279" i="6"/>
  <c r="J129" i="6"/>
  <c r="BK406" i="6"/>
  <c r="BK290" i="6"/>
  <c r="BK190" i="6"/>
  <c r="BK210" i="7"/>
  <c r="BK101" i="7"/>
  <c r="BK176" i="7"/>
  <c r="J148" i="7"/>
  <c r="J185" i="7"/>
  <c r="BK109" i="7"/>
  <c r="J167" i="8"/>
  <c r="J161" i="8"/>
  <c r="J119" i="8"/>
  <c r="BK167" i="8"/>
  <c r="BK196" i="9"/>
  <c r="J223" i="9"/>
  <c r="BK130" i="9"/>
  <c r="BK144" i="9"/>
  <c r="J204" i="9"/>
  <c r="J172" i="10"/>
  <c r="J188" i="10"/>
  <c r="J107" i="10"/>
  <c r="J95" i="10"/>
  <c r="J268" i="11"/>
  <c r="J200" i="11"/>
  <c r="J292" i="11"/>
  <c r="J163" i="11"/>
  <c r="BK240" i="11"/>
  <c r="J125" i="11"/>
  <c r="J180" i="11"/>
  <c r="J330" i="12"/>
  <c r="J230" i="12"/>
  <c r="BK146" i="12"/>
  <c r="J342" i="12"/>
  <c r="BK262" i="12"/>
  <c r="J167" i="12"/>
  <c r="BK274" i="12"/>
  <c r="BK197" i="12"/>
  <c r="BK118" i="12"/>
  <c r="J230" i="13"/>
  <c r="J140" i="13"/>
  <c r="BK208" i="13"/>
  <c r="J304" i="13"/>
  <c r="J159" i="13"/>
  <c r="BK728" i="14"/>
  <c r="J668" i="14"/>
  <c r="J585" i="14"/>
  <c r="BK407" i="14"/>
  <c r="J302" i="14"/>
  <c r="BK174" i="14"/>
  <c r="BK828" i="14"/>
  <c r="BK668" i="14"/>
  <c r="BK558" i="14"/>
  <c r="J403" i="14"/>
  <c r="BK319" i="14"/>
  <c r="J232" i="14"/>
  <c r="J128" i="14"/>
  <c r="BK773" i="14"/>
  <c r="J660" i="14"/>
  <c r="BK498" i="14"/>
  <c r="J383" i="14"/>
  <c r="J156" i="14"/>
  <c r="BK850" i="14"/>
  <c r="BK784" i="14"/>
  <c r="J698" i="14"/>
  <c r="BK591" i="14"/>
  <c r="J422" i="14"/>
  <c r="J251" i="14"/>
  <c r="J133" i="14"/>
  <c r="BK655" i="15"/>
  <c r="BK433" i="15"/>
  <c r="BK319" i="15"/>
  <c r="J252" i="15"/>
  <c r="BK153" i="15"/>
  <c r="J616" i="15"/>
  <c r="BK478" i="15"/>
  <c r="J367" i="15"/>
  <c r="J254" i="15"/>
  <c r="J163" i="15"/>
  <c r="BK560" i="15"/>
  <c r="J428" i="15"/>
  <c r="J288" i="15"/>
  <c r="BK193" i="15"/>
  <c r="BK607" i="15"/>
  <c r="BK486" i="15"/>
  <c r="BK359" i="15"/>
  <c r="BK238" i="15"/>
  <c r="BK181" i="15"/>
  <c r="BK107" i="16"/>
  <c r="J128" i="16"/>
  <c r="BK128" i="16"/>
  <c r="J91" i="17"/>
  <c r="J89" i="18"/>
  <c r="BK339" i="19"/>
  <c r="BK265" i="19"/>
  <c r="J181" i="19"/>
  <c r="J96" i="19"/>
  <c r="J339" i="19"/>
  <c r="BK256" i="19"/>
  <c r="J177" i="19"/>
  <c r="BK405" i="19"/>
  <c r="J323" i="19"/>
  <c r="BK228" i="19"/>
  <c r="J145" i="19"/>
  <c r="J400" i="19"/>
  <c r="BK363" i="19"/>
  <c r="J281" i="19"/>
  <c r="BK225" i="19"/>
  <c r="BK85" i="21"/>
  <c r="J92" i="21"/>
  <c r="BK92" i="21"/>
  <c r="BK88" i="21"/>
  <c r="AV21" i="23" l="1"/>
  <c r="I42" i="23"/>
  <c r="AV70" i="23"/>
  <c r="AV23" i="25"/>
  <c r="BC27" i="25"/>
  <c r="BC31" i="25"/>
  <c r="BC37" i="23"/>
  <c r="BC45" i="25"/>
  <c r="F36" i="3"/>
  <c r="I28" i="23"/>
  <c r="AV30" i="23"/>
  <c r="AV54" i="25"/>
  <c r="AV38" i="25"/>
  <c r="K90" i="25"/>
  <c r="AV55" i="25"/>
  <c r="BC51" i="23"/>
  <c r="BC67" i="23"/>
  <c r="AV15" i="23"/>
  <c r="BC72" i="23"/>
  <c r="BC55" i="23"/>
  <c r="BC71" i="25"/>
  <c r="BC41" i="25"/>
  <c r="BC80" i="25"/>
  <c r="AV81" i="25"/>
  <c r="BC81" i="25"/>
  <c r="BC82" i="25"/>
  <c r="AV78" i="25"/>
  <c r="AV75" i="25"/>
  <c r="BC75" i="25"/>
  <c r="AV70" i="25"/>
  <c r="BC70" i="25"/>
  <c r="AV71" i="25"/>
  <c r="AV67" i="25"/>
  <c r="AV61" i="25"/>
  <c r="BC57" i="25"/>
  <c r="AV64" i="25"/>
  <c r="AV60" i="25"/>
  <c r="BC65" i="25"/>
  <c r="AV59" i="25"/>
  <c r="BC55" i="25"/>
  <c r="AV49" i="25"/>
  <c r="AV51" i="25"/>
  <c r="AV50" i="25"/>
  <c r="AV47" i="25"/>
  <c r="AV40" i="25"/>
  <c r="BC40" i="25"/>
  <c r="AV41" i="25"/>
  <c r="BC38" i="25"/>
  <c r="J12" i="25"/>
  <c r="I20" i="25"/>
  <c r="AV19" i="25"/>
  <c r="AV34" i="25"/>
  <c r="BC34" i="25"/>
  <c r="BC16" i="25"/>
  <c r="BC15" i="25"/>
  <c r="J86" i="25"/>
  <c r="I86" i="25"/>
  <c r="BC89" i="25"/>
  <c r="AV89" i="25"/>
  <c r="BC13" i="25"/>
  <c r="AV13" i="25"/>
  <c r="BC77" i="25"/>
  <c r="J20" i="25"/>
  <c r="I12" i="25"/>
  <c r="AV63" i="25"/>
  <c r="BC47" i="25"/>
  <c r="AV21" i="25"/>
  <c r="AV57" i="25"/>
  <c r="AV29" i="25"/>
  <c r="AV80" i="25"/>
  <c r="BC35" i="25"/>
  <c r="AV32" i="25"/>
  <c r="AV25" i="25"/>
  <c r="AV33" i="25"/>
  <c r="AV44" i="25"/>
  <c r="AV68" i="25"/>
  <c r="AV74" i="25"/>
  <c r="AV65" i="25"/>
  <c r="AV78" i="23"/>
  <c r="I65" i="23"/>
  <c r="J65" i="23"/>
  <c r="AV68" i="23"/>
  <c r="AV62" i="23"/>
  <c r="I56" i="23"/>
  <c r="BC62" i="23"/>
  <c r="J56" i="23"/>
  <c r="AV57" i="23"/>
  <c r="AV50" i="23"/>
  <c r="BC50" i="23"/>
  <c r="AV43" i="23"/>
  <c r="BC43" i="23"/>
  <c r="BC44" i="23"/>
  <c r="J42" i="23"/>
  <c r="AV33" i="23"/>
  <c r="BC33" i="23"/>
  <c r="BC38" i="23"/>
  <c r="J12" i="23"/>
  <c r="AV19" i="23"/>
  <c r="I12" i="23"/>
  <c r="AV59" i="23"/>
  <c r="BC59" i="23"/>
  <c r="AV63" i="23"/>
  <c r="BC63" i="23"/>
  <c r="AV48" i="23"/>
  <c r="K85" i="23"/>
  <c r="AV83" i="23"/>
  <c r="BC83" i="23"/>
  <c r="R493" i="6"/>
  <c r="P493" i="6"/>
  <c r="T493" i="6"/>
  <c r="BK90" i="2"/>
  <c r="BK89" i="2" s="1"/>
  <c r="J89" i="2" s="1"/>
  <c r="J60" i="2" s="1"/>
  <c r="BK125" i="2"/>
  <c r="J125" i="2"/>
  <c r="J63" i="2" s="1"/>
  <c r="BK131" i="2"/>
  <c r="J131" i="2" s="1"/>
  <c r="J64" i="2" s="1"/>
  <c r="BK136" i="2"/>
  <c r="J136" i="2"/>
  <c r="J65" i="2" s="1"/>
  <c r="R88" i="3"/>
  <c r="P230" i="3"/>
  <c r="T100" i="4"/>
  <c r="P157" i="4"/>
  <c r="T157" i="4"/>
  <c r="BK173" i="4"/>
  <c r="J173" i="4" s="1"/>
  <c r="J64" i="4" s="1"/>
  <c r="R173" i="4"/>
  <c r="R232" i="4"/>
  <c r="BK279" i="4"/>
  <c r="J279" i="4" s="1"/>
  <c r="J68" i="4" s="1"/>
  <c r="P90" i="5"/>
  <c r="BK140" i="5"/>
  <c r="J140" i="5" s="1"/>
  <c r="J62" i="5" s="1"/>
  <c r="P190" i="5"/>
  <c r="P209" i="5"/>
  <c r="P94" i="6"/>
  <c r="T162" i="6"/>
  <c r="P179" i="6"/>
  <c r="P405" i="6"/>
  <c r="BK463" i="6"/>
  <c r="T481" i="6"/>
  <c r="P507" i="6"/>
  <c r="P531" i="6"/>
  <c r="BK100" i="7"/>
  <c r="J100" i="7"/>
  <c r="J62" i="7" s="1"/>
  <c r="R127" i="7"/>
  <c r="BK166" i="7"/>
  <c r="J166" i="7" s="1"/>
  <c r="J64" i="7" s="1"/>
  <c r="P195" i="7"/>
  <c r="P218" i="7"/>
  <c r="P88" i="8"/>
  <c r="T198" i="8"/>
  <c r="T96" i="9"/>
  <c r="R114" i="9"/>
  <c r="R153" i="9"/>
  <c r="P182" i="9"/>
  <c r="P213" i="9"/>
  <c r="R87" i="10"/>
  <c r="BK134" i="10"/>
  <c r="J134" i="10" s="1"/>
  <c r="J62" i="10" s="1"/>
  <c r="BK171" i="10"/>
  <c r="J171" i="10"/>
  <c r="J63" i="10" s="1"/>
  <c r="BK89" i="11"/>
  <c r="J89" i="11" s="1"/>
  <c r="J61" i="11" s="1"/>
  <c r="P108" i="11"/>
  <c r="P258" i="11"/>
  <c r="R287" i="11"/>
  <c r="R286" i="11" s="1"/>
  <c r="R93" i="12"/>
  <c r="P185" i="12"/>
  <c r="P145" i="12" s="1"/>
  <c r="R229" i="12"/>
  <c r="BK282" i="12"/>
  <c r="J282" i="12"/>
  <c r="J65" i="12" s="1"/>
  <c r="P306" i="12"/>
  <c r="BK335" i="12"/>
  <c r="BK334" i="12" s="1"/>
  <c r="BK353" i="12"/>
  <c r="J353" i="12" s="1"/>
  <c r="J70" i="12" s="1"/>
  <c r="BK90" i="13"/>
  <c r="J90" i="13"/>
  <c r="J61" i="13" s="1"/>
  <c r="BK190" i="13"/>
  <c r="J190" i="13" s="1"/>
  <c r="J62" i="13" s="1"/>
  <c r="BK211" i="13"/>
  <c r="J211" i="13"/>
  <c r="J63" i="13" s="1"/>
  <c r="T240" i="13"/>
  <c r="T266" i="13"/>
  <c r="P90" i="2"/>
  <c r="P89" i="2" s="1"/>
  <c r="R125" i="2"/>
  <c r="P131" i="2"/>
  <c r="T136" i="2"/>
  <c r="P88" i="3"/>
  <c r="R230" i="3"/>
  <c r="P232" i="4"/>
  <c r="R279" i="4"/>
  <c r="R90" i="5"/>
  <c r="T140" i="5"/>
  <c r="R190" i="5"/>
  <c r="T209" i="5"/>
  <c r="BK94" i="6"/>
  <c r="J94" i="6" s="1"/>
  <c r="J61" i="6" s="1"/>
  <c r="BK162" i="6"/>
  <c r="J162" i="6" s="1"/>
  <c r="J62" i="6" s="1"/>
  <c r="BK179" i="6"/>
  <c r="J179" i="6"/>
  <c r="J63" i="6" s="1"/>
  <c r="T405" i="6"/>
  <c r="R463" i="6"/>
  <c r="R481" i="6"/>
  <c r="BK507" i="6"/>
  <c r="J507" i="6" s="1"/>
  <c r="J70" i="6" s="1"/>
  <c r="BK531" i="6"/>
  <c r="J531" i="6" s="1"/>
  <c r="J71" i="6" s="1"/>
  <c r="T100" i="7"/>
  <c r="BK127" i="7"/>
  <c r="J127" i="7"/>
  <c r="J63" i="7" s="1"/>
  <c r="T166" i="7"/>
  <c r="BK195" i="7"/>
  <c r="J195" i="7" s="1"/>
  <c r="J67" i="7" s="1"/>
  <c r="R218" i="7"/>
  <c r="BK88" i="8"/>
  <c r="J88" i="8" s="1"/>
  <c r="J61" i="8" s="1"/>
  <c r="P198" i="8"/>
  <c r="R96" i="9"/>
  <c r="R90" i="9" s="1"/>
  <c r="BK114" i="9"/>
  <c r="J114" i="9" s="1"/>
  <c r="J63" i="9" s="1"/>
  <c r="BK153" i="9"/>
  <c r="J153" i="9" s="1"/>
  <c r="J64" i="9" s="1"/>
  <c r="R182" i="9"/>
  <c r="T213" i="9"/>
  <c r="BK87" i="10"/>
  <c r="J87" i="10" s="1"/>
  <c r="J61" i="10" s="1"/>
  <c r="R134" i="10"/>
  <c r="R171" i="10"/>
  <c r="R89" i="11"/>
  <c r="R108" i="11"/>
  <c r="R258" i="11"/>
  <c r="BK287" i="11"/>
  <c r="J287" i="11" s="1"/>
  <c r="J66" i="11" s="1"/>
  <c r="BK93" i="12"/>
  <c r="J93" i="12" s="1"/>
  <c r="J61" i="12" s="1"/>
  <c r="BK185" i="12"/>
  <c r="J185" i="12" s="1"/>
  <c r="J63" i="12" s="1"/>
  <c r="T229" i="12"/>
  <c r="T282" i="12"/>
  <c r="T306" i="12"/>
  <c r="T335" i="12"/>
  <c r="T353" i="12"/>
  <c r="T90" i="13"/>
  <c r="P190" i="13"/>
  <c r="P211" i="13"/>
  <c r="P240" i="13"/>
  <c r="R266" i="13"/>
  <c r="T90" i="2"/>
  <c r="T89" i="2" s="1"/>
  <c r="T125" i="2"/>
  <c r="T131" i="2"/>
  <c r="P136" i="2"/>
  <c r="BK88" i="3"/>
  <c r="J88" i="3" s="1"/>
  <c r="J61" i="3" s="1"/>
  <c r="BK230" i="3"/>
  <c r="J230" i="3" s="1"/>
  <c r="J62" i="3" s="1"/>
  <c r="P100" i="4"/>
  <c r="BK157" i="4"/>
  <c r="J157" i="4" s="1"/>
  <c r="J63" i="4" s="1"/>
  <c r="P173" i="4"/>
  <c r="BK232" i="4"/>
  <c r="J232" i="4" s="1"/>
  <c r="J67" i="4" s="1"/>
  <c r="P279" i="4"/>
  <c r="BK90" i="5"/>
  <c r="J90" i="5" s="1"/>
  <c r="J61" i="5" s="1"/>
  <c r="P140" i="5"/>
  <c r="BK190" i="5"/>
  <c r="J190" i="5" s="1"/>
  <c r="J66" i="5" s="1"/>
  <c r="BK209" i="5"/>
  <c r="T94" i="6"/>
  <c r="R162" i="6"/>
  <c r="R179" i="6"/>
  <c r="R405" i="6"/>
  <c r="P463" i="6"/>
  <c r="BK481" i="6"/>
  <c r="J481" i="6" s="1"/>
  <c r="J68" i="6" s="1"/>
  <c r="R507" i="6"/>
  <c r="R531" i="6"/>
  <c r="P100" i="7"/>
  <c r="T127" i="7"/>
  <c r="P166" i="7"/>
  <c r="R195" i="7"/>
  <c r="R194" i="7" s="1"/>
  <c r="BK218" i="7"/>
  <c r="J218" i="7" s="1"/>
  <c r="J68" i="7" s="1"/>
  <c r="T88" i="8"/>
  <c r="T87" i="8" s="1"/>
  <c r="T86" i="8" s="1"/>
  <c r="R198" i="8"/>
  <c r="BK96" i="9"/>
  <c r="J96" i="9" s="1"/>
  <c r="J62" i="9" s="1"/>
  <c r="T114" i="9"/>
  <c r="T153" i="9"/>
  <c r="BK182" i="9"/>
  <c r="J182" i="9"/>
  <c r="J67" i="9" s="1"/>
  <c r="BK213" i="9"/>
  <c r="J213" i="9" s="1"/>
  <c r="J68" i="9" s="1"/>
  <c r="P87" i="10"/>
  <c r="P134" i="10"/>
  <c r="P86" i="10" s="1"/>
  <c r="P85" i="10" s="1"/>
  <c r="AU63" i="1" s="1"/>
  <c r="P171" i="10"/>
  <c r="T89" i="11"/>
  <c r="BK108" i="11"/>
  <c r="J108" i="11" s="1"/>
  <c r="J62" i="11" s="1"/>
  <c r="T258" i="11"/>
  <c r="T287" i="11"/>
  <c r="T286" i="11"/>
  <c r="P93" i="12"/>
  <c r="R185" i="12"/>
  <c r="R145" i="12" s="1"/>
  <c r="P229" i="12"/>
  <c r="R282" i="12"/>
  <c r="R306" i="12"/>
  <c r="R335" i="12"/>
  <c r="R353" i="12"/>
  <c r="R90" i="13"/>
  <c r="R190" i="13"/>
  <c r="T211" i="13"/>
  <c r="BK240" i="13"/>
  <c r="J240" i="13" s="1"/>
  <c r="J66" i="13" s="1"/>
  <c r="BK266" i="13"/>
  <c r="J266" i="13" s="1"/>
  <c r="J67" i="13" s="1"/>
  <c r="T101" i="14"/>
  <c r="T137" i="14"/>
  <c r="BK155" i="14"/>
  <c r="J155" i="14" s="1"/>
  <c r="J65" i="14" s="1"/>
  <c r="T183" i="14"/>
  <c r="BK374" i="14"/>
  <c r="J374" i="14" s="1"/>
  <c r="J67" i="14" s="1"/>
  <c r="R515" i="14"/>
  <c r="R544" i="14"/>
  <c r="T562" i="14"/>
  <c r="R632" i="14"/>
  <c r="R676" i="14"/>
  <c r="P688" i="14"/>
  <c r="P702" i="14"/>
  <c r="P736" i="14"/>
  <c r="R792" i="14"/>
  <c r="R101" i="15"/>
  <c r="BK141" i="15"/>
  <c r="J141" i="15" s="1"/>
  <c r="J62" i="15" s="1"/>
  <c r="R173" i="15"/>
  <c r="P192" i="15"/>
  <c r="T233" i="15"/>
  <c r="T318" i="15"/>
  <c r="BK354" i="15"/>
  <c r="J354" i="15" s="1"/>
  <c r="J69" i="15" s="1"/>
  <c r="BK432" i="15"/>
  <c r="J432" i="15"/>
  <c r="J70" i="15" s="1"/>
  <c r="BK490" i="15"/>
  <c r="J490" i="15" s="1"/>
  <c r="J71" i="15" s="1"/>
  <c r="BK575" i="15"/>
  <c r="J575" i="15" s="1"/>
  <c r="J72" i="15" s="1"/>
  <c r="BK606" i="15"/>
  <c r="J606" i="15" s="1"/>
  <c r="J73" i="15" s="1"/>
  <c r="P654" i="15"/>
  <c r="R86" i="16"/>
  <c r="P136" i="16"/>
  <c r="P147" i="16"/>
  <c r="BK84" i="17"/>
  <c r="J84" i="17" s="1"/>
  <c r="J61" i="17" s="1"/>
  <c r="T84" i="18"/>
  <c r="T83" i="18"/>
  <c r="T82" i="18" s="1"/>
  <c r="P95" i="19"/>
  <c r="P137" i="19"/>
  <c r="T144" i="19"/>
  <c r="P159" i="19"/>
  <c r="P247" i="19"/>
  <c r="T327" i="19"/>
  <c r="T404" i="19"/>
  <c r="P428" i="19"/>
  <c r="BK84" i="20"/>
  <c r="BK83" i="20" s="1"/>
  <c r="R90" i="2"/>
  <c r="R89" i="2" s="1"/>
  <c r="P125" i="2"/>
  <c r="P124" i="2" s="1"/>
  <c r="R131" i="2"/>
  <c r="R136" i="2"/>
  <c r="T88" i="3"/>
  <c r="T87" i="3" s="1"/>
  <c r="T86" i="3" s="1"/>
  <c r="T230" i="3"/>
  <c r="BK100" i="4"/>
  <c r="J100" i="4" s="1"/>
  <c r="J62" i="4" s="1"/>
  <c r="R100" i="4"/>
  <c r="R157" i="4"/>
  <c r="T173" i="4"/>
  <c r="T232" i="4"/>
  <c r="T231" i="4" s="1"/>
  <c r="T279" i="4"/>
  <c r="T90" i="5"/>
  <c r="R140" i="5"/>
  <c r="T190" i="5"/>
  <c r="T183" i="5" s="1"/>
  <c r="R209" i="5"/>
  <c r="R101" i="14"/>
  <c r="R137" i="14"/>
  <c r="P155" i="14"/>
  <c r="P154" i="14" s="1"/>
  <c r="BK183" i="14"/>
  <c r="J183" i="14"/>
  <c r="J66" i="14" s="1"/>
  <c r="R374" i="14"/>
  <c r="BK515" i="14"/>
  <c r="J515" i="14" s="1"/>
  <c r="J68" i="14" s="1"/>
  <c r="P544" i="14"/>
  <c r="R562" i="14"/>
  <c r="T632" i="14"/>
  <c r="P676" i="14"/>
  <c r="BK688" i="14"/>
  <c r="J688" i="14"/>
  <c r="J75" i="14" s="1"/>
  <c r="R702" i="14"/>
  <c r="R736" i="14"/>
  <c r="BK792" i="14"/>
  <c r="J792" i="14"/>
  <c r="J78" i="14" s="1"/>
  <c r="P101" i="15"/>
  <c r="R141" i="15"/>
  <c r="BK173" i="15"/>
  <c r="J173" i="15"/>
  <c r="J65" i="15" s="1"/>
  <c r="T192" i="15"/>
  <c r="R233" i="15"/>
  <c r="R318" i="15"/>
  <c r="P354" i="15"/>
  <c r="R432" i="15"/>
  <c r="R490" i="15"/>
  <c r="R575" i="15"/>
  <c r="P606" i="15"/>
  <c r="T654" i="15"/>
  <c r="P86" i="16"/>
  <c r="P85" i="16" s="1"/>
  <c r="P84" i="16" s="1"/>
  <c r="AU69" i="1" s="1"/>
  <c r="R136" i="16"/>
  <c r="R147" i="16"/>
  <c r="R84" i="17"/>
  <c r="R83" i="17" s="1"/>
  <c r="R82" i="17" s="1"/>
  <c r="P84" i="18"/>
  <c r="P83" i="18" s="1"/>
  <c r="P82" i="18" s="1"/>
  <c r="AU71" i="1" s="1"/>
  <c r="R95" i="19"/>
  <c r="T137" i="19"/>
  <c r="R144" i="19"/>
  <c r="R159" i="19"/>
  <c r="BK247" i="19"/>
  <c r="J247" i="19" s="1"/>
  <c r="J68" i="19" s="1"/>
  <c r="P327" i="19"/>
  <c r="P404" i="19"/>
  <c r="BK428" i="19"/>
  <c r="J428" i="19" s="1"/>
  <c r="J72" i="19" s="1"/>
  <c r="R84" i="20"/>
  <c r="R83" i="20" s="1"/>
  <c r="R82" i="20" s="1"/>
  <c r="P84" i="21"/>
  <c r="T84" i="21"/>
  <c r="P91" i="21"/>
  <c r="P101" i="14"/>
  <c r="P137" i="14"/>
  <c r="R155" i="14"/>
  <c r="R154" i="14" s="1"/>
  <c r="P183" i="14"/>
  <c r="P374" i="14"/>
  <c r="T515" i="14"/>
  <c r="BK544" i="14"/>
  <c r="J544" i="14"/>
  <c r="J71" i="14" s="1"/>
  <c r="BK562" i="14"/>
  <c r="J562" i="14" s="1"/>
  <c r="J72" i="14" s="1"/>
  <c r="BK632" i="14"/>
  <c r="J632" i="14"/>
  <c r="J73" i="14" s="1"/>
  <c r="BK676" i="14"/>
  <c r="J676" i="14"/>
  <c r="J74" i="14" s="1"/>
  <c r="R688" i="14"/>
  <c r="BK702" i="14"/>
  <c r="J702" i="14" s="1"/>
  <c r="J76" i="14" s="1"/>
  <c r="BK736" i="14"/>
  <c r="J736" i="14"/>
  <c r="J77" i="14" s="1"/>
  <c r="T792" i="14"/>
  <c r="BK101" i="15"/>
  <c r="J101" i="15"/>
  <c r="J61" i="15" s="1"/>
  <c r="P141" i="15"/>
  <c r="T173" i="15"/>
  <c r="R192" i="15"/>
  <c r="P233" i="15"/>
  <c r="P318" i="15"/>
  <c r="T354" i="15"/>
  <c r="P432" i="15"/>
  <c r="P490" i="15"/>
  <c r="P575" i="15"/>
  <c r="R606" i="15"/>
  <c r="BK654" i="15"/>
  <c r="J654" i="15"/>
  <c r="J74" i="15" s="1"/>
  <c r="BK86" i="16"/>
  <c r="J86" i="16"/>
  <c r="J61" i="16" s="1"/>
  <c r="BK136" i="16"/>
  <c r="J136" i="16" s="1"/>
  <c r="J62" i="16" s="1"/>
  <c r="BK147" i="16"/>
  <c r="J147" i="16" s="1"/>
  <c r="J63" i="16" s="1"/>
  <c r="P84" i="17"/>
  <c r="P83" i="17" s="1"/>
  <c r="P82" i="17" s="1"/>
  <c r="AU70" i="1" s="1"/>
  <c r="BK84" i="18"/>
  <c r="J84" i="18" s="1"/>
  <c r="J61" i="18" s="1"/>
  <c r="T95" i="19"/>
  <c r="T94" i="19" s="1"/>
  <c r="R137" i="19"/>
  <c r="P144" i="19"/>
  <c r="T159" i="19"/>
  <c r="R247" i="19"/>
  <c r="R327" i="19"/>
  <c r="BK404" i="19"/>
  <c r="J404" i="19" s="1"/>
  <c r="J70" i="19" s="1"/>
  <c r="T428" i="19"/>
  <c r="T84" i="20"/>
  <c r="T83" i="20" s="1"/>
  <c r="T82" i="20" s="1"/>
  <c r="BK91" i="21"/>
  <c r="J91" i="21" s="1"/>
  <c r="J62" i="21" s="1"/>
  <c r="R91" i="21"/>
  <c r="R94" i="6"/>
  <c r="R93" i="6" s="1"/>
  <c r="P162" i="6"/>
  <c r="T179" i="6"/>
  <c r="BK405" i="6"/>
  <c r="J405" i="6" s="1"/>
  <c r="J64" i="6" s="1"/>
  <c r="T463" i="6"/>
  <c r="P481" i="6"/>
  <c r="T507" i="6"/>
  <c r="T531" i="6"/>
  <c r="R100" i="7"/>
  <c r="P127" i="7"/>
  <c r="R166" i="7"/>
  <c r="T195" i="7"/>
  <c r="T218" i="7"/>
  <c r="R88" i="8"/>
  <c r="BK198" i="8"/>
  <c r="J198" i="8"/>
  <c r="J62" i="8" s="1"/>
  <c r="P96" i="9"/>
  <c r="P114" i="9"/>
  <c r="P153" i="9"/>
  <c r="T182" i="9"/>
  <c r="T181" i="9" s="1"/>
  <c r="R213" i="9"/>
  <c r="T87" i="10"/>
  <c r="T134" i="10"/>
  <c r="T171" i="10"/>
  <c r="P89" i="11"/>
  <c r="P88" i="11" s="1"/>
  <c r="T108" i="11"/>
  <c r="BK258" i="11"/>
  <c r="J258" i="11"/>
  <c r="J63" i="11" s="1"/>
  <c r="P287" i="11"/>
  <c r="P286" i="11" s="1"/>
  <c r="T93" i="12"/>
  <c r="T185" i="12"/>
  <c r="T145" i="12" s="1"/>
  <c r="BK229" i="12"/>
  <c r="J229" i="12" s="1"/>
  <c r="J64" i="12" s="1"/>
  <c r="P282" i="12"/>
  <c r="BK306" i="12"/>
  <c r="J306" i="12" s="1"/>
  <c r="J66" i="12" s="1"/>
  <c r="P335" i="12"/>
  <c r="P353" i="12"/>
  <c r="P90" i="13"/>
  <c r="P89" i="13" s="1"/>
  <c r="T190" i="13"/>
  <c r="R211" i="13"/>
  <c r="R240" i="13"/>
  <c r="R239" i="13" s="1"/>
  <c r="P266" i="13"/>
  <c r="BK101" i="14"/>
  <c r="J101" i="14" s="1"/>
  <c r="J61" i="14" s="1"/>
  <c r="BK137" i="14"/>
  <c r="J137" i="14" s="1"/>
  <c r="J62" i="14" s="1"/>
  <c r="T155" i="14"/>
  <c r="T154" i="14" s="1"/>
  <c r="R183" i="14"/>
  <c r="T374" i="14"/>
  <c r="P515" i="14"/>
  <c r="T544" i="14"/>
  <c r="P562" i="14"/>
  <c r="P632" i="14"/>
  <c r="T676" i="14"/>
  <c r="T688" i="14"/>
  <c r="T702" i="14"/>
  <c r="T736" i="14"/>
  <c r="P792" i="14"/>
  <c r="T101" i="15"/>
  <c r="T141" i="15"/>
  <c r="P173" i="15"/>
  <c r="P172" i="15" s="1"/>
  <c r="BK192" i="15"/>
  <c r="J192" i="15" s="1"/>
  <c r="J66" i="15" s="1"/>
  <c r="BK233" i="15"/>
  <c r="J233" i="15" s="1"/>
  <c r="J67" i="15" s="1"/>
  <c r="BK318" i="15"/>
  <c r="J318" i="15" s="1"/>
  <c r="J68" i="15" s="1"/>
  <c r="R354" i="15"/>
  <c r="T432" i="15"/>
  <c r="T490" i="15"/>
  <c r="T575" i="15"/>
  <c r="T606" i="15"/>
  <c r="R654" i="15"/>
  <c r="T86" i="16"/>
  <c r="T136" i="16"/>
  <c r="T147" i="16"/>
  <c r="T84" i="17"/>
  <c r="T83" i="17" s="1"/>
  <c r="T82" i="17" s="1"/>
  <c r="R84" i="18"/>
  <c r="R83" i="18"/>
  <c r="R82" i="18" s="1"/>
  <c r="BK95" i="19"/>
  <c r="J95" i="19"/>
  <c r="J61" i="19" s="1"/>
  <c r="BK137" i="19"/>
  <c r="J137" i="19"/>
  <c r="J63" i="19" s="1"/>
  <c r="BK144" i="19"/>
  <c r="J144" i="19" s="1"/>
  <c r="J64" i="19" s="1"/>
  <c r="BK159" i="19"/>
  <c r="J159" i="19" s="1"/>
  <c r="J67" i="19" s="1"/>
  <c r="T247" i="19"/>
  <c r="BK327" i="19"/>
  <c r="J327" i="19" s="1"/>
  <c r="J69" i="19" s="1"/>
  <c r="R404" i="19"/>
  <c r="R428" i="19"/>
  <c r="P84" i="20"/>
  <c r="P83" i="20" s="1"/>
  <c r="P82" i="20" s="1"/>
  <c r="AU73" i="1" s="1"/>
  <c r="BK84" i="21"/>
  <c r="J84" i="21" s="1"/>
  <c r="J61" i="21" s="1"/>
  <c r="R84" i="21"/>
  <c r="T91" i="21"/>
  <c r="BK171" i="2"/>
  <c r="J171" i="2"/>
  <c r="J68" i="2" s="1"/>
  <c r="BK178" i="5"/>
  <c r="J178" i="5" s="1"/>
  <c r="J63" i="5" s="1"/>
  <c r="BK93" i="7"/>
  <c r="J93" i="7" s="1"/>
  <c r="J61" i="7" s="1"/>
  <c r="BK227" i="8"/>
  <c r="J227" i="8" s="1"/>
  <c r="J65" i="8" s="1"/>
  <c r="BK91" i="9"/>
  <c r="J91" i="9" s="1"/>
  <c r="J61" i="9" s="1"/>
  <c r="BK182" i="10"/>
  <c r="J182" i="10" s="1"/>
  <c r="J64" i="10" s="1"/>
  <c r="BK187" i="10"/>
  <c r="J187" i="10" s="1"/>
  <c r="J65" i="10" s="1"/>
  <c r="BK371" i="12"/>
  <c r="J371" i="12" s="1"/>
  <c r="J71" i="12" s="1"/>
  <c r="BK234" i="13"/>
  <c r="J234" i="13" s="1"/>
  <c r="J64" i="13" s="1"/>
  <c r="BK263" i="3"/>
  <c r="J263" i="3" s="1"/>
  <c r="J66" i="3" s="1"/>
  <c r="BK540" i="6"/>
  <c r="J540" i="6" s="1"/>
  <c r="J72" i="6" s="1"/>
  <c r="BK281" i="11"/>
  <c r="J281" i="11" s="1"/>
  <c r="J64" i="11" s="1"/>
  <c r="BK296" i="11"/>
  <c r="J296" i="11"/>
  <c r="J67" i="11" s="1"/>
  <c r="BK158" i="2"/>
  <c r="J158" i="2" s="1"/>
  <c r="J66" i="2" s="1"/>
  <c r="BK253" i="3"/>
  <c r="J253" i="3" s="1"/>
  <c r="J63" i="3" s="1"/>
  <c r="BK258" i="3"/>
  <c r="J258" i="3" s="1"/>
  <c r="J64" i="3" s="1"/>
  <c r="BK91" i="4"/>
  <c r="J91" i="4" s="1"/>
  <c r="J61" i="4" s="1"/>
  <c r="BK226" i="4"/>
  <c r="J226" i="4" s="1"/>
  <c r="J65" i="4" s="1"/>
  <c r="BK297" i="4"/>
  <c r="J297" i="4" s="1"/>
  <c r="J69" i="4" s="1"/>
  <c r="BK493" i="6"/>
  <c r="J493" i="6"/>
  <c r="J69" i="6" s="1"/>
  <c r="BK189" i="7"/>
  <c r="J189" i="7" s="1"/>
  <c r="J65" i="7" s="1"/>
  <c r="BK238" i="7"/>
  <c r="J238" i="7"/>
  <c r="J69" i="7" s="1"/>
  <c r="BK243" i="7"/>
  <c r="J243" i="7"/>
  <c r="J71" i="7" s="1"/>
  <c r="BK235" i="8"/>
  <c r="J235" i="8"/>
  <c r="J66" i="8" s="1"/>
  <c r="BK231" i="9"/>
  <c r="J231" i="9" s="1"/>
  <c r="J69" i="9" s="1"/>
  <c r="BK318" i="13"/>
  <c r="J318" i="13" s="1"/>
  <c r="J68" i="13" s="1"/>
  <c r="BK538" i="14"/>
  <c r="J538" i="14" s="1"/>
  <c r="J69" i="14" s="1"/>
  <c r="BK167" i="15"/>
  <c r="J167" i="15" s="1"/>
  <c r="J63" i="15" s="1"/>
  <c r="BK159" i="16"/>
  <c r="J159" i="16" s="1"/>
  <c r="J64" i="16" s="1"/>
  <c r="BK95" i="17"/>
  <c r="J95" i="17" s="1"/>
  <c r="J62" i="17" s="1"/>
  <c r="BK161" i="2"/>
  <c r="J161" i="2" s="1"/>
  <c r="J67" i="2" s="1"/>
  <c r="BK184" i="5"/>
  <c r="BK862" i="14"/>
  <c r="J862" i="14"/>
  <c r="J79" i="14" s="1"/>
  <c r="BK440" i="19"/>
  <c r="J440" i="19"/>
  <c r="J73" i="19" s="1"/>
  <c r="BK148" i="14"/>
  <c r="J148" i="14"/>
  <c r="J63" i="14" s="1"/>
  <c r="BK676" i="15"/>
  <c r="J676" i="15" s="1"/>
  <c r="J76" i="15" s="1"/>
  <c r="BK679" i="15"/>
  <c r="J679" i="15" s="1"/>
  <c r="J77" i="15" s="1"/>
  <c r="BK686" i="15"/>
  <c r="J686" i="15" s="1"/>
  <c r="J79" i="15" s="1"/>
  <c r="BK91" i="18"/>
  <c r="J91" i="18" s="1"/>
  <c r="J62" i="18" s="1"/>
  <c r="BK153" i="19"/>
  <c r="J153" i="19" s="1"/>
  <c r="J65" i="19" s="1"/>
  <c r="BK425" i="19"/>
  <c r="J425" i="19" s="1"/>
  <c r="J71" i="19" s="1"/>
  <c r="BK457" i="6"/>
  <c r="J457" i="6" s="1"/>
  <c r="J65" i="6" s="1"/>
  <c r="BK221" i="8"/>
  <c r="J221" i="8" s="1"/>
  <c r="J63" i="8" s="1"/>
  <c r="BK176" i="9"/>
  <c r="J176" i="9" s="1"/>
  <c r="J65" i="9" s="1"/>
  <c r="BK329" i="12"/>
  <c r="J329" i="12" s="1"/>
  <c r="J67" i="12" s="1"/>
  <c r="BK131" i="19"/>
  <c r="J131" i="19" s="1"/>
  <c r="J62" i="19" s="1"/>
  <c r="BK91" i="20"/>
  <c r="J91" i="20"/>
  <c r="J62" i="20" s="1"/>
  <c r="F55" i="21"/>
  <c r="BE92" i="21"/>
  <c r="E72" i="21"/>
  <c r="BE85" i="21"/>
  <c r="BE88" i="21"/>
  <c r="J84" i="20"/>
  <c r="J61" i="20" s="1"/>
  <c r="J52" i="21"/>
  <c r="BE101" i="21"/>
  <c r="BE95" i="21"/>
  <c r="BE98" i="21"/>
  <c r="J52" i="20"/>
  <c r="BE85" i="20"/>
  <c r="BE87" i="20"/>
  <c r="BE89" i="20"/>
  <c r="BE92" i="20"/>
  <c r="E48" i="20"/>
  <c r="F55" i="20"/>
  <c r="E48" i="19"/>
  <c r="F55" i="19"/>
  <c r="J87" i="19"/>
  <c r="BE100" i="19"/>
  <c r="BE123" i="19"/>
  <c r="BE141" i="19"/>
  <c r="BE149" i="19"/>
  <c r="BE165" i="19"/>
  <c r="BE181" i="19"/>
  <c r="BE189" i="19"/>
  <c r="BE239" i="19"/>
  <c r="BE250" i="19"/>
  <c r="BE253" i="19"/>
  <c r="BE265" i="19"/>
  <c r="BE274" i="19"/>
  <c r="BE285" i="19"/>
  <c r="BE293" i="19"/>
  <c r="BE297" i="19"/>
  <c r="BE301" i="19"/>
  <c r="BE308" i="19"/>
  <c r="BE315" i="19"/>
  <c r="BE339" i="19"/>
  <c r="BE346" i="19"/>
  <c r="BE357" i="19"/>
  <c r="BE382" i="19"/>
  <c r="BE413" i="19"/>
  <c r="BE417" i="19"/>
  <c r="BE436" i="19"/>
  <c r="BE441" i="19"/>
  <c r="BE96" i="19"/>
  <c r="BE104" i="19"/>
  <c r="BE160" i="19"/>
  <c r="BE169" i="19"/>
  <c r="BE173" i="19"/>
  <c r="BE185" i="19"/>
  <c r="BE197" i="19"/>
  <c r="BE206" i="19"/>
  <c r="BE215" i="19"/>
  <c r="BE222" i="19"/>
  <c r="BE241" i="19"/>
  <c r="BE256" i="19"/>
  <c r="BE277" i="19"/>
  <c r="BE281" i="19"/>
  <c r="BE323" i="19"/>
  <c r="BE328" i="19"/>
  <c r="BE332" i="19"/>
  <c r="BE363" i="19"/>
  <c r="BE372" i="19"/>
  <c r="BE388" i="19"/>
  <c r="BE421" i="19"/>
  <c r="BE429" i="19"/>
  <c r="BE109" i="19"/>
  <c r="BE114" i="19"/>
  <c r="BE118" i="19"/>
  <c r="BE128" i="19"/>
  <c r="BE132" i="19"/>
  <c r="BE145" i="19"/>
  <c r="BE154" i="19"/>
  <c r="BE177" i="19"/>
  <c r="BE211" i="19"/>
  <c r="BE219" i="19"/>
  <c r="BE228" i="19"/>
  <c r="BE231" i="19"/>
  <c r="BE259" i="19"/>
  <c r="BE262" i="19"/>
  <c r="BE305" i="19"/>
  <c r="BE319" i="19"/>
  <c r="BE336" i="19"/>
  <c r="BE354" i="19"/>
  <c r="BE375" i="19"/>
  <c r="BE378" i="19"/>
  <c r="BE392" i="19"/>
  <c r="BE396" i="19"/>
  <c r="BE405" i="19"/>
  <c r="BE409" i="19"/>
  <c r="BE432" i="19"/>
  <c r="BE138" i="19"/>
  <c r="BE151" i="19"/>
  <c r="BE193" i="19"/>
  <c r="BE201" i="19"/>
  <c r="BE225" i="19"/>
  <c r="BE235" i="19"/>
  <c r="BE243" i="19"/>
  <c r="BE245" i="19"/>
  <c r="BE248" i="19"/>
  <c r="BE268" i="19"/>
  <c r="BE271" i="19"/>
  <c r="BE289" i="19"/>
  <c r="BE311" i="19"/>
  <c r="BE342" i="19"/>
  <c r="BE350" i="19"/>
  <c r="BE360" i="19"/>
  <c r="BE366" i="19"/>
  <c r="BE369" i="19"/>
  <c r="BE386" i="19"/>
  <c r="BE400" i="19"/>
  <c r="BE426" i="19"/>
  <c r="BE85" i="18"/>
  <c r="BE92" i="18"/>
  <c r="E48" i="18"/>
  <c r="F55" i="18"/>
  <c r="BE87" i="18"/>
  <c r="BK83" i="17"/>
  <c r="BK82" i="17"/>
  <c r="J82" i="17" s="1"/>
  <c r="J59" i="17" s="1"/>
  <c r="J52" i="18"/>
  <c r="BE89" i="18"/>
  <c r="E48" i="17"/>
  <c r="BE96" i="17"/>
  <c r="F55" i="17"/>
  <c r="BE87" i="17"/>
  <c r="J52" i="17"/>
  <c r="BE85" i="17"/>
  <c r="BE93" i="17"/>
  <c r="BE89" i="17"/>
  <c r="BE91" i="17"/>
  <c r="J52" i="16"/>
  <c r="E74" i="16"/>
  <c r="BE87" i="16"/>
  <c r="BE100" i="16"/>
  <c r="BE111" i="16"/>
  <c r="BE117" i="16"/>
  <c r="BE125" i="16"/>
  <c r="BE132" i="16"/>
  <c r="BE160" i="16"/>
  <c r="F55" i="16"/>
  <c r="BE91" i="16"/>
  <c r="BE95" i="16"/>
  <c r="BE107" i="16"/>
  <c r="BE128" i="16"/>
  <c r="BE137" i="16"/>
  <c r="BE140" i="16"/>
  <c r="BE148" i="16"/>
  <c r="BE155" i="16"/>
  <c r="BE105" i="16"/>
  <c r="BE121" i="16"/>
  <c r="BE144" i="16"/>
  <c r="BE152" i="16"/>
  <c r="J52" i="15"/>
  <c r="BE114" i="15"/>
  <c r="BE119" i="15"/>
  <c r="BE184" i="15"/>
  <c r="BE188" i="15"/>
  <c r="BE229" i="15"/>
  <c r="BE240" i="15"/>
  <c r="BE246" i="15"/>
  <c r="BE252" i="15"/>
  <c r="BE258" i="15"/>
  <c r="BE271" i="15"/>
  <c r="BE273" i="15"/>
  <c r="BE276" i="15"/>
  <c r="BE346" i="15"/>
  <c r="BE363" i="15"/>
  <c r="BE367" i="15"/>
  <c r="BE407" i="15"/>
  <c r="BE413" i="15"/>
  <c r="BE428" i="15"/>
  <c r="BE433" i="15"/>
  <c r="BE491" i="15"/>
  <c r="BE495" i="15"/>
  <c r="BE515" i="15"/>
  <c r="BE560" i="15"/>
  <c r="BE585" i="15"/>
  <c r="BE623" i="15"/>
  <c r="BE631" i="15"/>
  <c r="BE655" i="15"/>
  <c r="E89" i="15"/>
  <c r="F96" i="15"/>
  <c r="BE102" i="15"/>
  <c r="BE105" i="15"/>
  <c r="BE142" i="15"/>
  <c r="BE149" i="15"/>
  <c r="BE153" i="15"/>
  <c r="BE168" i="15"/>
  <c r="BE174" i="15"/>
  <c r="BE193" i="15"/>
  <c r="BE203" i="15"/>
  <c r="BE217" i="15"/>
  <c r="BE238" i="15"/>
  <c r="BE250" i="15"/>
  <c r="BE268" i="15"/>
  <c r="BE278" i="15"/>
  <c r="BE282" i="15"/>
  <c r="BE288" i="15"/>
  <c r="BE305" i="15"/>
  <c r="BE328" i="15"/>
  <c r="BE355" i="15"/>
  <c r="BE376" i="15"/>
  <c r="BE459" i="15"/>
  <c r="BE475" i="15"/>
  <c r="BE478" i="15"/>
  <c r="BE482" i="15"/>
  <c r="BE512" i="15"/>
  <c r="BE536" i="15"/>
  <c r="BE571" i="15"/>
  <c r="BE576" i="15"/>
  <c r="BE579" i="15"/>
  <c r="BE582" i="15"/>
  <c r="BE616" i="15"/>
  <c r="BE634" i="15"/>
  <c r="BE157" i="15"/>
  <c r="BE159" i="15"/>
  <c r="BE163" i="15"/>
  <c r="BE208" i="15"/>
  <c r="BE221" i="15"/>
  <c r="BE234" i="15"/>
  <c r="BE244" i="15"/>
  <c r="BE260" i="15"/>
  <c r="BE264" i="15"/>
  <c r="BE284" i="15"/>
  <c r="BE295" i="15"/>
  <c r="BE299" i="15"/>
  <c r="BE319" i="15"/>
  <c r="BE359" i="15"/>
  <c r="BE396" i="15"/>
  <c r="BE400" i="15"/>
  <c r="BE417" i="15"/>
  <c r="BE421" i="15"/>
  <c r="BE438" i="15"/>
  <c r="BE442" i="15"/>
  <c r="BE486" i="15"/>
  <c r="BE499" i="15"/>
  <c r="BE523" i="15"/>
  <c r="BE607" i="15"/>
  <c r="BE109" i="15"/>
  <c r="BE165" i="15"/>
  <c r="BE181" i="15"/>
  <c r="BE199" i="15"/>
  <c r="BE225" i="15"/>
  <c r="BE254" i="15"/>
  <c r="BE266" i="15"/>
  <c r="BE310" i="15"/>
  <c r="BE314" i="15"/>
  <c r="BE342" i="15"/>
  <c r="BE350" i="15"/>
  <c r="BE372" i="15"/>
  <c r="BE424" i="15"/>
  <c r="BE446" i="15"/>
  <c r="BE450" i="15"/>
  <c r="BE456" i="15"/>
  <c r="BE467" i="15"/>
  <c r="BE519" i="15"/>
  <c r="BE527" i="15"/>
  <c r="BE549" i="15"/>
  <c r="BE556" i="15"/>
  <c r="BE564" i="15"/>
  <c r="BE567" i="15"/>
  <c r="BE588" i="15"/>
  <c r="BE610" i="15"/>
  <c r="BE639" i="15"/>
  <c r="BE651" i="15"/>
  <c r="BE664" i="15"/>
  <c r="BE667" i="15"/>
  <c r="BE671" i="15"/>
  <c r="BE677" i="15"/>
  <c r="BE680" i="15"/>
  <c r="BE687" i="15"/>
  <c r="BE107" i="14"/>
  <c r="BE123" i="14"/>
  <c r="BE156" i="14"/>
  <c r="BE179" i="14"/>
  <c r="BE199" i="14"/>
  <c r="BE223" i="14"/>
  <c r="BE269" i="14"/>
  <c r="BE286" i="14"/>
  <c r="BE302" i="14"/>
  <c r="BE319" i="14"/>
  <c r="BE331" i="14"/>
  <c r="BE340" i="14"/>
  <c r="BE345" i="14"/>
  <c r="BE375" i="14"/>
  <c r="BE392" i="14"/>
  <c r="BE466" i="14"/>
  <c r="BE470" i="14"/>
  <c r="BE474" i="14"/>
  <c r="BE478" i="14"/>
  <c r="BE482" i="14"/>
  <c r="BE525" i="14"/>
  <c r="BE534" i="14"/>
  <c r="BE539" i="14"/>
  <c r="BE545" i="14"/>
  <c r="BE585" i="14"/>
  <c r="BE646" i="14"/>
  <c r="BE652" i="14"/>
  <c r="BE664" i="14"/>
  <c r="BE672" i="14"/>
  <c r="BE677" i="14"/>
  <c r="BE740" i="14"/>
  <c r="BE817" i="14"/>
  <c r="BE828" i="14"/>
  <c r="BE838" i="14"/>
  <c r="BE846" i="14"/>
  <c r="BE850" i="14"/>
  <c r="BE854" i="14"/>
  <c r="BE858" i="14"/>
  <c r="BE863" i="14"/>
  <c r="E48" i="14"/>
  <c r="F55" i="14"/>
  <c r="BE112" i="14"/>
  <c r="BE119" i="14"/>
  <c r="BE128" i="14"/>
  <c r="BE163" i="14"/>
  <c r="BE168" i="14"/>
  <c r="BE171" i="14"/>
  <c r="BE174" i="14"/>
  <c r="BE192" i="14"/>
  <c r="BE211" i="14"/>
  <c r="BE235" i="14"/>
  <c r="BE248" i="14"/>
  <c r="BE273" i="14"/>
  <c r="BE278" i="14"/>
  <c r="BE283" i="14"/>
  <c r="BE290" i="14"/>
  <c r="BE306" i="14"/>
  <c r="BE312" i="14"/>
  <c r="BE326" i="14"/>
  <c r="BE360" i="14"/>
  <c r="BE364" i="14"/>
  <c r="BE370" i="14"/>
  <c r="BE383" i="14"/>
  <c r="BE400" i="14"/>
  <c r="BE412" i="14"/>
  <c r="BE461" i="14"/>
  <c r="BE513" i="14"/>
  <c r="BE516" i="14"/>
  <c r="BE529" i="14"/>
  <c r="BE554" i="14"/>
  <c r="BE573" i="14"/>
  <c r="BE577" i="14"/>
  <c r="BE599" i="14"/>
  <c r="BE607" i="14"/>
  <c r="BE615" i="14"/>
  <c r="BE624" i="14"/>
  <c r="BE628" i="14"/>
  <c r="BE668" i="14"/>
  <c r="BE684" i="14"/>
  <c r="BE703" i="14"/>
  <c r="BE714" i="14"/>
  <c r="BE753" i="14"/>
  <c r="BE797" i="14"/>
  <c r="BE804" i="14"/>
  <c r="BE809" i="14"/>
  <c r="BE821" i="14"/>
  <c r="BE102" i="14"/>
  <c r="BE144" i="14"/>
  <c r="BE205" i="14"/>
  <c r="BE214" i="14"/>
  <c r="BE251" i="14"/>
  <c r="BE294" i="14"/>
  <c r="BE354" i="14"/>
  <c r="BE388" i="14"/>
  <c r="BE403" i="14"/>
  <c r="BE407" i="14"/>
  <c r="BE418" i="14"/>
  <c r="BE422" i="14"/>
  <c r="BE430" i="14"/>
  <c r="BE444" i="14"/>
  <c r="BE450" i="14"/>
  <c r="BE488" i="14"/>
  <c r="BE494" i="14"/>
  <c r="BE502" i="14"/>
  <c r="BE551" i="14"/>
  <c r="BE563" i="14"/>
  <c r="BE591" i="14"/>
  <c r="BE595" i="14"/>
  <c r="BE633" i="14"/>
  <c r="BE639" i="14"/>
  <c r="BE642" i="14"/>
  <c r="BE656" i="14"/>
  <c r="BE680" i="14"/>
  <c r="BE689" i="14"/>
  <c r="BE708" i="14"/>
  <c r="BE723" i="14"/>
  <c r="BE728" i="14"/>
  <c r="BE737" i="14"/>
  <c r="BE742" i="14"/>
  <c r="BE748" i="14"/>
  <c r="BE751" i="14"/>
  <c r="BE759" i="14"/>
  <c r="BE777" i="14"/>
  <c r="BE793" i="14"/>
  <c r="BE812" i="14"/>
  <c r="BE832" i="14"/>
  <c r="BE842" i="14"/>
  <c r="J52" i="14"/>
  <c r="BE133" i="14"/>
  <c r="BE138" i="14"/>
  <c r="BE149" i="14"/>
  <c r="BE184" i="14"/>
  <c r="BE195" i="14"/>
  <c r="BE226" i="14"/>
  <c r="BE232" i="14"/>
  <c r="BE265" i="14"/>
  <c r="BE288" i="14"/>
  <c r="BE351" i="14"/>
  <c r="BE396" i="14"/>
  <c r="BE436" i="14"/>
  <c r="BE498" i="14"/>
  <c r="BE508" i="14"/>
  <c r="BE511" i="14"/>
  <c r="BE520" i="14"/>
  <c r="BE558" i="14"/>
  <c r="BE570" i="14"/>
  <c r="BE660" i="14"/>
  <c r="BE694" i="14"/>
  <c r="BE698" i="14"/>
  <c r="BE717" i="14"/>
  <c r="BE732" i="14"/>
  <c r="BE773" i="14"/>
  <c r="BE784" i="14"/>
  <c r="BE788" i="14"/>
  <c r="BE824" i="14"/>
  <c r="E48" i="13"/>
  <c r="F55" i="13"/>
  <c r="BE128" i="13"/>
  <c r="BE148" i="13"/>
  <c r="BE159" i="13"/>
  <c r="BE166" i="13"/>
  <c r="BE170" i="13"/>
  <c r="BE212" i="13"/>
  <c r="BE216" i="13"/>
  <c r="BE230" i="13"/>
  <c r="BE262" i="13"/>
  <c r="BE277" i="13"/>
  <c r="BE279" i="13"/>
  <c r="BE310" i="13"/>
  <c r="J52" i="13"/>
  <c r="BE91" i="13"/>
  <c r="BE133" i="13"/>
  <c r="BE140" i="13"/>
  <c r="BE163" i="13"/>
  <c r="BE179" i="13"/>
  <c r="BE202" i="13"/>
  <c r="BE225" i="13"/>
  <c r="BE235" i="13"/>
  <c r="BE241" i="13"/>
  <c r="BE258" i="13"/>
  <c r="BE94" i="13"/>
  <c r="BE97" i="13"/>
  <c r="BE101" i="13"/>
  <c r="BE105" i="13"/>
  <c r="BE174" i="13"/>
  <c r="BE182" i="13"/>
  <c r="BE191" i="13"/>
  <c r="BE208" i="13"/>
  <c r="BE245" i="13"/>
  <c r="BE253" i="13"/>
  <c r="BE267" i="13"/>
  <c r="BE290" i="13"/>
  <c r="BE297" i="13"/>
  <c r="BE314" i="13"/>
  <c r="BE319" i="13"/>
  <c r="BE155" i="13"/>
  <c r="BE198" i="13"/>
  <c r="BE205" i="13"/>
  <c r="BE221" i="13"/>
  <c r="BE301" i="13"/>
  <c r="BE304" i="13"/>
  <c r="J52" i="12"/>
  <c r="BE139" i="12"/>
  <c r="BE167" i="12"/>
  <c r="BE178" i="12"/>
  <c r="BE186" i="12"/>
  <c r="BE248" i="12"/>
  <c r="BE316" i="12"/>
  <c r="BE94" i="12"/>
  <c r="BE100" i="12"/>
  <c r="BE104" i="12"/>
  <c r="BE135" i="12"/>
  <c r="BE163" i="12"/>
  <c r="BE225" i="12"/>
  <c r="BE230" i="12"/>
  <c r="BE260" i="12"/>
  <c r="BE320" i="12"/>
  <c r="E48" i="12"/>
  <c r="F55" i="12"/>
  <c r="BE112" i="12"/>
  <c r="BE118" i="12"/>
  <c r="BE125" i="12"/>
  <c r="BE146" i="12"/>
  <c r="BE155" i="12"/>
  <c r="BE174" i="12"/>
  <c r="BE193" i="12"/>
  <c r="BE197" i="12"/>
  <c r="BE201" i="12"/>
  <c r="BE210" i="12"/>
  <c r="BE213" i="12"/>
  <c r="BE220" i="12"/>
  <c r="BE234" i="12"/>
  <c r="BE238" i="12"/>
  <c r="BE256" i="12"/>
  <c r="BE258" i="12"/>
  <c r="BE268" i="12"/>
  <c r="BE278" i="12"/>
  <c r="BE283" i="12"/>
  <c r="BE289" i="12"/>
  <c r="BE293" i="12"/>
  <c r="BE297" i="12"/>
  <c r="BE325" i="12"/>
  <c r="BE342" i="12"/>
  <c r="BE354" i="12"/>
  <c r="BE345" i="12"/>
  <c r="BE349" i="12"/>
  <c r="BE108" i="12"/>
  <c r="BE217" i="12"/>
  <c r="BE252" i="12"/>
  <c r="BE262" i="12"/>
  <c r="BE264" i="12"/>
  <c r="BE270" i="12"/>
  <c r="BE272" i="12"/>
  <c r="BE274" i="12"/>
  <c r="BE280" i="12"/>
  <c r="BE301" i="12"/>
  <c r="BE307" i="12"/>
  <c r="BE311" i="12"/>
  <c r="BE330" i="12"/>
  <c r="BE363" i="12"/>
  <c r="BE367" i="12"/>
  <c r="BE372" i="12"/>
  <c r="BE336" i="12"/>
  <c r="BE359" i="12"/>
  <c r="E48" i="11"/>
  <c r="BE100" i="11"/>
  <c r="BE144" i="11"/>
  <c r="BE163" i="11"/>
  <c r="BE200" i="11"/>
  <c r="BE232" i="11"/>
  <c r="BE263" i="11"/>
  <c r="F55" i="11"/>
  <c r="BE115" i="11"/>
  <c r="BE125" i="11"/>
  <c r="BE131" i="11"/>
  <c r="BE156" i="11"/>
  <c r="BE174" i="11"/>
  <c r="BE208" i="11"/>
  <c r="BE212" i="11"/>
  <c r="BE228" i="11"/>
  <c r="BE236" i="11"/>
  <c r="BE259" i="11"/>
  <c r="BE268" i="11"/>
  <c r="BE272" i="11"/>
  <c r="BE288" i="11"/>
  <c r="J52" i="11"/>
  <c r="BE96" i="11"/>
  <c r="BE149" i="11"/>
  <c r="BE180" i="11"/>
  <c r="BE188" i="11"/>
  <c r="BE216" i="11"/>
  <c r="BE249" i="11"/>
  <c r="BE255" i="11"/>
  <c r="BE282" i="11"/>
  <c r="BE90" i="11"/>
  <c r="BE104" i="11"/>
  <c r="BE109" i="11"/>
  <c r="BE119" i="11"/>
  <c r="BE137" i="11"/>
  <c r="BE141" i="11"/>
  <c r="BE204" i="11"/>
  <c r="BE222" i="11"/>
  <c r="BE240" i="11"/>
  <c r="BE246" i="11"/>
  <c r="BE277" i="11"/>
  <c r="BE292" i="11"/>
  <c r="BE297" i="11"/>
  <c r="E48" i="10"/>
  <c r="F55" i="10"/>
  <c r="BE88" i="10"/>
  <c r="BE95" i="10"/>
  <c r="BE107" i="10"/>
  <c r="BE121" i="10"/>
  <c r="BE155" i="10"/>
  <c r="BE161" i="10"/>
  <c r="BE114" i="10"/>
  <c r="BE143" i="10"/>
  <c r="BE157" i="10"/>
  <c r="BE163" i="10"/>
  <c r="BE169" i="10"/>
  <c r="BE178" i="10"/>
  <c r="J52" i="10"/>
  <c r="BE99" i="10"/>
  <c r="BE103" i="10"/>
  <c r="BE172" i="10"/>
  <c r="BE183" i="10"/>
  <c r="BE188" i="10"/>
  <c r="BE128" i="10"/>
  <c r="BE135" i="10"/>
  <c r="BE139" i="10"/>
  <c r="BE151" i="10"/>
  <c r="BE165" i="10"/>
  <c r="E48" i="9"/>
  <c r="F55" i="9"/>
  <c r="J83" i="9"/>
  <c r="BE97" i="9"/>
  <c r="BE102" i="9"/>
  <c r="BE106" i="9"/>
  <c r="BE121" i="9"/>
  <c r="BE163" i="9"/>
  <c r="BE167" i="9"/>
  <c r="BE192" i="9"/>
  <c r="BE196" i="9"/>
  <c r="BE92" i="9"/>
  <c r="BE110" i="9"/>
  <c r="BE154" i="9"/>
  <c r="BE158" i="9"/>
  <c r="BE172" i="9"/>
  <c r="BE177" i="9"/>
  <c r="BE183" i="9"/>
  <c r="BE188" i="9"/>
  <c r="BE209" i="9"/>
  <c r="BE214" i="9"/>
  <c r="BE232" i="9"/>
  <c r="BE115" i="9"/>
  <c r="BE144" i="9"/>
  <c r="BE204" i="9"/>
  <c r="BE217" i="9"/>
  <c r="BE220" i="9"/>
  <c r="BE125" i="9"/>
  <c r="BE130" i="9"/>
  <c r="BE135" i="9"/>
  <c r="BE140" i="9"/>
  <c r="BE200" i="9"/>
  <c r="BE223" i="9"/>
  <c r="F55" i="8"/>
  <c r="J80" i="8"/>
  <c r="BE89" i="8"/>
  <c r="BE116" i="8"/>
  <c r="BE161" i="8"/>
  <c r="BE208" i="8"/>
  <c r="BE236" i="8"/>
  <c r="E76" i="8"/>
  <c r="BE99" i="8"/>
  <c r="BE119" i="8"/>
  <c r="BE132" i="8"/>
  <c r="BE143" i="8"/>
  <c r="BE151" i="8"/>
  <c r="BE176" i="8"/>
  <c r="BE180" i="8"/>
  <c r="BE195" i="8"/>
  <c r="BE212" i="8"/>
  <c r="BE217" i="8"/>
  <c r="BE228" i="8"/>
  <c r="BE107" i="8"/>
  <c r="BE112" i="8"/>
  <c r="BE155" i="8"/>
  <c r="BE167" i="8"/>
  <c r="BE172" i="8"/>
  <c r="BE186" i="8"/>
  <c r="BE199" i="8"/>
  <c r="BE203" i="8"/>
  <c r="BE95" i="8"/>
  <c r="BE124" i="8"/>
  <c r="BE139" i="8"/>
  <c r="BE147" i="8"/>
  <c r="BE189" i="8"/>
  <c r="BE222" i="8"/>
  <c r="J463" i="6"/>
  <c r="J67" i="6" s="1"/>
  <c r="F88" i="7"/>
  <c r="BE94" i="7"/>
  <c r="BE180" i="7"/>
  <c r="BE190" i="7"/>
  <c r="BE196" i="7"/>
  <c r="BE203" i="7"/>
  <c r="BE210" i="7"/>
  <c r="E48" i="7"/>
  <c r="BE101" i="7"/>
  <c r="BE109" i="7"/>
  <c r="BE128" i="7"/>
  <c r="BE138" i="7"/>
  <c r="BE148" i="7"/>
  <c r="BE154" i="7"/>
  <c r="BE171" i="7"/>
  <c r="BE176" i="7"/>
  <c r="BE200" i="7"/>
  <c r="BE219" i="7"/>
  <c r="BE227" i="7"/>
  <c r="BE230" i="7"/>
  <c r="J85" i="7"/>
  <c r="BE105" i="7"/>
  <c r="BE116" i="7"/>
  <c r="BE120" i="7"/>
  <c r="BE144" i="7"/>
  <c r="BE160" i="7"/>
  <c r="BE167" i="7"/>
  <c r="BE125" i="7"/>
  <c r="BE134" i="7"/>
  <c r="BE185" i="7"/>
  <c r="BE207" i="7"/>
  <c r="BE214" i="7"/>
  <c r="BE234" i="7"/>
  <c r="BE239" i="7"/>
  <c r="BE244" i="7"/>
  <c r="F89" i="6"/>
  <c r="BE95" i="6"/>
  <c r="BE150" i="6"/>
  <c r="BE279" i="6"/>
  <c r="BE306" i="6"/>
  <c r="BE313" i="6"/>
  <c r="BE332" i="6"/>
  <c r="BE369" i="6"/>
  <c r="BE410" i="6"/>
  <c r="BE445" i="6"/>
  <c r="BE487" i="6"/>
  <c r="BE517" i="6"/>
  <c r="BE523" i="6"/>
  <c r="BE532" i="6"/>
  <c r="BE537" i="6"/>
  <c r="BE541" i="6"/>
  <c r="J52" i="6"/>
  <c r="E82" i="6"/>
  <c r="BE101" i="6"/>
  <c r="BE106" i="6"/>
  <c r="BE118" i="6"/>
  <c r="BE174" i="6"/>
  <c r="BE180" i="6"/>
  <c r="BE190" i="6"/>
  <c r="BE194" i="6"/>
  <c r="BE226" i="6"/>
  <c r="BE273" i="6"/>
  <c r="BE295" i="6"/>
  <c r="BE323" i="6"/>
  <c r="BE345" i="6"/>
  <c r="BE349" i="6"/>
  <c r="BE363" i="6"/>
  <c r="BE390" i="6"/>
  <c r="BE396" i="6"/>
  <c r="BE406" i="6"/>
  <c r="BE419" i="6"/>
  <c r="BE434" i="6"/>
  <c r="BE438" i="6"/>
  <c r="BE450" i="6"/>
  <c r="BE458" i="6"/>
  <c r="BE508" i="6"/>
  <c r="BE511" i="6"/>
  <c r="J184" i="5"/>
  <c r="J65" i="5" s="1"/>
  <c r="BE156" i="6"/>
  <c r="BE163" i="6"/>
  <c r="BE202" i="6"/>
  <c r="BE205" i="6"/>
  <c r="BE219" i="6"/>
  <c r="BE249" i="6"/>
  <c r="BE267" i="6"/>
  <c r="BE327" i="6"/>
  <c r="BE341" i="6"/>
  <c r="BE353" i="6"/>
  <c r="BE357" i="6"/>
  <c r="BE375" i="6"/>
  <c r="BE386" i="6"/>
  <c r="BE402" i="6"/>
  <c r="BE415" i="6"/>
  <c r="BE424" i="6"/>
  <c r="BE429" i="6"/>
  <c r="BE475" i="6"/>
  <c r="BE122" i="6"/>
  <c r="BE129" i="6"/>
  <c r="BE143" i="6"/>
  <c r="BE170" i="6"/>
  <c r="BE185" i="6"/>
  <c r="BE198" i="6"/>
  <c r="BE210" i="6"/>
  <c r="BE214" i="6"/>
  <c r="BE238" i="6"/>
  <c r="BE244" i="6"/>
  <c r="BE255" i="6"/>
  <c r="BE261" i="6"/>
  <c r="BE285" i="6"/>
  <c r="BE290" i="6"/>
  <c r="BE319" i="6"/>
  <c r="BE336" i="6"/>
  <c r="BE381" i="6"/>
  <c r="BE464" i="6"/>
  <c r="BE478" i="6"/>
  <c r="BE482" i="6"/>
  <c r="BE494" i="6"/>
  <c r="BE499" i="6"/>
  <c r="E48" i="5"/>
  <c r="J82" i="5"/>
  <c r="BE91" i="5"/>
  <c r="BE138" i="5"/>
  <c r="BE157" i="5"/>
  <c r="BE133" i="5"/>
  <c r="BE145" i="5"/>
  <c r="BE179" i="5"/>
  <c r="BE185" i="5"/>
  <c r="BE191" i="5"/>
  <c r="F85" i="5"/>
  <c r="BE96" i="5"/>
  <c r="BE102" i="5"/>
  <c r="BE141" i="5"/>
  <c r="BE149" i="5"/>
  <c r="BE162" i="5"/>
  <c r="BE171" i="5"/>
  <c r="BE106" i="5"/>
  <c r="BE112" i="5"/>
  <c r="BE127" i="5"/>
  <c r="BE166" i="5"/>
  <c r="BE176" i="5"/>
  <c r="BE194" i="5"/>
  <c r="BE210" i="5"/>
  <c r="BE213" i="5"/>
  <c r="J83" i="4"/>
  <c r="F86" i="4"/>
  <c r="BE92" i="4"/>
  <c r="BE101" i="4"/>
  <c r="BE123" i="4"/>
  <c r="BE138" i="4"/>
  <c r="BE145" i="4"/>
  <c r="BE183" i="4"/>
  <c r="BE187" i="4"/>
  <c r="BE195" i="4"/>
  <c r="BE213" i="4"/>
  <c r="BE227" i="4"/>
  <c r="BE242" i="4"/>
  <c r="BE250" i="4"/>
  <c r="BE271" i="4"/>
  <c r="BE275" i="4"/>
  <c r="BE298" i="4"/>
  <c r="E79" i="4"/>
  <c r="BE108" i="4"/>
  <c r="BE113" i="4"/>
  <c r="BE151" i="4"/>
  <c r="BE167" i="4"/>
  <c r="BE198" i="4"/>
  <c r="BE217" i="4"/>
  <c r="BE259" i="4"/>
  <c r="BE289" i="4"/>
  <c r="BE127" i="4"/>
  <c r="BE133" i="4"/>
  <c r="BE174" i="4"/>
  <c r="BE204" i="4"/>
  <c r="BE233" i="4"/>
  <c r="BE254" i="4"/>
  <c r="BE267" i="4"/>
  <c r="BE286" i="4"/>
  <c r="BE293" i="4"/>
  <c r="BE158" i="4"/>
  <c r="BE163" i="4"/>
  <c r="BE178" i="4"/>
  <c r="BE191" i="4"/>
  <c r="BE208" i="4"/>
  <c r="BE222" i="4"/>
  <c r="BE280" i="4"/>
  <c r="F55" i="3"/>
  <c r="BE96" i="3"/>
  <c r="BE117" i="3"/>
  <c r="BE125" i="3"/>
  <c r="BE130" i="3"/>
  <c r="BE165" i="3"/>
  <c r="BE189" i="3"/>
  <c r="BE193" i="3"/>
  <c r="BE227" i="3"/>
  <c r="BE231" i="3"/>
  <c r="BE235" i="3"/>
  <c r="BE240" i="3"/>
  <c r="BE244" i="3"/>
  <c r="BE264" i="3"/>
  <c r="E48" i="3"/>
  <c r="J52" i="3"/>
  <c r="BE89" i="3"/>
  <c r="BE100" i="3"/>
  <c r="BE135" i="3"/>
  <c r="BE212" i="3"/>
  <c r="BE109" i="3"/>
  <c r="BE121" i="3"/>
  <c r="BE174" i="3"/>
  <c r="BE183" i="3"/>
  <c r="BE197" i="3"/>
  <c r="BE218" i="3"/>
  <c r="BE221" i="3"/>
  <c r="BE249" i="3"/>
  <c r="BE254" i="3"/>
  <c r="BE259" i="3"/>
  <c r="BE105" i="3"/>
  <c r="BE113" i="3"/>
  <c r="BE150" i="3"/>
  <c r="BE202" i="3"/>
  <c r="BE208" i="3"/>
  <c r="BC56" i="1"/>
  <c r="E48" i="2"/>
  <c r="J52" i="2"/>
  <c r="BE126" i="2"/>
  <c r="BE143" i="2"/>
  <c r="BE146" i="2"/>
  <c r="BE155" i="2"/>
  <c r="BE159" i="2"/>
  <c r="F85" i="2"/>
  <c r="BE111" i="2"/>
  <c r="BE120" i="2"/>
  <c r="BE137" i="2"/>
  <c r="BE140" i="2"/>
  <c r="BE162" i="2"/>
  <c r="BE172" i="2"/>
  <c r="BE91" i="2"/>
  <c r="BE102" i="2"/>
  <c r="BE129" i="2"/>
  <c r="BE134" i="2"/>
  <c r="BE149" i="2"/>
  <c r="BE107" i="2"/>
  <c r="BE132" i="2"/>
  <c r="BC55" i="1"/>
  <c r="J34" i="4"/>
  <c r="AW57" i="1" s="1"/>
  <c r="F35" i="6"/>
  <c r="BB59" i="1"/>
  <c r="J34" i="10"/>
  <c r="AW63" i="1" s="1"/>
  <c r="F34" i="13"/>
  <c r="BA66" i="1" s="1"/>
  <c r="F34" i="19"/>
  <c r="BA72" i="1" s="1"/>
  <c r="F37" i="20"/>
  <c r="BD73" i="1" s="1"/>
  <c r="F35" i="20"/>
  <c r="BB73" i="1" s="1"/>
  <c r="F37" i="21"/>
  <c r="BD74" i="1" s="1"/>
  <c r="J34" i="2"/>
  <c r="AW55" i="1" s="1"/>
  <c r="J34" i="3"/>
  <c r="AW56" i="1" s="1"/>
  <c r="F37" i="5"/>
  <c r="BD58" i="1" s="1"/>
  <c r="J34" i="7"/>
  <c r="AW60" i="1" s="1"/>
  <c r="F36" i="7"/>
  <c r="BC60" i="1" s="1"/>
  <c r="F34" i="8"/>
  <c r="BA61" i="1" s="1"/>
  <c r="F36" i="10"/>
  <c r="BC63" i="1" s="1"/>
  <c r="F35" i="11"/>
  <c r="BB64" i="1" s="1"/>
  <c r="F37" i="13"/>
  <c r="BD66" i="1" s="1"/>
  <c r="F34" i="15"/>
  <c r="BA68" i="1" s="1"/>
  <c r="J34" i="19"/>
  <c r="AW72" i="1" s="1"/>
  <c r="F35" i="2"/>
  <c r="BB55" i="1" s="1"/>
  <c r="F34" i="5"/>
  <c r="BA58" i="1" s="1"/>
  <c r="J34" i="6"/>
  <c r="AW59" i="1" s="1"/>
  <c r="F34" i="7"/>
  <c r="BA60" i="1" s="1"/>
  <c r="J34" i="8"/>
  <c r="AW61" i="1" s="1"/>
  <c r="F35" i="9"/>
  <c r="BB62" i="1" s="1"/>
  <c r="F34" i="12"/>
  <c r="BA65" i="1"/>
  <c r="F36" i="12"/>
  <c r="BC65" i="1" s="1"/>
  <c r="J34" i="17"/>
  <c r="AW70" i="1" s="1"/>
  <c r="F37" i="18"/>
  <c r="BD71" i="1" s="1"/>
  <c r="F34" i="18"/>
  <c r="BA71" i="1" s="1"/>
  <c r="F36" i="20"/>
  <c r="BC73" i="1" s="1"/>
  <c r="F36" i="21"/>
  <c r="BC74" i="1" s="1"/>
  <c r="F35" i="13"/>
  <c r="BB66" i="1" s="1"/>
  <c r="F34" i="16"/>
  <c r="BA69" i="1" s="1"/>
  <c r="J34" i="16"/>
  <c r="AW69" i="1" s="1"/>
  <c r="F34" i="17"/>
  <c r="BA70" i="1" s="1"/>
  <c r="F35" i="17"/>
  <c r="BB70" i="1" s="1"/>
  <c r="F36" i="18"/>
  <c r="BC71" i="1"/>
  <c r="F35" i="18"/>
  <c r="BB71" i="1" s="1"/>
  <c r="F37" i="19"/>
  <c r="BD72" i="1" s="1"/>
  <c r="F34" i="2"/>
  <c r="BA55" i="1" s="1"/>
  <c r="F36" i="5"/>
  <c r="BC58" i="1" s="1"/>
  <c r="F34" i="6"/>
  <c r="BA59" i="1" s="1"/>
  <c r="F36" i="9"/>
  <c r="BC62" i="1" s="1"/>
  <c r="F37" i="12"/>
  <c r="BD65" i="1" s="1"/>
  <c r="F37" i="15"/>
  <c r="BD68" i="1" s="1"/>
  <c r="F37" i="4"/>
  <c r="BD57" i="1" s="1"/>
  <c r="F36" i="6"/>
  <c r="BC59" i="1" s="1"/>
  <c r="F37" i="8"/>
  <c r="BD61" i="1" s="1"/>
  <c r="J34" i="9"/>
  <c r="AW62" i="1" s="1"/>
  <c r="F34" i="10"/>
  <c r="BA63" i="1" s="1"/>
  <c r="F37" i="11"/>
  <c r="BD64" i="1" s="1"/>
  <c r="J34" i="13"/>
  <c r="AW66" i="1" s="1"/>
  <c r="F34" i="14"/>
  <c r="BA67" i="1" s="1"/>
  <c r="F36" i="14"/>
  <c r="BC67" i="1" s="1"/>
  <c r="J34" i="20"/>
  <c r="AW73" i="1" s="1"/>
  <c r="F34" i="3"/>
  <c r="BA56" i="1" s="1"/>
  <c r="F37" i="3"/>
  <c r="BD56" i="1" s="1"/>
  <c r="F35" i="7"/>
  <c r="BB60" i="1" s="1"/>
  <c r="F35" i="10"/>
  <c r="BB63" i="1" s="1"/>
  <c r="F35" i="14"/>
  <c r="BB67" i="1" s="1"/>
  <c r="F35" i="15"/>
  <c r="BB68" i="1" s="1"/>
  <c r="F36" i="19"/>
  <c r="BC72" i="1" s="1"/>
  <c r="F35" i="3"/>
  <c r="BB56" i="1" s="1"/>
  <c r="F35" i="8"/>
  <c r="BB61" i="1" s="1"/>
  <c r="F34" i="9"/>
  <c r="BA62" i="1" s="1"/>
  <c r="F36" i="11"/>
  <c r="BC64" i="1" s="1"/>
  <c r="J34" i="14"/>
  <c r="AW67" i="1" s="1"/>
  <c r="F35" i="12"/>
  <c r="BB65" i="1" s="1"/>
  <c r="F35" i="16"/>
  <c r="BB69" i="1"/>
  <c r="J34" i="18"/>
  <c r="AW71" i="1" s="1"/>
  <c r="F34" i="21"/>
  <c r="BA74" i="1" s="1"/>
  <c r="F36" i="4"/>
  <c r="BC57" i="1" s="1"/>
  <c r="F37" i="10"/>
  <c r="BD63" i="1"/>
  <c r="J34" i="15"/>
  <c r="AW68" i="1" s="1"/>
  <c r="F37" i="16"/>
  <c r="BD69" i="1" s="1"/>
  <c r="F34" i="20"/>
  <c r="BA73" i="1" s="1"/>
  <c r="F35" i="21"/>
  <c r="BB74" i="1" s="1"/>
  <c r="F37" i="14"/>
  <c r="BD67" i="1" s="1"/>
  <c r="F37" i="2"/>
  <c r="BD55" i="1" s="1"/>
  <c r="J34" i="5"/>
  <c r="AW58" i="1" s="1"/>
  <c r="F37" i="7"/>
  <c r="BD60" i="1" s="1"/>
  <c r="F36" i="8"/>
  <c r="BC61" i="1" s="1"/>
  <c r="F34" i="11"/>
  <c r="BA64" i="1" s="1"/>
  <c r="F36" i="15"/>
  <c r="BC68" i="1" s="1"/>
  <c r="F34" i="4"/>
  <c r="BA57" i="1"/>
  <c r="F35" i="5"/>
  <c r="BB58" i="1" s="1"/>
  <c r="F37" i="6"/>
  <c r="BD59" i="1" s="1"/>
  <c r="F37" i="9"/>
  <c r="BD62" i="1" s="1"/>
  <c r="J34" i="12"/>
  <c r="AW65" i="1"/>
  <c r="F36" i="16"/>
  <c r="BC69" i="1" s="1"/>
  <c r="F36" i="17"/>
  <c r="BC70" i="1" s="1"/>
  <c r="J34" i="21"/>
  <c r="AW74" i="1" s="1"/>
  <c r="F35" i="4"/>
  <c r="BB57" i="1" s="1"/>
  <c r="J34" i="11"/>
  <c r="AW64" i="1" s="1"/>
  <c r="F36" i="13"/>
  <c r="BC66" i="1" s="1"/>
  <c r="F37" i="17"/>
  <c r="BD70" i="1" s="1"/>
  <c r="F35" i="19"/>
  <c r="BB72" i="1" s="1"/>
  <c r="T89" i="5" l="1"/>
  <c r="T85" i="16"/>
  <c r="T84" i="16" s="1"/>
  <c r="R83" i="21"/>
  <c r="R82" i="21" s="1"/>
  <c r="R90" i="4"/>
  <c r="R89" i="4" s="1"/>
  <c r="P87" i="3"/>
  <c r="P86" i="3" s="1"/>
  <c r="AU56" i="1" s="1"/>
  <c r="R87" i="8"/>
  <c r="R86" i="8" s="1"/>
  <c r="BK183" i="5"/>
  <c r="J183" i="5" s="1"/>
  <c r="J64" i="5" s="1"/>
  <c r="J83" i="20"/>
  <c r="J60" i="20" s="1"/>
  <c r="BK82" i="20"/>
  <c r="J82" i="20" s="1"/>
  <c r="J59" i="20" s="1"/>
  <c r="BK145" i="12"/>
  <c r="J145" i="12" s="1"/>
  <c r="J62" i="12" s="1"/>
  <c r="J209" i="5"/>
  <c r="J68" i="5" s="1"/>
  <c r="J335" i="12"/>
  <c r="J69" i="12" s="1"/>
  <c r="J90" i="2"/>
  <c r="J61" i="2" s="1"/>
  <c r="R92" i="7"/>
  <c r="R91" i="7"/>
  <c r="P90" i="4"/>
  <c r="P89" i="4" s="1"/>
  <c r="AU57" i="1" s="1"/>
  <c r="T92" i="7"/>
  <c r="P183" i="5"/>
  <c r="P92" i="7"/>
  <c r="R183" i="5"/>
  <c r="P87" i="11"/>
  <c r="AU64" i="1" s="1"/>
  <c r="P90" i="9"/>
  <c r="T90" i="9"/>
  <c r="T89" i="9" s="1"/>
  <c r="T90" i="4"/>
  <c r="T89" i="4" s="1"/>
  <c r="T543" i="14"/>
  <c r="T86" i="10"/>
  <c r="T85" i="10" s="1"/>
  <c r="T462" i="6"/>
  <c r="T92" i="6" s="1"/>
  <c r="T158" i="19"/>
  <c r="T93" i="19" s="1"/>
  <c r="R543" i="14"/>
  <c r="R89" i="13"/>
  <c r="R88" i="13" s="1"/>
  <c r="P462" i="6"/>
  <c r="T124" i="2"/>
  <c r="P239" i="13"/>
  <c r="P88" i="13"/>
  <c r="AU66" i="1" s="1"/>
  <c r="R181" i="9"/>
  <c r="R89" i="9" s="1"/>
  <c r="R124" i="2"/>
  <c r="R88" i="2"/>
  <c r="T239" i="13"/>
  <c r="R86" i="10"/>
  <c r="R85" i="10"/>
  <c r="P194" i="7"/>
  <c r="BK462" i="6"/>
  <c r="R87" i="3"/>
  <c r="R86" i="3" s="1"/>
  <c r="T83" i="21"/>
  <c r="T82" i="21"/>
  <c r="R94" i="19"/>
  <c r="T88" i="5"/>
  <c r="P158" i="19"/>
  <c r="R334" i="12"/>
  <c r="P92" i="12"/>
  <c r="T93" i="6"/>
  <c r="P88" i="2"/>
  <c r="AU55" i="1" s="1"/>
  <c r="P87" i="8"/>
  <c r="P86" i="8" s="1"/>
  <c r="AU61" i="1" s="1"/>
  <c r="P93" i="6"/>
  <c r="BK158" i="19"/>
  <c r="T100" i="14"/>
  <c r="T99" i="14" s="1"/>
  <c r="P334" i="12"/>
  <c r="T92" i="12"/>
  <c r="T172" i="15"/>
  <c r="P100" i="14"/>
  <c r="P543" i="14"/>
  <c r="R100" i="14"/>
  <c r="R85" i="16"/>
  <c r="R84" i="16" s="1"/>
  <c r="R172" i="15"/>
  <c r="R100" i="15"/>
  <c r="T88" i="2"/>
  <c r="T334" i="12"/>
  <c r="R462" i="6"/>
  <c r="R92" i="6" s="1"/>
  <c r="P231" i="4"/>
  <c r="P181" i="9"/>
  <c r="P89" i="9"/>
  <c r="AU62" i="1" s="1"/>
  <c r="R231" i="4"/>
  <c r="T100" i="15"/>
  <c r="T99" i="15" s="1"/>
  <c r="T194" i="7"/>
  <c r="P83" i="21"/>
  <c r="P82" i="21" s="1"/>
  <c r="AU74" i="1" s="1"/>
  <c r="R158" i="19"/>
  <c r="P100" i="15"/>
  <c r="P99" i="15" s="1"/>
  <c r="AU68" i="1" s="1"/>
  <c r="P94" i="19"/>
  <c r="T88" i="11"/>
  <c r="T87" i="11"/>
  <c r="T89" i="13"/>
  <c r="R88" i="11"/>
  <c r="R87" i="11" s="1"/>
  <c r="R89" i="5"/>
  <c r="R92" i="12"/>
  <c r="R91" i="12"/>
  <c r="P89" i="5"/>
  <c r="P88" i="5" s="1"/>
  <c r="AU58" i="1" s="1"/>
  <c r="BK90" i="4"/>
  <c r="J90" i="4"/>
  <c r="J60" i="4" s="1"/>
  <c r="BK93" i="6"/>
  <c r="J93" i="6"/>
  <c r="J60" i="6" s="1"/>
  <c r="BK90" i="9"/>
  <c r="J90" i="9"/>
  <c r="J60" i="9" s="1"/>
  <c r="BK239" i="13"/>
  <c r="J239" i="13" s="1"/>
  <c r="J65" i="13" s="1"/>
  <c r="BK124" i="2"/>
  <c r="BK88" i="2" s="1"/>
  <c r="J88" i="2" s="1"/>
  <c r="J59" i="2" s="1"/>
  <c r="BK262" i="3"/>
  <c r="J262" i="3" s="1"/>
  <c r="J65" i="3" s="1"/>
  <c r="BK89" i="5"/>
  <c r="J89" i="5" s="1"/>
  <c r="J60" i="5" s="1"/>
  <c r="BK194" i="7"/>
  <c r="J194" i="7" s="1"/>
  <c r="J66" i="7" s="1"/>
  <c r="BK242" i="7"/>
  <c r="J242" i="7"/>
  <c r="J70" i="7" s="1"/>
  <c r="BK88" i="11"/>
  <c r="J88" i="11" s="1"/>
  <c r="J60" i="11" s="1"/>
  <c r="BK89" i="13"/>
  <c r="J89" i="13"/>
  <c r="J60" i="13" s="1"/>
  <c r="BK543" i="14"/>
  <c r="J543" i="14" s="1"/>
  <c r="J70" i="14" s="1"/>
  <c r="BK172" i="15"/>
  <c r="J172" i="15" s="1"/>
  <c r="J64" i="15" s="1"/>
  <c r="BK675" i="15"/>
  <c r="J675" i="15" s="1"/>
  <c r="J75" i="15" s="1"/>
  <c r="BK87" i="3"/>
  <c r="J87" i="3"/>
  <c r="J60" i="3" s="1"/>
  <c r="BK231" i="4"/>
  <c r="J231" i="4" s="1"/>
  <c r="J66" i="4" s="1"/>
  <c r="BK685" i="15"/>
  <c r="J685" i="15"/>
  <c r="J78" i="15" s="1"/>
  <c r="BK85" i="16"/>
  <c r="J85" i="16"/>
  <c r="J60" i="16" s="1"/>
  <c r="BK83" i="18"/>
  <c r="J83" i="18"/>
  <c r="J60" i="18" s="1"/>
  <c r="BK94" i="19"/>
  <c r="J94" i="19" s="1"/>
  <c r="J60" i="19" s="1"/>
  <c r="BK83" i="21"/>
  <c r="BK82" i="21" s="1"/>
  <c r="J82" i="21" s="1"/>
  <c r="J59" i="21" s="1"/>
  <c r="BK92" i="7"/>
  <c r="J92" i="7"/>
  <c r="J60" i="7" s="1"/>
  <c r="BK87" i="8"/>
  <c r="J87" i="8"/>
  <c r="J60" i="8" s="1"/>
  <c r="BK226" i="8"/>
  <c r="J226" i="8"/>
  <c r="J64" i="8" s="1"/>
  <c r="BK181" i="9"/>
  <c r="J181" i="9" s="1"/>
  <c r="J66" i="9" s="1"/>
  <c r="BK86" i="10"/>
  <c r="J86" i="10" s="1"/>
  <c r="J60" i="10" s="1"/>
  <c r="BK286" i="11"/>
  <c r="J286" i="11" s="1"/>
  <c r="J65" i="11" s="1"/>
  <c r="BK92" i="12"/>
  <c r="J92" i="12" s="1"/>
  <c r="J60" i="12" s="1"/>
  <c r="BK154" i="14"/>
  <c r="J154" i="14" s="1"/>
  <c r="J64" i="14" s="1"/>
  <c r="BK100" i="15"/>
  <c r="J100" i="15" s="1"/>
  <c r="J60" i="15" s="1"/>
  <c r="J83" i="17"/>
  <c r="J60" i="17"/>
  <c r="J334" i="12"/>
  <c r="J68" i="12" s="1"/>
  <c r="F33" i="8"/>
  <c r="AZ61" i="1"/>
  <c r="F33" i="12"/>
  <c r="AZ65" i="1" s="1"/>
  <c r="F33" i="6"/>
  <c r="AZ59" i="1" s="1"/>
  <c r="J33" i="16"/>
  <c r="AV69" i="1"/>
  <c r="AT69" i="1" s="1"/>
  <c r="J33" i="17"/>
  <c r="AV70" i="1" s="1"/>
  <c r="AT70" i="1" s="1"/>
  <c r="F33" i="19"/>
  <c r="AZ72" i="1"/>
  <c r="J33" i="9"/>
  <c r="AV62" i="1" s="1"/>
  <c r="AT62" i="1" s="1"/>
  <c r="J33" i="20"/>
  <c r="AV73" i="1"/>
  <c r="AT73" i="1" s="1"/>
  <c r="BC54" i="1"/>
  <c r="W32" i="1" s="1"/>
  <c r="F33" i="5"/>
  <c r="AZ58" i="1" s="1"/>
  <c r="F33" i="10"/>
  <c r="AZ63" i="1" s="1"/>
  <c r="J33" i="11"/>
  <c r="AV64" i="1" s="1"/>
  <c r="AT64" i="1" s="1"/>
  <c r="J33" i="15"/>
  <c r="AV68" i="1" s="1"/>
  <c r="AT68" i="1" s="1"/>
  <c r="J33" i="2"/>
  <c r="AV55" i="1" s="1"/>
  <c r="AT55" i="1" s="1"/>
  <c r="F33" i="9"/>
  <c r="AZ62" i="1" s="1"/>
  <c r="F33" i="20"/>
  <c r="AZ73" i="1" s="1"/>
  <c r="J33" i="3"/>
  <c r="AV56" i="1" s="1"/>
  <c r="AT56" i="1" s="1"/>
  <c r="J33" i="10"/>
  <c r="AV63" i="1" s="1"/>
  <c r="AT63" i="1" s="1"/>
  <c r="F33" i="11"/>
  <c r="AZ64" i="1" s="1"/>
  <c r="F33" i="15"/>
  <c r="AZ68" i="1" s="1"/>
  <c r="J33" i="14"/>
  <c r="AV67" i="1"/>
  <c r="AT67" i="1" s="1"/>
  <c r="F33" i="16"/>
  <c r="AZ69" i="1"/>
  <c r="F33" i="17"/>
  <c r="AZ70" i="1"/>
  <c r="F33" i="18"/>
  <c r="AZ71" i="1"/>
  <c r="BD54" i="1"/>
  <c r="W33" i="1" s="1"/>
  <c r="J33" i="4"/>
  <c r="AV57" i="1" s="1"/>
  <c r="AT57" i="1" s="1"/>
  <c r="BA54" i="1"/>
  <c r="W30" i="1" s="1"/>
  <c r="J33" i="5"/>
  <c r="AV58" i="1" s="1"/>
  <c r="AT58" i="1" s="1"/>
  <c r="J33" i="13"/>
  <c r="AV66" i="1"/>
  <c r="AT66" i="1" s="1"/>
  <c r="J33" i="18"/>
  <c r="AV71" i="1" s="1"/>
  <c r="AT71" i="1" s="1"/>
  <c r="J30" i="20"/>
  <c r="AG73" i="1" s="1"/>
  <c r="F33" i="21"/>
  <c r="AZ74" i="1"/>
  <c r="BB54" i="1"/>
  <c r="AX54" i="1" s="1"/>
  <c r="F33" i="2"/>
  <c r="AZ55" i="1"/>
  <c r="F33" i="4"/>
  <c r="AZ57" i="1" s="1"/>
  <c r="F33" i="7"/>
  <c r="AZ60" i="1" s="1"/>
  <c r="J33" i="8"/>
  <c r="AV61" i="1"/>
  <c r="AT61" i="1" s="1"/>
  <c r="J33" i="12"/>
  <c r="AV65" i="1" s="1"/>
  <c r="AT65" i="1" s="1"/>
  <c r="F33" i="3"/>
  <c r="AZ56" i="1"/>
  <c r="J33" i="6"/>
  <c r="AV59" i="1" s="1"/>
  <c r="AT59" i="1" s="1"/>
  <c r="F33" i="13"/>
  <c r="AZ66" i="1"/>
  <c r="J33" i="21"/>
  <c r="AV74" i="1" s="1"/>
  <c r="AT74" i="1" s="1"/>
  <c r="J33" i="7"/>
  <c r="AV60" i="1"/>
  <c r="AT60" i="1" s="1"/>
  <c r="F33" i="14"/>
  <c r="AZ67" i="1"/>
  <c r="J30" i="17"/>
  <c r="AG70" i="1" s="1"/>
  <c r="J33" i="19"/>
  <c r="AV72" i="1" s="1"/>
  <c r="AT72" i="1" s="1"/>
  <c r="R88" i="5" l="1"/>
  <c r="T91" i="7"/>
  <c r="T88" i="13"/>
  <c r="P91" i="7"/>
  <c r="AU60" i="1" s="1"/>
  <c r="P92" i="6"/>
  <c r="AU59" i="1" s="1"/>
  <c r="P93" i="19"/>
  <c r="AU72" i="1" s="1"/>
  <c r="J124" i="2"/>
  <c r="J62" i="2" s="1"/>
  <c r="R99" i="15"/>
  <c r="T91" i="12"/>
  <c r="R93" i="19"/>
  <c r="BK92" i="6"/>
  <c r="J92" i="6" s="1"/>
  <c r="J59" i="6" s="1"/>
  <c r="P91" i="12"/>
  <c r="AU65" i="1" s="1"/>
  <c r="R99" i="14"/>
  <c r="P99" i="14"/>
  <c r="AU67" i="1"/>
  <c r="BK93" i="19"/>
  <c r="J93" i="19"/>
  <c r="BK100" i="14"/>
  <c r="J100" i="14"/>
  <c r="J60" i="14" s="1"/>
  <c r="BK89" i="4"/>
  <c r="J89" i="4" s="1"/>
  <c r="J30" i="4" s="1"/>
  <c r="AG57" i="1" s="1"/>
  <c r="BK86" i="8"/>
  <c r="J86" i="8" s="1"/>
  <c r="J59" i="8" s="1"/>
  <c r="BK87" i="11"/>
  <c r="J87" i="11" s="1"/>
  <c r="J59" i="11" s="1"/>
  <c r="J462" i="6"/>
  <c r="J66" i="6" s="1"/>
  <c r="BK86" i="3"/>
  <c r="J86" i="3" s="1"/>
  <c r="J59" i="3" s="1"/>
  <c r="BK88" i="13"/>
  <c r="J88" i="13"/>
  <c r="J59" i="13" s="1"/>
  <c r="J158" i="19"/>
  <c r="J66" i="19" s="1"/>
  <c r="BK91" i="12"/>
  <c r="J91" i="12" s="1"/>
  <c r="J30" i="12" s="1"/>
  <c r="AG65" i="1" s="1"/>
  <c r="BK82" i="18"/>
  <c r="J82" i="18" s="1"/>
  <c r="J59" i="18" s="1"/>
  <c r="BK84" i="16"/>
  <c r="J84" i="16" s="1"/>
  <c r="J59" i="16" s="1"/>
  <c r="BK88" i="5"/>
  <c r="J88" i="5" s="1"/>
  <c r="J59" i="5" s="1"/>
  <c r="J83" i="21"/>
  <c r="J60" i="21"/>
  <c r="BK91" i="7"/>
  <c r="J91" i="7" s="1"/>
  <c r="J30" i="7" s="1"/>
  <c r="AG60" i="1" s="1"/>
  <c r="BK89" i="9"/>
  <c r="J89" i="9" s="1"/>
  <c r="J59" i="9" s="1"/>
  <c r="BK85" i="10"/>
  <c r="J85" i="10" s="1"/>
  <c r="J59" i="10" s="1"/>
  <c r="BK99" i="15"/>
  <c r="J99" i="15" s="1"/>
  <c r="J30" i="15" s="1"/>
  <c r="AG68" i="1" s="1"/>
  <c r="AN73" i="1"/>
  <c r="J39" i="20"/>
  <c r="AN70" i="1"/>
  <c r="J39" i="17"/>
  <c r="J30" i="21"/>
  <c r="AG74" i="1" s="1"/>
  <c r="J30" i="19"/>
  <c r="AG72" i="1" s="1"/>
  <c r="J30" i="2"/>
  <c r="AG55" i="1"/>
  <c r="AY54" i="1"/>
  <c r="W31" i="1"/>
  <c r="AZ54" i="1"/>
  <c r="AV54" i="1" s="1"/>
  <c r="AK29" i="1" s="1"/>
  <c r="AW54" i="1"/>
  <c r="AK30" i="1" s="1"/>
  <c r="J39" i="19" l="1"/>
  <c r="J39" i="12"/>
  <c r="J39" i="15"/>
  <c r="J39" i="21"/>
  <c r="J39" i="4"/>
  <c r="J39" i="7"/>
  <c r="J59" i="19"/>
  <c r="J59" i="4"/>
  <c r="J59" i="12"/>
  <c r="BK99" i="14"/>
  <c r="J99" i="14" s="1"/>
  <c r="J30" i="14" s="1"/>
  <c r="AG67" i="1" s="1"/>
  <c r="J59" i="7"/>
  <c r="J59" i="15"/>
  <c r="J39" i="2"/>
  <c r="AN55" i="1"/>
  <c r="AN57" i="1"/>
  <c r="AN60" i="1"/>
  <c r="AN65" i="1"/>
  <c r="AN68" i="1"/>
  <c r="AN72" i="1"/>
  <c r="AN74" i="1"/>
  <c r="J30" i="9"/>
  <c r="AG62" i="1" s="1"/>
  <c r="AU54" i="1"/>
  <c r="J30" i="18"/>
  <c r="AG71" i="1" s="1"/>
  <c r="J30" i="8"/>
  <c r="AG61" i="1"/>
  <c r="J30" i="13"/>
  <c r="AG66" i="1" s="1"/>
  <c r="J30" i="3"/>
  <c r="AG56" i="1" s="1"/>
  <c r="J30" i="16"/>
  <c r="AG69" i="1"/>
  <c r="J30" i="5"/>
  <c r="AG58" i="1" s="1"/>
  <c r="J30" i="10"/>
  <c r="AG63" i="1" s="1"/>
  <c r="J30" i="6"/>
  <c r="AG59" i="1" s="1"/>
  <c r="J30" i="11"/>
  <c r="AG64" i="1"/>
  <c r="AT54" i="1"/>
  <c r="W29" i="1"/>
  <c r="J39" i="9" l="1"/>
  <c r="J39" i="13"/>
  <c r="J39" i="16"/>
  <c r="J39" i="5"/>
  <c r="J39" i="11"/>
  <c r="J59" i="14"/>
  <c r="J39" i="6"/>
  <c r="J39" i="8"/>
  <c r="J39" i="18"/>
  <c r="J39" i="10"/>
  <c r="J39" i="14"/>
  <c r="J39" i="3"/>
  <c r="AN56" i="1"/>
  <c r="AN58" i="1"/>
  <c r="AN63" i="1"/>
  <c r="AN66" i="1"/>
  <c r="AN69" i="1"/>
  <c r="AN71" i="1"/>
  <c r="AN61" i="1"/>
  <c r="AN62" i="1"/>
  <c r="AN67" i="1"/>
  <c r="AN59" i="1"/>
  <c r="AN64" i="1"/>
  <c r="AG54" i="1"/>
  <c r="AK26" i="1" s="1"/>
  <c r="AK35" i="1" s="1"/>
  <c r="AN54" i="1" l="1"/>
</calcChain>
</file>

<file path=xl/sharedStrings.xml><?xml version="1.0" encoding="utf-8"?>
<sst xmlns="http://schemas.openxmlformats.org/spreadsheetml/2006/main" count="36720" uniqueCount="4955">
  <si>
    <t>Export Komplet</t>
  </si>
  <si>
    <t>VZ</t>
  </si>
  <si>
    <t>2.0</t>
  </si>
  <si>
    <t/>
  </si>
  <si>
    <t>False</t>
  </si>
  <si>
    <t>{dbbe4423-8563-4e3c-a186-4695bb487e6d}</t>
  </si>
  <si>
    <t>&gt;&gt;  skryté sloupce  &lt;&lt;</t>
  </si>
  <si>
    <t>0,01</t>
  </si>
  <si>
    <t>21</t>
  </si>
  <si>
    <t>15</t>
  </si>
  <si>
    <t>REKAPITULACE STAVBY</t>
  </si>
  <si>
    <t>v ---  níže se nacházejí doplnkové a pomocné údaje k sestavám  --- v</t>
  </si>
  <si>
    <t>Návod na vyplnění</t>
  </si>
  <si>
    <t>0,001</t>
  </si>
  <si>
    <t>Kód:</t>
  </si>
  <si>
    <t>2020-70-ver3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</si>
  <si>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</si>
  <si>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</si>
  <si>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P. HOLÉHO - PŘESTAVBA PLAVECKÉHO PAVILONU</t>
  </si>
  <si>
    <t>KSO:</t>
  </si>
  <si>
    <t>CC-CZ:</t>
  </si>
  <si>
    <t>Místo:</t>
  </si>
  <si>
    <t>Prokopa Holého 2632, Louny, 440 01</t>
  </si>
  <si>
    <t>Datum:</t>
  </si>
  <si>
    <t>21. 9. 2022</t>
  </si>
  <si>
    <t>Zadavatel:</t>
  </si>
  <si>
    <t>IČ:</t>
  </si>
  <si>
    <t>00265209</t>
  </si>
  <si>
    <t>Město Louny</t>
  </si>
  <si>
    <t>DIČ:</t>
  </si>
  <si>
    <t>Uchazeč:</t>
  </si>
  <si>
    <t>Vyplň údaj</t>
  </si>
  <si>
    <t>Projektant:</t>
  </si>
  <si>
    <t>28744632</t>
  </si>
  <si>
    <t>RYSIK Design s.r.o.</t>
  </si>
  <si>
    <t>CZ28744632</t>
  </si>
  <si>
    <t>True</t>
  </si>
  <si>
    <t>Zpracovatel:</t>
  </si>
  <si>
    <t>75900513</t>
  </si>
  <si>
    <t>Ing. Kateřina Tumpachová</t>
  </si>
  <si>
    <t>CZ7556082479</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</si>
  <si>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</si>
  <si>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</si>
  <si>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</si>
  <si>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</si>
  <si>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</si>
  <si>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</si>
  <si>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</si>
  <si>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</si>
  <si>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</si>
  <si>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</si>
  <si>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</si>
  <si>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</si>
  <si>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</si>
  <si>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</si>
  <si>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</si>
  <si>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</si>
  <si>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</si>
  <si>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</si>
  <si>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</si>
  <si>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</si>
  <si>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</si>
  <si>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</si>
  <si>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</si>
  <si>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</si>
  <si>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</si>
  <si>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</si>
  <si>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</si>
  <si>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</si>
  <si>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</si>
  <si>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</si>
  <si>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</si>
  <si>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</si>
  <si>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</si>
  <si>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</si>
  <si>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</si>
  <si>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</si>
  <si>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</si>
  <si>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</si>
  <si>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</si>
  <si>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</si>
  <si>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</si>
  <si>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 1</t>
  </si>
  <si>
    <t>Vyklizení objektu, odpojení a demontáž TZB</t>
  </si>
  <si>
    <t>STA</t>
  </si>
  <si>
    <t>1</t>
  </si>
  <si>
    <t>{bc5a867f-9ff0-4e19-968b-0b103a30f31c}</t>
  </si>
  <si>
    <t>2</t>
  </si>
  <si>
    <t>E 2</t>
  </si>
  <si>
    <t>Sanace betonové konstrukce ponechávané části</t>
  </si>
  <si>
    <t>{bb6935ec-9455-4b26-8b03-5ba79e7bf80c}</t>
  </si>
  <si>
    <t>E 3</t>
  </si>
  <si>
    <t>Vyzdění severního průčelí</t>
  </si>
  <si>
    <t>{10f18278-4b29-45a8-b5fd-2d636168f2b7}</t>
  </si>
  <si>
    <t>E 4</t>
  </si>
  <si>
    <t>Oddělení bourané a ponechávané části, bourání bazénu</t>
  </si>
  <si>
    <t>{09f65374-993d-45b4-9feb-dc0d4d703503}</t>
  </si>
  <si>
    <t>E 5</t>
  </si>
  <si>
    <t>Dozdívky a vybourání otvorů v plášti, odstranění pláště střechy</t>
  </si>
  <si>
    <t>{c798d9b1-f420-4d1d-8e9a-5d153bc512a5}</t>
  </si>
  <si>
    <t>E 6</t>
  </si>
  <si>
    <t>Provedení střechy po parozábranu</t>
  </si>
  <si>
    <t>{53f69cd2-72ef-4f8c-994f-47f93843172b}</t>
  </si>
  <si>
    <t>E 7</t>
  </si>
  <si>
    <t>Vybourání stávající dispozice 2. NP</t>
  </si>
  <si>
    <t>{7219e034-2a79-4a6e-ba3b-0c1dc93e2da9}</t>
  </si>
  <si>
    <t>E 8</t>
  </si>
  <si>
    <t>Provedení otvoru pro schodišťový prostor</t>
  </si>
  <si>
    <t>{eb5aa3dc-4199-4186-888e-66f5bd7fc7ec}</t>
  </si>
  <si>
    <t>E 9</t>
  </si>
  <si>
    <t>Hrubá stavba nové dispozice 2. NP</t>
  </si>
  <si>
    <t>{5e3aaf51-18a8-4811-9f5b-e890483ebb3c}</t>
  </si>
  <si>
    <t>E10</t>
  </si>
  <si>
    <t>Vybourání dispozice 1. NP</t>
  </si>
  <si>
    <t>{bc78fead-d76e-4002-98db-3241fe81fba0}</t>
  </si>
  <si>
    <t>E11</t>
  </si>
  <si>
    <t>Hrubá stavba nové dispozice 1. NP</t>
  </si>
  <si>
    <t>{40049c63-bbb2-4aae-abd9-610100616461}</t>
  </si>
  <si>
    <t>E12</t>
  </si>
  <si>
    <t>Osazení výplní pláště, rozvody TZB, vnitřní omítky, těžké plovoucí podlahy, sta. úpravy a oprava ter</t>
  </si>
  <si>
    <t>{b84e930e-4ef9-41f9-9956-809b2475e809}</t>
  </si>
  <si>
    <t>E13</t>
  </si>
  <si>
    <t>Oprava a stavební úpravy terasy, KZSí stěn a podhledu+ okap.chodníčky, střešní plášť,venk.schodiště</t>
  </si>
  <si>
    <t>{c10f5840-508b-4a25-90a7-71a75065c668}</t>
  </si>
  <si>
    <t>E14</t>
  </si>
  <si>
    <t>Dokončovací práce - výtah,zábradlí.obklady,parapety,malby,žaluzie,podlahy,dveře,dok.TZB</t>
  </si>
  <si>
    <t>{d8d13dd5-156e-4f2a-8c56-d371d6c9a5bc}</t>
  </si>
  <si>
    <t>E15</t>
  </si>
  <si>
    <t>Vyrovnání terénu po odstraněném bazénu, okapové chodníčky, ozelenění</t>
  </si>
  <si>
    <t>{48c31162-7fc9-490b-a6d4-9429359f97b3}</t>
  </si>
  <si>
    <t>SO 2</t>
  </si>
  <si>
    <t>UT</t>
  </si>
  <si>
    <t>{c9faa311-4bea-41fb-a2d6-ea4524afc9f2}</t>
  </si>
  <si>
    <t>SO 3</t>
  </si>
  <si>
    <t>elektroinstalace</t>
  </si>
  <si>
    <t>{a2756f63-c622-4b11-8631-72c739c04e7f}</t>
  </si>
  <si>
    <t>SO 4</t>
  </si>
  <si>
    <t>ZTI</t>
  </si>
  <si>
    <t>{f3d58360-7a8a-4368-8931-89e9ba22c61a}</t>
  </si>
  <si>
    <t>SO 5</t>
  </si>
  <si>
    <t>VZT</t>
  </si>
  <si>
    <t>{a8a7a26e-b1ec-48a5-b0c0-dbd848988345}</t>
  </si>
  <si>
    <t>VON</t>
  </si>
  <si>
    <t>vedlejší a ostatní náklady</t>
  </si>
  <si>
    <t>{ce37975a-7e33-4397-bdca-9f0ea6ec944d}</t>
  </si>
  <si>
    <t>KRYCÍ LIST SOUPISU PRACÍ</t>
  </si>
  <si>
    <t>Objekt:</t>
  </si>
  <si>
    <t>E 1 - Vyklizení objektu, odpojení a demontáž TZB</t>
  </si>
  <si>
    <t>ing. Kateřina Tumpachová</t>
  </si>
  <si>
    <t>REKAPITULACE ČLENĚNÍ SOUPISU PRACÍ</t>
  </si>
  <si>
    <t>Kód dílu - Popis</t>
  </si>
  <si>
    <t>Cena celkem [CZK]</t>
  </si>
  <si>
    <t>-1</t>
  </si>
  <si>
    <t>HSV - Práce a dodávky HSV</t>
  </si>
  <si>
    <t xml:space="preserve">    997 - Přesun sutě</t>
  </si>
  <si>
    <t>PSV - Práce a dodávky PSV</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</si>
  <si>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</si>
  <si>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</si>
  <si>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</si>
  <si>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</si>
  <si>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</si>
  <si>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</si>
  <si>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</si>
  <si>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</si>
  <si>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</si>
  <si>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</si>
  <si>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</si>
  <si>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</si>
  <si>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</si>
  <si>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</si>
  <si>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</si>
  <si>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</si>
  <si>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</si>
  <si>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</si>
  <si>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</si>
  <si>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</si>
  <si>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</si>
  <si>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</si>
  <si>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997</t>
  </si>
  <si>
    <t>Přesun sutě</t>
  </si>
  <si>
    <t>K</t>
  </si>
  <si>
    <t>997013213</t>
  </si>
  <si>
    <t>Vnitrostaveništní doprava suti a vybouraných hmot pro budovy v přes 9 do 12 m ručně</t>
  </si>
  <si>
    <t>t</t>
  </si>
  <si>
    <t>CS ÚRS 2022 02</t>
  </si>
  <si>
    <t>4</t>
  </si>
  <si>
    <t>439260098</t>
  </si>
  <si>
    <t>PP</t>
  </si>
  <si>
    <t>Vnitrostaveništní doprava suti a vybouraných hmot vodorovně do 50 m svisle ručně pro budovy a haly výšky přes 9 do 12 m</t>
  </si>
  <si>
    <t>Online PSC</t>
  </si>
  <si>
    <t>https://podminky.urs.cz/item/CS_URS_2022_02/997013213</t>
  </si>
  <si>
    <t>PSC</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</si>
  <si>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</si>
  <si>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VV</t>
  </si>
  <si>
    <t>1,362</t>
  </si>
  <si>
    <t>rozvody</t>
  </si>
  <si>
    <t>2+1</t>
  </si>
  <si>
    <t>Mezisoučet</t>
  </si>
  <si>
    <t>3</t>
  </si>
  <si>
    <t>nábytek</t>
  </si>
  <si>
    <t>5</t>
  </si>
  <si>
    <t>Součet</t>
  </si>
  <si>
    <t>997013219</t>
  </si>
  <si>
    <t>Příplatek k vnitrostaveništní dopravě suti a vybouraných hmot za zvětšenou dopravu suti ZKD 10 m</t>
  </si>
  <si>
    <t>1242653904</t>
  </si>
  <si>
    <t>Vnitrostaveništní doprava suti a vybouraných hmot vodorovně do 50 m Příplatek k cenám -3111 až -3217 za zvětšenou vodorovnou dopravu přes vymezenou dopravní vzdálenost za každých dalších i započatých 10 m</t>
  </si>
  <si>
    <t>https://podminky.urs.cz/item/CS_URS_2022_02/997013219</t>
  </si>
  <si>
    <t>1,362*2 'Přepočtené koeficientem množství</t>
  </si>
  <si>
    <t>997013501</t>
  </si>
  <si>
    <t>Odvoz suti a vybouraných hmot na skládku nebo meziskládku do 1 km se složením</t>
  </si>
  <si>
    <t>197484723</t>
  </si>
  <si>
    <t>Odvoz suti a vybouraných hmot na skládku nebo meziskládku se složením, na vzdálenost do 1 km</t>
  </si>
  <si>
    <t>https://podminky.urs.cz/item/CS_URS_2022_02/997013501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</si>
  <si>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</si>
  <si>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</si>
  <si>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Příplatek k odvozu suti a vybouraných hmot na skládku ZKD 1 km přes 1 km</t>
  </si>
  <si>
    <t>-1110274491</t>
  </si>
  <si>
    <t>Odvoz suti a vybouraných hmot na skládku nebo meziskládku se složením, na vzdálenost Příplatek k ceně za každý další i započatý 1 km přes 1 km</t>
  </si>
  <si>
    <t>https://podminky.urs.cz/item/CS_URS_2022_02/997013509</t>
  </si>
  <si>
    <t>přemístění nábytku do jiné školy</t>
  </si>
  <si>
    <t>5*2</t>
  </si>
  <si>
    <t>suť na skládku</t>
  </si>
  <si>
    <t>4,362*19</t>
  </si>
  <si>
    <t>997013871</t>
  </si>
  <si>
    <t>Poplatek za uložení stavebního odpadu na recyklační skládce (skládkovné) směsného stavebního a demoličního kód odpadu 17 09 04</t>
  </si>
  <si>
    <t>1434851387</t>
  </si>
  <si>
    <t>Poplatek za uložení stavebního odpadu na recyklační skládce (skládkovné) směsného stavebního a demoličního zatříděného do Katalogu odpadů pod kódem 17 09 04</t>
  </si>
  <si>
    <t>https://podminky.urs.cz/item/CS_URS_2022_02/997013871</t>
  </si>
  <si>
    <t xml:space="preserve">Poznámka k souboru cen:_x000D_
1. Ceny uvedené v souboru cen je doporučeno upravit podle aktuálních cen místně příslušné skládky odpadů._x000D_
2. Uložení odpadů neuvedených v souboru cen se oceňuje individuálně._x000D_
</t>
  </si>
  <si>
    <t>PSV</t>
  </si>
  <si>
    <t>Práce a dodávky PSV</t>
  </si>
  <si>
    <t>721</t>
  </si>
  <si>
    <t>Zdravotechnika - vnitřní kanalizace</t>
  </si>
  <si>
    <t>6</t>
  </si>
  <si>
    <t>721210813</t>
  </si>
  <si>
    <t>Demontáž vpustí podlahových z kyselinovzdorné kameniny DN 100</t>
  </si>
  <si>
    <t>kus</t>
  </si>
  <si>
    <t>16</t>
  </si>
  <si>
    <t>1648466032</t>
  </si>
  <si>
    <t>Demontáž kanalizačního příslušenství vpustí podlahových z kyselinovzdorné kameniny DN 100</t>
  </si>
  <si>
    <t>https://podminky.urs.cz/item/CS_URS_2022_02/721210813</t>
  </si>
  <si>
    <t>7</t>
  </si>
  <si>
    <t>demontáž rozvodů kanalizace</t>
  </si>
  <si>
    <t>kpl</t>
  </si>
  <si>
    <t>vlastní</t>
  </si>
  <si>
    <t>-1248096534</t>
  </si>
  <si>
    <t>722</t>
  </si>
  <si>
    <t>Zdravotechnika - vnitřní vodovod</t>
  </si>
  <si>
    <t>8</t>
  </si>
  <si>
    <t>V</t>
  </si>
  <si>
    <t>demontáž rozvodů vody</t>
  </si>
  <si>
    <t>-383338308</t>
  </si>
  <si>
    <t>9</t>
  </si>
  <si>
    <t>V2</t>
  </si>
  <si>
    <t>odpojení obektu od vody</t>
  </si>
  <si>
    <t>1504113695</t>
  </si>
  <si>
    <t>725</t>
  </si>
  <si>
    <t>Zdravotechnika - zařizovací předměty</t>
  </si>
  <si>
    <t>10</t>
  </si>
  <si>
    <t>725110814</t>
  </si>
  <si>
    <t>Demontáž klozetu Kombi</t>
  </si>
  <si>
    <t>soubor</t>
  </si>
  <si>
    <t>362782297</t>
  </si>
  <si>
    <t>Demontáž klozetů kombi</t>
  </si>
  <si>
    <t>https://podminky.urs.cz/item/CS_URS_2022_02/725110814</t>
  </si>
  <si>
    <t>11</t>
  </si>
  <si>
    <t>725210821</t>
  </si>
  <si>
    <t>Demontáž umyvadel bez výtokových armatur</t>
  </si>
  <si>
    <t>849934736</t>
  </si>
  <si>
    <t>Demontáž umyvadel bez výtokových armatur umyvadel</t>
  </si>
  <si>
    <t>https://podminky.urs.cz/item/CS_URS_2022_02/725210821</t>
  </si>
  <si>
    <t>12</t>
  </si>
  <si>
    <t>725210826</t>
  </si>
  <si>
    <t>Demontáž umývátek bez výtokových armatur</t>
  </si>
  <si>
    <t>983851598</t>
  </si>
  <si>
    <t>Demontáž umyvadel bez výtokových armatur umývátek</t>
  </si>
  <si>
    <t>https://podminky.urs.cz/item/CS_URS_2022_02/725210826</t>
  </si>
  <si>
    <t>13</t>
  </si>
  <si>
    <t>725820801</t>
  </si>
  <si>
    <t>Demontáž baterie nástěnné do G 3 / 4</t>
  </si>
  <si>
    <t>-1129818910</t>
  </si>
  <si>
    <t>Demontáž baterií nástěnných do G 3/4</t>
  </si>
  <si>
    <t>https://podminky.urs.cz/item/CS_URS_2022_02/725820801</t>
  </si>
  <si>
    <t>14</t>
  </si>
  <si>
    <t>725840850</t>
  </si>
  <si>
    <t>Demontáž baterie sprch diferenciální do G 3/4x1</t>
  </si>
  <si>
    <t>-1204936725</t>
  </si>
  <si>
    <t>Demontáž baterií sprchových diferenciálních do G 3/4 x 1</t>
  </si>
  <si>
    <t>https://podminky.urs.cz/item/CS_URS_2022_02/725840850</t>
  </si>
  <si>
    <t>8+8+2</t>
  </si>
  <si>
    <t>725860811</t>
  </si>
  <si>
    <t>Demontáž uzávěrů zápachu jednoduchých</t>
  </si>
  <si>
    <t>543680380</t>
  </si>
  <si>
    <t>Demontáž zápachových uzávěrek pro zařizovací předměty jednoduchých</t>
  </si>
  <si>
    <t>https://podminky.urs.cz/item/CS_URS_2022_02/725860811</t>
  </si>
  <si>
    <t>741</t>
  </si>
  <si>
    <t>Elektroinstalace - silnoproud</t>
  </si>
  <si>
    <t>Eo</t>
  </si>
  <si>
    <t>odpojení obektu od elektřiny</t>
  </si>
  <si>
    <t>-950452682</t>
  </si>
  <si>
    <t>751</t>
  </si>
  <si>
    <t>Vzduchotechnika</t>
  </si>
  <si>
    <t>17</t>
  </si>
  <si>
    <t>HZS3211</t>
  </si>
  <si>
    <t>Hodinová zúčtovací sazba montér vzduchotechniky a chlazení</t>
  </si>
  <si>
    <t>hod</t>
  </si>
  <si>
    <t>-1338429861</t>
  </si>
  <si>
    <t>Hodinové zúčtovací sazby montáží technologických zařízení na stavebních objektech montér vzduchotechniky a chlazení</t>
  </si>
  <si>
    <t>https://podminky.urs.cz/item/CS_URS_2022_02/HZS3211</t>
  </si>
  <si>
    <t>demontáže stáv. VZT - odhad</t>
  </si>
  <si>
    <t>2*8</t>
  </si>
  <si>
    <t>5*8*5</t>
  </si>
  <si>
    <t>4*8*5</t>
  </si>
  <si>
    <t>HZS</t>
  </si>
  <si>
    <t>Hodinové zúčtovací sazby</t>
  </si>
  <si>
    <t>18</t>
  </si>
  <si>
    <t>HZS1291</t>
  </si>
  <si>
    <t>Hodinová zúčtovací sazba pomocný stavební dělník</t>
  </si>
  <si>
    <t>512</t>
  </si>
  <si>
    <t>-1110026357</t>
  </si>
  <si>
    <t>Hodinové zúčtovací sazby profesí HSV zemní a pomocné práce pomocný stavební dělník</t>
  </si>
  <si>
    <t>https://podminky.urs.cz/item/CS_URS_2022_02/HZS1291</t>
  </si>
  <si>
    <t>vyklizení objektu</t>
  </si>
  <si>
    <t>4*8*4</t>
  </si>
  <si>
    <t>E 2 - Sanace betonové konstrukce ponechávané části</t>
  </si>
  <si>
    <t xml:space="preserve">    9 - Ostatní konstrukce a práce, bourání</t>
  </si>
  <si>
    <t xml:space="preserve">    998 - Přesun hmot</t>
  </si>
  <si>
    <t>VRN - Vedlejší rozpočtové náklady</t>
  </si>
  <si>
    <t xml:space="preserve">    VRN1 - Průzkumné, geodetické a projektové práce</t>
  </si>
  <si>
    <t>Ostatní konstrukce a práce, bourání</t>
  </si>
  <si>
    <t>949101112</t>
  </si>
  <si>
    <t>Lešení pomocné pro objekty pozemních staveb s lešeňovou podlahou v přes 1,9 do 3,5 m zatížení do 150 kg/m2</t>
  </si>
  <si>
    <t>m2</t>
  </si>
  <si>
    <t>-1482701534</t>
  </si>
  <si>
    <t>Lešení pomocné pracovní pro objekty pozemních staveb pro zatížení do 150 kg/m2, o výšce lešeňové podlahy přes 1,9 do 3,5 m</t>
  </si>
  <si>
    <t>https://podminky.urs.cz/item/CS_URS_2022_02/949101112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</si>
  <si>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</si>
  <si>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24*13</t>
  </si>
  <si>
    <t>24*13,7*2</t>
  </si>
  <si>
    <t>952901111</t>
  </si>
  <si>
    <t>Vyčištění budov bytové a občanské výstavby při výšce podlaží do 4 m</t>
  </si>
  <si>
    <t>857313604</t>
  </si>
  <si>
    <t>Vyčištění budov nebo objektů před předáním do užívání budov bytové nebo občanské výstavby, světlé výšky podlaží do 4 m</t>
  </si>
  <si>
    <t>https://podminky.urs.cz/item/CS_URS_2022_02/952901111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</si>
  <si>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</si>
  <si>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985112112</t>
  </si>
  <si>
    <t>Odsekání degradovaného betonu stěn tl přes 10 do 30 mm</t>
  </si>
  <si>
    <t>337776155</t>
  </si>
  <si>
    <t>Odsekání degradovaného betonu stěn, tloušťky přes 10 do 30 mm</t>
  </si>
  <si>
    <t>https://podminky.urs.cz/item/CS_URS_2022_02/985112112</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</si>
  <si>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</si>
  <si>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158,916</t>
  </si>
  <si>
    <t>985112113</t>
  </si>
  <si>
    <t>Odsekání degradovaného betonu stěn tl přes 30 do 50 mm</t>
  </si>
  <si>
    <t>-2101228765</t>
  </si>
  <si>
    <t>Odsekání degradovaného betonu stěn, tloušťky přes 30 do 50 mm</t>
  </si>
  <si>
    <t>https://podminky.urs.cz/item/CS_URS_2022_02/985112113</t>
  </si>
  <si>
    <t>985112122</t>
  </si>
  <si>
    <t>Odsekání degradovaného betonu líce kleneb a podhledů tl přes 10 do 30 mm</t>
  </si>
  <si>
    <t>1555498955</t>
  </si>
  <si>
    <t>Odsekání degradovaného betonu líce kleneb a podhledů, tloušťky přes 10 do 30 mm</t>
  </si>
  <si>
    <t>https://podminky.urs.cz/item/CS_URS_2022_02/985112122</t>
  </si>
  <si>
    <t>985112123</t>
  </si>
  <si>
    <t>Odsekání degradovaného betonu líce kleneb a podhledů tl přes 30 do 50 mm</t>
  </si>
  <si>
    <t>1988984156</t>
  </si>
  <si>
    <t>Odsekání degradovaného betonu líce kleneb a podhledů, tloušťky přes 30 do 50 mm</t>
  </si>
  <si>
    <t>https://podminky.urs.cz/item/CS_URS_2022_02/985112123</t>
  </si>
  <si>
    <t>985121122</t>
  </si>
  <si>
    <t>Tryskání degradovaného betonu stěn a rubu kleneb vodou pod tlakem přes 300 do 1250 barů</t>
  </si>
  <si>
    <t>728393010</t>
  </si>
  <si>
    <t>Tryskání degradovaného betonu stěn, rubu kleneb a podlah vodou pod tlakem přes 300 do 1 250 barů</t>
  </si>
  <si>
    <t>https://podminky.urs.cz/item/CS_URS_2022_02/985121122</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</si>
  <si>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</si>
  <si>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985121222</t>
  </si>
  <si>
    <t>Tryskání degradovaného betonu líce kleneb vodou pod tlakem přes 300 do 1250 barů</t>
  </si>
  <si>
    <t>-1301207506</t>
  </si>
  <si>
    <t>Tryskání degradovaného betonu líce kleneb a podhledů vodou pod tlakem přes 300 do 1 250 barů</t>
  </si>
  <si>
    <t>https://podminky.urs.cz/item/CS_URS_2022_02/985121222</t>
  </si>
  <si>
    <t>985131311</t>
  </si>
  <si>
    <t>Ruční dočištění ploch stěn, rubu kleneb a podlah ocelových kartáči</t>
  </si>
  <si>
    <t>-954769230</t>
  </si>
  <si>
    <t>Očištění ploch stěn, rubu kleneb a podlah ruční dočištění ocelovými kartáči</t>
  </si>
  <si>
    <t>https://podminky.urs.cz/item/CS_URS_2022_02/985131311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</si>
  <si>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</si>
  <si>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158,916+255,242</t>
  </si>
  <si>
    <t>985132311</t>
  </si>
  <si>
    <t>Ruční dočištění ploch líce kleneb a podhledů ocelových kartáči</t>
  </si>
  <si>
    <t>1645238452</t>
  </si>
  <si>
    <t>Očištění ploch líce kleneb a podhledů ruční dočištění ocelovými kartáči</t>
  </si>
  <si>
    <t>https://podminky.urs.cz/item/CS_URS_2022_02/985132311</t>
  </si>
  <si>
    <t>133,796+222,993</t>
  </si>
  <si>
    <t>985311112</t>
  </si>
  <si>
    <t>Reprofilace stěn cementovou sanační maltou tl přes 10 do 20 mm</t>
  </si>
  <si>
    <t>-580770544</t>
  </si>
  <si>
    <t>Reprofilace betonu sanačními maltami na cementové bázi ručně stěn, tloušťky přes 10 do 20 mm</t>
  </si>
  <si>
    <t>https://podminky.urs.cz/item/CS_URS_2022_02/985311112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</si>
  <si>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</si>
  <si>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odhad projektanta - 10% plochy pláště</t>
  </si>
  <si>
    <t>2,65*(13,255+24,0+13,255)*0,1</t>
  </si>
  <si>
    <t>(3,95*(13,94+24-11,475+13,94)-0,9*0,9*7-0,6*0,9-2,1*2,15*2-2,5*2,4)*0,05+(4,15*(14,24+0,3+24,+14,24+0,3)-0,9*0,9*7-0,6*0,9-2,1*2,15*2-2,5*2,4)*0,1</t>
  </si>
  <si>
    <t>(3,95*(5,6+11,8+13,94)-1,8*2,4-1,5*2,0)*0,05+(5,05*(5,6+11,8+14,24+0,3)-1,8*2,4-1,5*2,0)*0,1</t>
  </si>
  <si>
    <t>odhad projektanta - sloupy 30% hran + 30% plochy.............hrana 10x10cm</t>
  </si>
  <si>
    <t>2,65*0,1*2*4*20*0,3+2,65*0,2*4*20*0,3</t>
  </si>
  <si>
    <t>3,95*0,1*2*4*18*0,3+3,95*0,1*2*4*18*0,3</t>
  </si>
  <si>
    <t>3,95*0,1*2*4*20*0,3+3,95*0,1*2*4*20*0,3</t>
  </si>
  <si>
    <t>985311114</t>
  </si>
  <si>
    <t>Reprofilace stěn cementovou sanační maltou tl přes 30 do 40 mm</t>
  </si>
  <si>
    <t>1063040241</t>
  </si>
  <si>
    <t>Reprofilace betonu sanačními maltami na cementové bázi ručně stěn, tloušťky přes 30 do 40 mm</t>
  </si>
  <si>
    <t>https://podminky.urs.cz/item/CS_URS_2022_02/985311114</t>
  </si>
  <si>
    <t>odhad projektanta - 25% plochy pláště</t>
  </si>
  <si>
    <t>2,65*(13,255+24,0+13,255)*0,25</t>
  </si>
  <si>
    <t>(3,95*(13,94+24-11,475+13,94)-0,9*0,9*7-0,6*0,9-2,1*2,15*2-2,5*2,4)*0,05+(4,15*(14,24+0,3+24,+14,24+0,3)-0,9*0,9*7-0,6*0,9-2,1*2,15*2-2,5*2,4)*0,25</t>
  </si>
  <si>
    <t>(3,95*(5,6+11,8+13,94)-1,8*2,4-1,5*2,0)*0,25+(5,05*(5,6+11,8+14,24+0,3)-1,8*2,4-1,5*2,0)*0,25</t>
  </si>
  <si>
    <t>odhad projektanta - sloupy 50% hran + 10% plochy.............hrana 10x10cm</t>
  </si>
  <si>
    <t>2,65*0,1*2*4*20*0,5+2,65*0,2*4*20*0,1</t>
  </si>
  <si>
    <t>3,95*0,1*2*4*18*0,5+3,95*0,1*2*4*18*0,1</t>
  </si>
  <si>
    <t>3,95*0,1*2*4*20*0,5+3,95*0,1*2*4*20*0,1</t>
  </si>
  <si>
    <t>985311212</t>
  </si>
  <si>
    <t>Reprofilace líce kleneb a podhledů cementovou sanační maltou tl přes 10 do 20 mm</t>
  </si>
  <si>
    <t>795136047</t>
  </si>
  <si>
    <t>Reprofilace betonu sanačními maltami na cementové bázi ručně líce kleneb a podhledů, tloušťky přes 10 do 20 mm</t>
  </si>
  <si>
    <t>https://podminky.urs.cz/item/CS_URS_2022_02/985311212</t>
  </si>
  <si>
    <t>odhad projektanta - 15% plochy podhledů</t>
  </si>
  <si>
    <t>(24*13,255-2,72*2,02)*0,15</t>
  </si>
  <si>
    <t>(24*13,69-11,475*3,71-4,4*4,0)*0,15</t>
  </si>
  <si>
    <t>(24*13,69-4,4*4)*0,15</t>
  </si>
  <si>
    <t>985311214</t>
  </si>
  <si>
    <t>Reprofilace líce kleneb a podhledů cementovou sanační maltou tl přes 30 do 40 mm</t>
  </si>
  <si>
    <t>1076097829</t>
  </si>
  <si>
    <t>Reprofilace betonu sanačními maltami na cementové bázi ručně líce kleneb a podhledů, tloušťky přes 30 do 40 mm</t>
  </si>
  <si>
    <t>https://podminky.urs.cz/item/CS_URS_2022_02/985311214</t>
  </si>
  <si>
    <t>odhad projektanta - 25% plochy podhledů</t>
  </si>
  <si>
    <t>(24*13,255-2,72*2,02)*0,25</t>
  </si>
  <si>
    <t>(24*13,69-11,475*3,71-4,4*4,0)*0,25</t>
  </si>
  <si>
    <t>(24*13,69-4,4*4)*0,25</t>
  </si>
  <si>
    <t>985311913</t>
  </si>
  <si>
    <t>Příplatek při reprofilaci sanační maltou za větší členitost povrchu (sloupy, výklenky)</t>
  </si>
  <si>
    <t>-1040862325</t>
  </si>
  <si>
    <t>Reprofilace betonu sanačními maltami na cementové bázi ručně Příplatek k cenám za větší členitost povrchu (sloupy, výklenky)</t>
  </si>
  <si>
    <t>https://podminky.urs.cz/item/CS_URS_2022_02/985311913</t>
  </si>
  <si>
    <t>sloupy</t>
  </si>
  <si>
    <t>97,488*2</t>
  </si>
  <si>
    <t>985312111</t>
  </si>
  <si>
    <t>Stěrka k vyrovnání betonových ploch stěn tl do 2 mm</t>
  </si>
  <si>
    <t>1369693710</t>
  </si>
  <si>
    <t>Stěrka k vyrovnání ploch reprofilovaného betonu stěn, tloušťky do 2 mm</t>
  </si>
  <si>
    <t>https://podminky.urs.cz/item/CS_URS_2022_02/985312111</t>
  </si>
  <si>
    <t xml:space="preserve">Poznámka k souboru cen:_x000D_
1. V cenách nejsou započteny náklady na ochranný nátěr, které se oceňují souborem cen 985 32-4 Ochranný nátěr betonu._x000D_
</t>
  </si>
  <si>
    <t>985312121</t>
  </si>
  <si>
    <t>Stěrka k vyrovnání betonových ploch líce kleneb a podhledů tl do 2 mm</t>
  </si>
  <si>
    <t>-876705663</t>
  </si>
  <si>
    <t>Stěrka k vyrovnání ploch reprofilovaného betonu líce kleneb a podhledů, tloušťky do 2 mm</t>
  </si>
  <si>
    <t>https://podminky.urs.cz/item/CS_URS_2022_02/985312121</t>
  </si>
  <si>
    <t>985321111</t>
  </si>
  <si>
    <t>Ochranný nátěr výztuže na cementové bázi stěn, líce kleneb a podhledů 1 vrstva tl 1 mm</t>
  </si>
  <si>
    <t>-1133812467</t>
  </si>
  <si>
    <t>Ochranný nátěr betonářské výztuže 1 vrstva tloušťky 1 mm na cementové bázi stěn, líce kleneb a podhledů</t>
  </si>
  <si>
    <t>https://podminky.urs.cz/item/CS_URS_2022_02/985321111</t>
  </si>
  <si>
    <t xml:space="preserve">Poznámka k souboru cen:_x000D_
1. Množství měrných jednotek se určuje v m2 rozvinuté betonové plochy, na které se výztuž ošetřuje. Je uvažováno 10 bm výztuže na 1 m2 plochy._x000D_
</t>
  </si>
  <si>
    <t>255,242+222,993</t>
  </si>
  <si>
    <t>19</t>
  </si>
  <si>
    <t>985323111</t>
  </si>
  <si>
    <t>Spojovací můstek reprofilovaného betonu na cementové bázi tl 1 mm</t>
  </si>
  <si>
    <t>-320688711</t>
  </si>
  <si>
    <t>Spojovací můstek reprofilovaného betonu na cementové bázi, tloušťky 1 mm</t>
  </si>
  <si>
    <t>https://podminky.urs.cz/item/CS_URS_2022_02/985323111</t>
  </si>
  <si>
    <t>20</t>
  </si>
  <si>
    <t>985324211</t>
  </si>
  <si>
    <t>Ochranný akrylátový nátěr betonu dvojnásobný s impregnací (OS-B)</t>
  </si>
  <si>
    <t>36976514</t>
  </si>
  <si>
    <t>Ochranný nátěr betonu akrylátový dvojnásobný s impregnací (OS-B)</t>
  </si>
  <si>
    <t>https://podminky.urs.cz/item/CS_URS_2022_02/985324211</t>
  </si>
  <si>
    <t>414,158+356,789</t>
  </si>
  <si>
    <t>985331213</t>
  </si>
  <si>
    <t>Dodatečné vlepování betonářské výztuže D 12 mm do chemické malty včetně vyvrtání otvoru</t>
  </si>
  <si>
    <t>m</t>
  </si>
  <si>
    <t>1650503452</t>
  </si>
  <si>
    <t>Dodatečné vlepování betonářské výztuže včetně vyvrtání a vyčištění otvoru chemickou maltou průměr výztuže 12 mm</t>
  </si>
  <si>
    <t>https://podminky.urs.cz/item/CS_URS_2022_02/985331213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</si>
  <si>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</si>
  <si>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odhad 25 % plochy, 5 prutů / m2</t>
  </si>
  <si>
    <t>478,235*0,25*5</t>
  </si>
  <si>
    <t>22</t>
  </si>
  <si>
    <t>M</t>
  </si>
  <si>
    <t>13021013</t>
  </si>
  <si>
    <t>tyč ocelová kruhová žebírková DIN 488 jakost B500B (10 505) výztuž do betonu D 12mm</t>
  </si>
  <si>
    <t>-753609653</t>
  </si>
  <si>
    <t>tyč ocelová žebírková jakost BSt 500S (10 505) výztuž do betonu D 12mm</t>
  </si>
  <si>
    <t>597,794*0,888*1,1/1000</t>
  </si>
  <si>
    <t>23</t>
  </si>
  <si>
    <t>985331217</t>
  </si>
  <si>
    <t>Dodatečné vlepování betonářské výztuže D 20 mm do chemické malty včetně vyvrtání otvoru</t>
  </si>
  <si>
    <t>670693191</t>
  </si>
  <si>
    <t>Dodatečné vlepování betonářské výztuže včetně vyvrtání a vyčištění otvoru chemickou maltou průměr výztuže 20 mm</t>
  </si>
  <si>
    <t>https://podminky.urs.cz/item/CS_URS_2022_02/985331217</t>
  </si>
  <si>
    <t>24</t>
  </si>
  <si>
    <t>13021017</t>
  </si>
  <si>
    <t>tyč ocelová kruhová žebírková DIN 488 jakost B500B (10 505) výztuž do betonu D 20mm</t>
  </si>
  <si>
    <t>1966610362</t>
  </si>
  <si>
    <t>tyč ocelová žebírková jakost BSt 500S (10 505) výztuž do betonu D 20mm</t>
  </si>
  <si>
    <t>597,794*2,46*1,01/1000</t>
  </si>
  <si>
    <t>25</t>
  </si>
  <si>
    <t>1477138478</t>
  </si>
  <si>
    <t>26</t>
  </si>
  <si>
    <t>596283960</t>
  </si>
  <si>
    <t>126,489*2 'Přepočtené koeficientem množství</t>
  </si>
  <si>
    <t>27</t>
  </si>
  <si>
    <t>1636734064</t>
  </si>
  <si>
    <t>28</t>
  </si>
  <si>
    <t>-854568541</t>
  </si>
  <si>
    <t>126,489*19 'Přepočtené koeficientem množství</t>
  </si>
  <si>
    <t>29</t>
  </si>
  <si>
    <t>997013861</t>
  </si>
  <si>
    <t>Poplatek za uložení stavebního odpadu na recyklační skládce (skládkovné) z prostého betonu kód odpadu 17 01 01</t>
  </si>
  <si>
    <t>-33409024</t>
  </si>
  <si>
    <t>Poplatek za uložení stavebního odpadu na recyklační skládce (skládkovné) z prostého betonu zatříděného do Katalogu odpadů pod kódem 17 01 01</t>
  </si>
  <si>
    <t>https://podminky.urs.cz/item/CS_URS_2022_02/997013861</t>
  </si>
  <si>
    <t>998</t>
  </si>
  <si>
    <t>Přesun hmot</t>
  </si>
  <si>
    <t>30</t>
  </si>
  <si>
    <t>998018002</t>
  </si>
  <si>
    <t>Přesun hmot ruční pro budovy v přes 6 do 12 m</t>
  </si>
  <si>
    <t>1448641234</t>
  </si>
  <si>
    <t>Přesun hmot pro budovy občanské výstavby, bydlení, výrobu a služby ruční - bez užití mechanizace vodorovná dopravní vzdálenost do 100 m pro budovy s jakoukoliv nosnou konstrukcí výšky přes 6 do 12 m</t>
  </si>
  <si>
    <t>https://podminky.urs.cz/item/CS_URS_2022_02/998018002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</si>
  <si>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</si>
  <si>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31</t>
  </si>
  <si>
    <t>HZS1292</t>
  </si>
  <si>
    <t>Hodinová zúčtovací sazba stavební dělník</t>
  </si>
  <si>
    <t>-332556215</t>
  </si>
  <si>
    <t>Hodinové zúčtovací sazby profesí HSV zemní a pomocné práce stavební dělník</t>
  </si>
  <si>
    <t>https://podminky.urs.cz/item/CS_URS_2022_02/HZS1292</t>
  </si>
  <si>
    <t>VRN</t>
  </si>
  <si>
    <t>Vedlejší rozpočtové náklady</t>
  </si>
  <si>
    <t>VRN1</t>
  </si>
  <si>
    <t>Průzkumné, geodetické a projektové práce</t>
  </si>
  <si>
    <t>32</t>
  </si>
  <si>
    <t>011514000</t>
  </si>
  <si>
    <t>Stavebně-statický průzkum</t>
  </si>
  <si>
    <t>…</t>
  </si>
  <si>
    <t>1024</t>
  </si>
  <si>
    <t>-408830679</t>
  </si>
  <si>
    <t>https://podminky.urs.cz/item/CS_URS_2022_02/011514000</t>
  </si>
  <si>
    <t>E 3 - Vyzdění severního průčelí</t>
  </si>
  <si>
    <t xml:space="preserve">    2 - Zakládání</t>
  </si>
  <si>
    <t xml:space="preserve">    3 - Svislé a kompletní konstrukce</t>
  </si>
  <si>
    <t xml:space="preserve">    6 - Úpravy povrchů, podlahy a osazování výplní</t>
  </si>
  <si>
    <t xml:space="preserve">    711 - Izolace proti vodě, vlhkosti a plynům</t>
  </si>
  <si>
    <t xml:space="preserve">    713 - Izolace tepelné</t>
  </si>
  <si>
    <t>Zakládání</t>
  </si>
  <si>
    <t>279113135</t>
  </si>
  <si>
    <t>Základová zeď tl přes 300 do 400 mm z tvárnic ztraceného bednění včetně výplně z betonu tř. C 16/20</t>
  </si>
  <si>
    <t>-473712678</t>
  </si>
  <si>
    <t>Základové zdi z tvárnic ztraceného bednění včetně výplně z betonu bez zvláštních nároků na vliv prostředí třídy C 16/20, tloušťky zdiva přes 300 do 400 mm</t>
  </si>
  <si>
    <t>https://podminky.urs.cz/item/CS_URS_2022_02/279113135</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</si>
  <si>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</si>
  <si>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24,0*0,25</t>
  </si>
  <si>
    <t>u sloupů</t>
  </si>
  <si>
    <t>0,24*0,25*5</t>
  </si>
  <si>
    <t>Svislé a kompletní konstrukce</t>
  </si>
  <si>
    <t>311270521</t>
  </si>
  <si>
    <t>Zdivo z vápenopískových přesných plných tvárnic 8DF do P15 tl 240 mm</t>
  </si>
  <si>
    <t>-634551943</t>
  </si>
  <si>
    <t>Zdivo z přesných vápenopískových tvárnic na tenkovrstvou maltu, tloušťka zdiva 240 mm, formát a rozměr cihel 8DF 248x240x248 mm plných, pevnosti do P15</t>
  </si>
  <si>
    <t>https://podminky.urs.cz/item/CS_URS_2022_02/311270521</t>
  </si>
  <si>
    <t>24*2,3</t>
  </si>
  <si>
    <t>dozdění u sloupů</t>
  </si>
  <si>
    <t>0,4*2,3*5</t>
  </si>
  <si>
    <t>311272031</t>
  </si>
  <si>
    <t>Zdivo z pórobetonových tvárnic hladkých přes P2 do P4 přes 450 do 600 kg/m3 na tenkovrstvou maltu tl 200 mm</t>
  </si>
  <si>
    <t>1955736031</t>
  </si>
  <si>
    <t>Zdivo z pórobetonových tvárnic na tenké maltové lože, tl. zdiva 200 mm pevnost tvárnic přes P2 do P4, objemová hmotnost přes 450 do 600 kg/m3 hladkých</t>
  </si>
  <si>
    <t>https://podminky.urs.cz/item/CS_URS_2022_02/311272031</t>
  </si>
  <si>
    <t>atika</t>
  </si>
  <si>
    <t>24,0*0,85</t>
  </si>
  <si>
    <t>311272111</t>
  </si>
  <si>
    <t>Zdivo z pórobetonových tvárnic hladkých do P2 do 450 kg/m3 na tenkovrstvou maltu tl 250 mm</t>
  </si>
  <si>
    <t>1002526881</t>
  </si>
  <si>
    <t>Zdivo z pórobetonových tvárnic na tenké maltové lože, tl. zdiva 250 mm pevnost tvárnic do P2, objemová hmotnost do 450 kg/m3 hladkých</t>
  </si>
  <si>
    <t>https://podminky.urs.cz/item/CS_URS_2022_02/311272111</t>
  </si>
  <si>
    <t>24,0*(3,95+3,95)</t>
  </si>
  <si>
    <t>3,95*0,4*5*2</t>
  </si>
  <si>
    <t>okna</t>
  </si>
  <si>
    <t>-2,4*2,4*8</t>
  </si>
  <si>
    <t>-2,4*2,4*6</t>
  </si>
  <si>
    <t>317941121</t>
  </si>
  <si>
    <t>Osazování ocelových válcovaných nosníků na zdivu I, IE, U, UE nebo L do č. 12 nebo výšky do 120 mm</t>
  </si>
  <si>
    <t>1115302006</t>
  </si>
  <si>
    <t>Osazování ocelových válcovaných nosníků na zdivu I nebo IE nebo U nebo UE nebo L do č. 12 nebo výšky do 120 mm</t>
  </si>
  <si>
    <t>https://podminky.urs.cz/item/CS_URS_2022_02/317941121</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</si>
  <si>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</si>
  <si>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13010514</t>
  </si>
  <si>
    <t>úhelník ocelový nerovnostranný jakost S235JR (11 375) 80x60x6mm</t>
  </si>
  <si>
    <t>-349145902</t>
  </si>
  <si>
    <t>úhelník ocelový nerovnostranný jakost 11 375 80x60x6mm</t>
  </si>
  <si>
    <t>2xL80/60/6</t>
  </si>
  <si>
    <t>6,37*2*(14*2,8)/1000</t>
  </si>
  <si>
    <t>0,499*1,05 'Přepočtené koeficientem množství</t>
  </si>
  <si>
    <t>342291112</t>
  </si>
  <si>
    <t>Ukotvení příček montážní polyuretanovou pěnou tl příčky přes 100 mm</t>
  </si>
  <si>
    <t>1242667470</t>
  </si>
  <si>
    <t>Ukotvení příček polyuretanovou pěnou, tl. příčky přes 100 mm</t>
  </si>
  <si>
    <t>https://podminky.urs.cz/item/CS_URS_2022_02/342291112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</si>
  <si>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</si>
  <si>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24*2</t>
  </si>
  <si>
    <t>342291121R</t>
  </si>
  <si>
    <t>Ukotvení příček k cihelným konstrukcím plochými kotvami - viz TZ</t>
  </si>
  <si>
    <t>1085586443</t>
  </si>
  <si>
    <t>Ukotvení příček plochými kotvami, do konstrukce cihelné - viz TZ</t>
  </si>
  <si>
    <t>2 spojky do spáry - 8ks/bm výšky ( v kalkulaci ceny 1 bm jsou 4 kotvy)</t>
  </si>
  <si>
    <t>2,3*2*2</t>
  </si>
  <si>
    <t>3,95*2*(2+2)</t>
  </si>
  <si>
    <t>342291131R</t>
  </si>
  <si>
    <t>Ukotvení příček k betonovým konstrukcím plochými kotvami  - viz TZ</t>
  </si>
  <si>
    <t>2061384413</t>
  </si>
  <si>
    <t>Ukotvení příček plochými kotvami, do konstrukce betonové - viz TZ</t>
  </si>
  <si>
    <t>2,3*2*5</t>
  </si>
  <si>
    <t>3,95*2*5*2</t>
  </si>
  <si>
    <t>342291143</t>
  </si>
  <si>
    <t>Ukotvení příček expanzní cementovou maltou tl příčky přes 100 mm</t>
  </si>
  <si>
    <t>531983802</t>
  </si>
  <si>
    <t>Ukotvení příček expanzní maltou, tl. příčky přes 100 mm</t>
  </si>
  <si>
    <t>https://podminky.urs.cz/item/CS_URS_2022_02/342291143</t>
  </si>
  <si>
    <t>1PP ukončení u stropu</t>
  </si>
  <si>
    <t>24,0</t>
  </si>
  <si>
    <t>Úpravy povrchů, podlahy a osazování výplní</t>
  </si>
  <si>
    <t>612335302</t>
  </si>
  <si>
    <t>Cementová štuková omítka ostění nebo nadpraží</t>
  </si>
  <si>
    <t>-1455041198</t>
  </si>
  <si>
    <t>Cementová omítka ostění nebo nadpraží štuková</t>
  </si>
  <si>
    <t>https://podminky.urs.cz/item/CS_URS_2022_02/612335302</t>
  </si>
  <si>
    <t xml:space="preserve">Poznámka k souboru cen:_x000D_
1. Ceny lze použít jen pro ocenění samostatně upravovaného ostění a nadpraží ( např. při dodatečné výměně oken nebo zárubní ) v šířce do 300 mm okolo upravovaného otvoru._x000D_
</t>
  </si>
  <si>
    <t>(0,6+0,15*2)*2,4*(8+6)</t>
  </si>
  <si>
    <t>615142012</t>
  </si>
  <si>
    <t>Potažení vnitřních nosníků rabicovým pletivem</t>
  </si>
  <si>
    <t>-1024715279</t>
  </si>
  <si>
    <t>Potažení vnitřních ploch pletivem v ploše nebo pruzích, na plném podkladu rabicovým provizorním přichycením nosníků</t>
  </si>
  <si>
    <t>https://podminky.urs.cz/item/CS_URS_2022_02/615142012</t>
  </si>
  <si>
    <t xml:space="preserve">Poznámka k souboru cen:_x000D_
1. V cenách -2001 jsou započteny i náklady na tmel._x000D_
</t>
  </si>
  <si>
    <t>632450124</t>
  </si>
  <si>
    <t>Vyrovnávací cementový potěr tl přes 40 do 50 mm ze suchých směsí provedený v pásu</t>
  </si>
  <si>
    <t>209148025</t>
  </si>
  <si>
    <t>Potěr cementový vyrovnávací ze suchých směsí v pásu o průměrné (střední) tl. přes 40 do 50 mm</t>
  </si>
  <si>
    <t>https://podminky.urs.cz/item/CS_URS_2022_02/632450124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</si>
  <si>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</si>
  <si>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pod zdivo</t>
  </si>
  <si>
    <t>24*0,4</t>
  </si>
  <si>
    <t>941221111</t>
  </si>
  <si>
    <t>Montáž lešení řadového rámového těžkého zatížení do 300 kg/m2 š od 0,9 do 1,2 m v do 10 m</t>
  </si>
  <si>
    <t>-839328093</t>
  </si>
  <si>
    <t>Montáž lešení řadového rámového těžkého pracovního s podlahami s provozním zatížením tř. 4 do 300 kg/m2 šířky tř. SW09 od 0,9 do 1,2 m, výšky do 10 m</t>
  </si>
  <si>
    <t>https://podminky.urs.cz/item/CS_URS_2022_02/941221111</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</si>
  <si>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</si>
  <si>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941221211</t>
  </si>
  <si>
    <t>Příplatek k lešení řadovému rámovému těžkému š 1,2 m v přes 10 do 25 m za první a ZKD den použití</t>
  </si>
  <si>
    <t>710528768</t>
  </si>
  <si>
    <t>Montáž lešení řadového rámového těžkého pracovního s podlahami s provozním zatížením tř. 4 do 300 kg/m2 Příplatek za první a každý další den použití lešení k ceně -1111 nebo -1112</t>
  </si>
  <si>
    <t>https://podminky.urs.cz/item/CS_URS_2022_02/941221211</t>
  </si>
  <si>
    <t>240*30</t>
  </si>
  <si>
    <t>941221811</t>
  </si>
  <si>
    <t>Demontáž lešení řadového rámového těžkého zatížení do 300 kg/m2 š od 0,9 do 1,2 m v do 10 m</t>
  </si>
  <si>
    <t>-1896820952</t>
  </si>
  <si>
    <t>Demontáž lešení řadového rámového těžkého pracovního s provozním zatížením tř. 4 do 300 kg/m2 šířky tř. SW09 od 0,9 do 1,2 m, výšky do 10 m</t>
  </si>
  <si>
    <t>https://podminky.urs.cz/item/CS_URS_2022_02/941221811</t>
  </si>
  <si>
    <t xml:space="preserve">Poznámka k souboru cen:_x000D_
1. Demontáž lešení řadového rámového těžkého výšky přes 40 m se oceňuje individuálně._x000D_
</t>
  </si>
  <si>
    <t>944511111</t>
  </si>
  <si>
    <t>Montáž ochranné sítě z textilie z umělých vláken</t>
  </si>
  <si>
    <t>-130914814</t>
  </si>
  <si>
    <t>Montáž ochranné sítě zavěšené na konstrukci lešení z textilie z umělých vláken</t>
  </si>
  <si>
    <t>https://podminky.urs.cz/item/CS_URS_2022_02/944511111</t>
  </si>
  <si>
    <t xml:space="preserve">Poznámka k souboru cen:_x000D_
1. V cenách nejsou započteny náklady na lešení potřebné pro zavěšení sítí; toto lešení se oceňuje příslušnými cenami lešení._x000D_
</t>
  </si>
  <si>
    <t>944511211</t>
  </si>
  <si>
    <t>Příplatek k ochranné síti za první a ZKD den použití</t>
  </si>
  <si>
    <t>-803980842</t>
  </si>
  <si>
    <t>Montáž ochranné sítě Příplatek za první a každý další den použití sítě k ceně -1111</t>
  </si>
  <si>
    <t>https://podminky.urs.cz/item/CS_URS_2022_02/944511211</t>
  </si>
  <si>
    <t>944511811</t>
  </si>
  <si>
    <t>Demontáž ochranné sítě z textilie z umělých vláken</t>
  </si>
  <si>
    <t>-1031698556</t>
  </si>
  <si>
    <t>Demontáž ochranné sítě zavěšené na konstrukci lešení z textilie z umělých vláken</t>
  </si>
  <si>
    <t>https://podminky.urs.cz/item/CS_URS_2022_02/944511811</t>
  </si>
  <si>
    <t>949101111</t>
  </si>
  <si>
    <t>Lešení pomocné pro objekty pozemních staveb s lešeňovou podlahou v do 1,9 m zatížení do 150 kg/m2</t>
  </si>
  <si>
    <t>-1583918132</t>
  </si>
  <si>
    <t>Lešení pomocné pracovní pro objekty pozemních staveb pro zatížení do 150 kg/m2, o výšce lešeňové podlahy do 1,9 m</t>
  </si>
  <si>
    <t>https://podminky.urs.cz/item/CS_URS_2022_02/949101111</t>
  </si>
  <si>
    <t>24*3*2</t>
  </si>
  <si>
    <t>-1716599020</t>
  </si>
  <si>
    <t>952902121</t>
  </si>
  <si>
    <t>Čištění budov zametení drsných podlah</t>
  </si>
  <si>
    <t>-319687420</t>
  </si>
  <si>
    <t>Čištění budov při provádění oprav a udržovacích prací podlah drsných nebo chodníků zametením</t>
  </si>
  <si>
    <t>https://podminky.urs.cz/item/CS_URS_2022_02/952902121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</si>
  <si>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</si>
  <si>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24*1,0</t>
  </si>
  <si>
    <t>952902131</t>
  </si>
  <si>
    <t>Čištění budov omytí drsných podlah</t>
  </si>
  <si>
    <t>675302136</t>
  </si>
  <si>
    <t>Čištění budov při provádění oprav a udržovacích prací podlah drsných nebo chodníků omytím</t>
  </si>
  <si>
    <t>https://podminky.urs.cz/item/CS_URS_2022_02/952902131</t>
  </si>
  <si>
    <t>975053141</t>
  </si>
  <si>
    <t>Víceřadové podchycení stropů pro osazení nosníků v do 3,5 m pro zatížení přes 800 do 1500 kg/m2</t>
  </si>
  <si>
    <t>1759337815</t>
  </si>
  <si>
    <t>Víceřadové podchycení stropů pro osazení nosníků dřevěnou výztuhou v. podchycení do 3,5 m a při zatížení hmotností přes 800 do 1500 kg/m2</t>
  </si>
  <si>
    <t>https://podminky.urs.cz/item/CS_URS_2022_02/975053141</t>
  </si>
  <si>
    <t xml:space="preserve">Poznámka k souboru cen:_x000D_
1. U víceřadového podchycení stropů se každá řada podchycení oceňuje zvlášť._x000D_
</t>
  </si>
  <si>
    <t>975058141</t>
  </si>
  <si>
    <t>Příplatek k víceřadovém podchycení stropů pro zatížení přes 800 do 1500 kg/m2 ZKD 1 m přes 3,5 m v podchycení</t>
  </si>
  <si>
    <t>1588279088</t>
  </si>
  <si>
    <t>Víceřadové podchycení stropů pro osazení nosníků dřevěnou výztuhou Příplatek k cenám za každý další 1 m výšky přes 3,50 m a při zatížení hmotností přes 800 do 1500 kg/m2</t>
  </si>
  <si>
    <t>https://podminky.urs.cz/item/CS_URS_2022_02/975058141</t>
  </si>
  <si>
    <t>621926513</t>
  </si>
  <si>
    <t>711</t>
  </si>
  <si>
    <t>Izolace proti vodě, vlhkosti a plynům</t>
  </si>
  <si>
    <t>711111002</t>
  </si>
  <si>
    <t>Provedení izolace proti zemní vlhkosti vodorovné za studena lakem asfaltovým</t>
  </si>
  <si>
    <t>2027484903</t>
  </si>
  <si>
    <t>Provedení izolace proti zemní vlhkosti natěradly a tmely za studena na ploše vodorovné V nátěrem lakem asfaltovým</t>
  </si>
  <si>
    <t>https://podminky.urs.cz/item/CS_URS_2022_02/711111002</t>
  </si>
  <si>
    <t xml:space="preserve">Poznámka k souboru cen:_x000D_
1. Izolace plochy jednotlivě do 10 m2 se oceňují skladebně cenou příslušné izolace a cenou 711 19-9095 Příplatek za plochu do 10 m2._x000D_
</t>
  </si>
  <si>
    <t>0,6*24,2</t>
  </si>
  <si>
    <t>0,6*0,6*5</t>
  </si>
  <si>
    <t>přesah</t>
  </si>
  <si>
    <t>0,6*1,0*2</t>
  </si>
  <si>
    <t>711112002</t>
  </si>
  <si>
    <t>Provedení izolace proti zemní vlhkosti svislé za studena lakem asfaltovým</t>
  </si>
  <si>
    <t>779534656</t>
  </si>
  <si>
    <t>Provedení izolace proti zemní vlhkosti natěradly a tmely za studena na ploše svislé S nátěrem lakem asfaltovým</t>
  </si>
  <si>
    <t>https://podminky.urs.cz/item/CS_URS_2022_02/711112002</t>
  </si>
  <si>
    <t>2,5*24,2</t>
  </si>
  <si>
    <t>2,5*1,0*2</t>
  </si>
  <si>
    <t>11163152</t>
  </si>
  <si>
    <t>lak hydroizolační asfaltový</t>
  </si>
  <si>
    <t>-1254535746</t>
  </si>
  <si>
    <t>17,52+65,5</t>
  </si>
  <si>
    <t>83,02*0,00045 'Přepočtené koeficientem množství</t>
  </si>
  <si>
    <t>711141559</t>
  </si>
  <si>
    <t>Provedení izolace proti zemní vlhkosti pásy přitavením vodorovné NAIP</t>
  </si>
  <si>
    <t>319318010</t>
  </si>
  <si>
    <t>Provedení izolace proti zemní vlhkosti pásy přitavením NAIP na ploše vodorovné V</t>
  </si>
  <si>
    <t>https://podminky.urs.cz/item/CS_URS_2022_02/711141559</t>
  </si>
  <si>
    <t xml:space="preserve">Poznámka k souboru cen:_x000D_
1. Izolace plochy jednotlivě do 10 m2 se oceňují skladebně cenou příslušné izolace a cenou 711 19-9097 Příplatek za plochu do 10 m2._x000D_
</t>
  </si>
  <si>
    <t>17,52*2</t>
  </si>
  <si>
    <t>711142559</t>
  </si>
  <si>
    <t>Provedení izolace proti zemní vlhkosti pásy přitavením svislé NAIP</t>
  </si>
  <si>
    <t>-422022730</t>
  </si>
  <si>
    <t>Provedení izolace proti zemní vlhkosti pásy přitavením NAIP na ploše svislé S</t>
  </si>
  <si>
    <t>https://podminky.urs.cz/item/CS_URS_2022_02/711142559</t>
  </si>
  <si>
    <t>65,5*2</t>
  </si>
  <si>
    <t>Přes detail vnější hrany paty stěny hydroizolaci ztrojit</t>
  </si>
  <si>
    <t>24,2*0,5</t>
  </si>
  <si>
    <t>62855001</t>
  </si>
  <si>
    <t>pás asfaltový natavitelný modifikovaný SBS tl 4,0mm s vložkou z polyesterové rohože a spalitelnou PE fólií nebo jemnozrnným minerálním posypem na horním povrchu</t>
  </si>
  <si>
    <t>-1251043537</t>
  </si>
  <si>
    <t>35,04+131,000+12,</t>
  </si>
  <si>
    <t>178,04*1,2 'Přepočtené koeficientem množství</t>
  </si>
  <si>
    <t>33</t>
  </si>
  <si>
    <t>998711102</t>
  </si>
  <si>
    <t>Přesun hmot tonážní pro izolace proti vodě, vlhkosti a plynům v objektech v přes 6 do 12 m</t>
  </si>
  <si>
    <t>1862991389</t>
  </si>
  <si>
    <t>Přesun hmot pro izolace proti vodě, vlhkosti a plynům stanovený z hmotnosti přesunovaného materiálu vodorovná dopravní vzdálenost do 50 m v objektech výšky přes 6 do 12 m</t>
  </si>
  <si>
    <t>https://podminky.urs.cz/item/CS_URS_2022_02/998711102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</si>
  <si>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</si>
  <si>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34</t>
  </si>
  <si>
    <t>998711181</t>
  </si>
  <si>
    <t>Příplatek k přesunu hmot tonážní 711 prováděný bez použití mechanizace</t>
  </si>
  <si>
    <t>-591268772</t>
  </si>
  <si>
    <t>Přesun hmot pro izolace proti vodě, vlhkosti a plynům stanovený z hmotnosti přesunovaného materiálu Příplatek k cenám za přesun prováděný bez použití mechanizace pro jakoukoliv výšku objektu</t>
  </si>
  <si>
    <t>https://podminky.urs.cz/item/CS_URS_2022_02/998711181</t>
  </si>
  <si>
    <t>713</t>
  </si>
  <si>
    <t>Izolace tepelné</t>
  </si>
  <si>
    <t>35</t>
  </si>
  <si>
    <t>713131141</t>
  </si>
  <si>
    <t>Montáž izolace tepelné stěn a základů lepením celoplošně rohoží, pásů, dílců, desek</t>
  </si>
  <si>
    <t>-246362968</t>
  </si>
  <si>
    <t>Montáž tepelné izolace stěn rohožemi, pásy, deskami, dílci, bloky (izolační materiál ve specifikaci) lepením celoplošně</t>
  </si>
  <si>
    <t>https://podminky.urs.cz/item/CS_URS_2022_02/713131141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</si>
  <si>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</si>
  <si>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1PP</t>
  </si>
  <si>
    <t>24,2*1,5</t>
  </si>
  <si>
    <t>36</t>
  </si>
  <si>
    <t>28376442</t>
  </si>
  <si>
    <t>deska XPS hrana rovná a strukturovaný povrch 300kPa tl 80mm</t>
  </si>
  <si>
    <t>-1834667452</t>
  </si>
  <si>
    <t>deska z polystyrénu XPS, hrana rovná a strukturovaný povrch 300kPa tl 80mm</t>
  </si>
  <si>
    <t>36,3*1,1 'Přepočtené koeficientem množství</t>
  </si>
  <si>
    <t>37</t>
  </si>
  <si>
    <t>998713102</t>
  </si>
  <si>
    <t>Přesun hmot tonážní pro izolace tepelné v objektech v přes 6 do 12 m</t>
  </si>
  <si>
    <t>-1930093149</t>
  </si>
  <si>
    <t>Přesun hmot pro izolace tepelné stanovený z hmotnosti přesunovaného materiálu vodorovná dopravní vzdálenost do 50 m v objektech výšky přes 6 m do 12 m</t>
  </si>
  <si>
    <t>https://podminky.urs.cz/item/CS_URS_2022_02/998713102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</si>
  <si>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</si>
  <si>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38</t>
  </si>
  <si>
    <t>998713181</t>
  </si>
  <si>
    <t>Příplatek k přesunu hmot tonážní 713 prováděný bez použití mechanizace</t>
  </si>
  <si>
    <t>-449667326</t>
  </si>
  <si>
    <t>Přesun hmot pro izolace tepelné stanovený z hmotnosti přesunovaného materiálu Příplatek k cenám za přesun prováděný bez použití mechanizace pro jakoukoliv výšku objektu</t>
  </si>
  <si>
    <t>https://podminky.urs.cz/item/CS_URS_2022_02/998713181</t>
  </si>
  <si>
    <t>39</t>
  </si>
  <si>
    <t>1445766507</t>
  </si>
  <si>
    <t>E 4 - Oddělení bourané a ponechávané části, bourání bazénu</t>
  </si>
  <si>
    <t xml:space="preserve">    VRN3 - Zařízení staveniště</t>
  </si>
  <si>
    <t xml:space="preserve">    VRN5 - Finanční náklady</t>
  </si>
  <si>
    <t xml:space="preserve">    VRN7 - Provozní vlivy</t>
  </si>
  <si>
    <t>964053111</t>
  </si>
  <si>
    <t>Bourání ŽB trámů, průvlaků nebo pásů průřezu do 0,25 m2</t>
  </si>
  <si>
    <t>m3</t>
  </si>
  <si>
    <t>1558582097</t>
  </si>
  <si>
    <t>Bourání samostatných trámů, průvlaků nebo pásů ze železobetonu bez přerušení výztuže, průřezu do 0,25 m2</t>
  </si>
  <si>
    <t>https://podminky.urs.cz/item/CS_URS_2022_02/964053111</t>
  </si>
  <si>
    <t>betonový trám</t>
  </si>
  <si>
    <t>24,63*(0,6*0,4+0,24*1,4)</t>
  </si>
  <si>
    <t>685647070</t>
  </si>
  <si>
    <t>P</t>
  </si>
  <si>
    <t>Poznámka k položce:_x000D_
Podstojkování stropů</t>
  </si>
  <si>
    <t>-1266867020</t>
  </si>
  <si>
    <t>977211111</t>
  </si>
  <si>
    <t>Řezání stěnovou pilou betonových nebo ŽB kcí s výztuží průměru do 16 mm hl do 200 mm</t>
  </si>
  <si>
    <t>-1868252660</t>
  </si>
  <si>
    <t>Řezání konstrukcí stěnovou pilou betonových nebo železobetonových průměru řezané výztuže do 16 mm hloubka řezu do 200 mm</t>
  </si>
  <si>
    <t>https://podminky.urs.cz/item/CS_URS_2022_02/977211111</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</si>
  <si>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</si>
  <si>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0,85*2</t>
  </si>
  <si>
    <t>977211112</t>
  </si>
  <si>
    <t>Řezání stěnovou pilou betonových nebo ŽB kcí s výztuží průměru do 16 mm hl přes 200 do 350 mm</t>
  </si>
  <si>
    <t>-523998462</t>
  </si>
  <si>
    <t>Řezání konstrukcí stěnovou pilou betonových nebo železobetonových průměru řezané výztuže do 16 mm hloubka řezu přes 200 do 350 mm</t>
  </si>
  <si>
    <t>https://podminky.urs.cz/item/CS_URS_2022_02/977211112</t>
  </si>
  <si>
    <t>Proříznutí spáry ve stropu nad PP</t>
  </si>
  <si>
    <t>24,4</t>
  </si>
  <si>
    <t>spáry ve stěnách PP</t>
  </si>
  <si>
    <t>2,95*2</t>
  </si>
  <si>
    <t>Proříznutí spáry ve stropu nad 1. NP</t>
  </si>
  <si>
    <t>24,63</t>
  </si>
  <si>
    <t>spáry ve stěnách 1. NP</t>
  </si>
  <si>
    <t>2*4,2</t>
  </si>
  <si>
    <t>Proříznutí věnce nad 2. NP-Betonový trám vč. plochých průvlaků</t>
  </si>
  <si>
    <t>24,63+4,2*2+1,4*2</t>
  </si>
  <si>
    <t>977211113</t>
  </si>
  <si>
    <t>Řezání stěnovou pilou betonových nebo ŽB kcí s výztuží průměru do 16 mm hl přes 350 do 420 mm</t>
  </si>
  <si>
    <t>-1914086451</t>
  </si>
  <si>
    <t>Řezání konstrukcí stěnovou pilou betonových nebo železobetonových průměru řezané výztuže do 16 mm hloubka řezu přes 350 do 420 mm</t>
  </si>
  <si>
    <t>https://podminky.urs.cz/item/CS_URS_2022_02/977211113</t>
  </si>
  <si>
    <t>0,6*2</t>
  </si>
  <si>
    <t>981013715</t>
  </si>
  <si>
    <t>Demolice budov ze železobetonu podíl konstrukcí přes 25 do 30 % těžkou mechanizací</t>
  </si>
  <si>
    <t>2027223522</t>
  </si>
  <si>
    <t>Demolice budov těžkými mechanizačními prostředky z monolitického nebo montovaného železobetonu včetně výplňového zdiva, s podílem konstrukcí přes 25 do 30 %</t>
  </si>
  <si>
    <t>https://podminky.urs.cz/item/CS_URS_2022_02/981013715</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</si>
  <si>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</si>
  <si>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24,6*13,6*7,5</t>
  </si>
  <si>
    <t>S</t>
  </si>
  <si>
    <t>doprava strojů pro bourání na stavbu</t>
  </si>
  <si>
    <t>-1903503387</t>
  </si>
  <si>
    <t>997006007</t>
  </si>
  <si>
    <t>Drcení stavebního odpadu ze zdiva z betonu železového s dopravou do 100 m a naložením</t>
  </si>
  <si>
    <t>152641159</t>
  </si>
  <si>
    <t>Úprava stavebního odpadu drcení s dopravou na vzdálenost do 100 m a naložením do drtícího zařízení ze zdiva železobetonového</t>
  </si>
  <si>
    <t>https://podminky.urs.cz/item/CS_URS_2022_02/997006007</t>
  </si>
  <si>
    <t xml:space="preserve">Poznámka k souboru cen:_x000D_
1. Množství měrných jednotek u ceny -6002 se určuje v t odpadu před roztříděním._x000D_
2. V ceně -6003 jsou započteny náklady na pytlování závadného odpadu, např. trusu, dřeva napadeného škůdci nebo hnilobou, apod._x000D_
</t>
  </si>
  <si>
    <t>997006511</t>
  </si>
  <si>
    <t>Vodorovná doprava suti s naložením a složením na skládku do 100 m</t>
  </si>
  <si>
    <t>-1696993330</t>
  </si>
  <si>
    <t>Vodorovná doprava suti na skládku s naložením na dopravní prostředek a složením do 100 m</t>
  </si>
  <si>
    <t>https://podminky.urs.cz/item/CS_URS_2022_02/997006511</t>
  </si>
  <si>
    <t xml:space="preserve">Poznámka k souboru cen:_x000D_
1. Pro volbu ceny je rozhodující dopravní vzdálenost těžiště skládky a půdorysné plochy objektu._x000D_
</t>
  </si>
  <si>
    <t>997006512</t>
  </si>
  <si>
    <t>Vodorovné doprava suti s naložením a složením na skládku přes 100 m do 1 km</t>
  </si>
  <si>
    <t>262854915</t>
  </si>
  <si>
    <t>Vodorovná doprava suti na skládku s naložením na dopravní prostředek a složením přes 100 m do 1 km</t>
  </si>
  <si>
    <t>https://podminky.urs.cz/item/CS_URS_2022_02/997006512</t>
  </si>
  <si>
    <t>odvoz přebytečného recyklátu</t>
  </si>
  <si>
    <t>1690,121</t>
  </si>
  <si>
    <t>-486,000*2,5-230,672</t>
  </si>
  <si>
    <t>997006519</t>
  </si>
  <si>
    <t>Příplatek k vodorovnému přemístění suti na skládku ZKD 1 km přes 1 km</t>
  </si>
  <si>
    <t>-647597146</t>
  </si>
  <si>
    <t>Vodorovná doprava suti na skládku Příplatek k ceně -6512 za každý další i započatý 1 km</t>
  </si>
  <si>
    <t>https://podminky.urs.cz/item/CS_URS_2022_02/997006519</t>
  </si>
  <si>
    <t>244,449*19 'Přepočtené koeficientem množství</t>
  </si>
  <si>
    <t>997006551</t>
  </si>
  <si>
    <t>Hrubé urovnání suti na skládce bez zhutnění</t>
  </si>
  <si>
    <t>-843068787</t>
  </si>
  <si>
    <t>https://podminky.urs.cz/item/CS_URS_2022_02/997006551</t>
  </si>
  <si>
    <t xml:space="preserve">Poznámka k souboru cen:_x000D_
1. Cena nezahrnuje náklady na poplatek za skládku; tyto lze ocenit cenami souboru cen 997 01-38 Poplatek za uložení stavebního odpadu na skládku katalogu 801-3 Budovy a haly - bourání konstrukcí._x000D_
</t>
  </si>
  <si>
    <t>1490619836</t>
  </si>
  <si>
    <t>244,449*0,8</t>
  </si>
  <si>
    <t>1319970949</t>
  </si>
  <si>
    <t>244,449*0,2</t>
  </si>
  <si>
    <t>X1</t>
  </si>
  <si>
    <t>doprava a pronájem drtičky po dobu realizace bouracích prací</t>
  </si>
  <si>
    <t>1812963725</t>
  </si>
  <si>
    <t>1649801300</t>
  </si>
  <si>
    <t>013264000</t>
  </si>
  <si>
    <t>Dokumentace bouracích prací</t>
  </si>
  <si>
    <t>618827279</t>
  </si>
  <si>
    <t>https://podminky.urs.cz/item/CS_URS_2022_02/013264000</t>
  </si>
  <si>
    <t>Zhotovitel písemně předloží technologický postup bouracích prací</t>
  </si>
  <si>
    <t>VRN3</t>
  </si>
  <si>
    <t>Zařízení staveniště</t>
  </si>
  <si>
    <t>034103000</t>
  </si>
  <si>
    <t>Oplocení staveniště</t>
  </si>
  <si>
    <t>-2009321889</t>
  </si>
  <si>
    <t>https://podminky.urs.cz/item/CS_URS_2022_02/034103000</t>
  </si>
  <si>
    <t>034603000</t>
  </si>
  <si>
    <t>Alarm, strážní služba staveniště</t>
  </si>
  <si>
    <t>-1827179842</t>
  </si>
  <si>
    <t>https://podminky.urs.cz/item/CS_URS_2022_02/034603000</t>
  </si>
  <si>
    <t>Prostor bude po celou dobu</t>
  </si>
  <si>
    <t>strojního bourání, tj. od zahájení písemným příkazem po ukončení bourání,střežen</t>
  </si>
  <si>
    <t>VRN7</t>
  </si>
  <si>
    <t>Provozní vlivy</t>
  </si>
  <si>
    <t>072103001</t>
  </si>
  <si>
    <t>Projednání DIO a zajištění DIR komunikace II.a III. třídy</t>
  </si>
  <si>
    <t>671688499</t>
  </si>
  <si>
    <t>https://podminky.urs.cz/item/CS_URS_2022_02/072103001</t>
  </si>
  <si>
    <t>072103011</t>
  </si>
  <si>
    <t>Zajištění DIO komunikace II. a III. třídy - jednoduché el. vedení</t>
  </si>
  <si>
    <t>-1350756006</t>
  </si>
  <si>
    <t>https://podminky.urs.cz/item/CS_URS_2022_02/072103011</t>
  </si>
  <si>
    <t>E 5 - Dozdívky a vybourání otvorů v plášti, odstranění pláště střechy</t>
  </si>
  <si>
    <t xml:space="preserve">    712 - Povlakové krytiny</t>
  </si>
  <si>
    <t xml:space="preserve">    762 - Konstrukce tesařské</t>
  </si>
  <si>
    <t xml:space="preserve">    764 - Konstrukce klempířské</t>
  </si>
  <si>
    <t xml:space="preserve">    767 - Konstrukce zámečnické</t>
  </si>
  <si>
    <t>1811226353</t>
  </si>
  <si>
    <t>dozdívky u sloupů</t>
  </si>
  <si>
    <t>2*0,435*3,95*4</t>
  </si>
  <si>
    <t>1051341081</t>
  </si>
  <si>
    <t>1NP</t>
  </si>
  <si>
    <t>1,0*2,0</t>
  </si>
  <si>
    <t>311272211</t>
  </si>
  <si>
    <t>Zdivo z pórobetonových tvárnic hladkých do P2 do 450 kg/m3 na tenkovrstvou maltu tl 300 mm</t>
  </si>
  <si>
    <t>728882409</t>
  </si>
  <si>
    <t>Zdivo z pórobetonových tvárnic na tenké maltové lože, tl. zdiva 300 mm pevnost tvárnic do P2, objemová hmotnost do 450 kg/m3 hladkých</t>
  </si>
  <si>
    <t>https://podminky.urs.cz/item/CS_URS_2022_02/311272211</t>
  </si>
  <si>
    <t>1,0*2,0+0,6*0,6+0,9*0,9*3</t>
  </si>
  <si>
    <t>2NP</t>
  </si>
  <si>
    <t>0,9*0,9*3</t>
  </si>
  <si>
    <t>(1,305+1,2+0,6+1,235)*2,4</t>
  </si>
  <si>
    <t>(3,95-0,9-2,4)*14,24</t>
  </si>
  <si>
    <t>2,4*(6,6+0,6+0,5)</t>
  </si>
  <si>
    <t>(3,95-2,4)*14,3</t>
  </si>
  <si>
    <t>196777730</t>
  </si>
  <si>
    <t>-1258862023</t>
  </si>
  <si>
    <t>6,37*2*(4,0+4,0+2,8+2,8*2+2,2)/1000</t>
  </si>
  <si>
    <t>0,237*1,05 'Přepočtené koeficientem množství</t>
  </si>
  <si>
    <t>317944321</t>
  </si>
  <si>
    <t>Válcované nosníky do č.12 dodatečně osazované do připravených otvorů</t>
  </si>
  <si>
    <t>1703976788</t>
  </si>
  <si>
    <t>Válcované nosníky dodatečně osazované do připravených otvorů bez zazdění hlav do č. 12</t>
  </si>
  <si>
    <t>https://podminky.urs.cz/item/CS_URS_2022_02/317944321</t>
  </si>
  <si>
    <t xml:space="preserve">Poznámka k souboru cen:_x000D_
1. V cenách jsou zahrnuty náklady na dodávku a montáž válcovaných nosníků._x000D_
2. Ceny jsou určeny pouze pro ocenění konstrukce překladů nad otvory._x000D_
</t>
  </si>
  <si>
    <t>2xIPN 120</t>
  </si>
  <si>
    <t>2*1,5*11,1/1000*1,05</t>
  </si>
  <si>
    <t>4xIPN 120</t>
  </si>
  <si>
    <t>4*2,5*11,1/1000*1,05</t>
  </si>
  <si>
    <t>4*2,6*11,1/1000*1,05</t>
  </si>
  <si>
    <t>4*1,9*11,1/1000*1,05</t>
  </si>
  <si>
    <t>Ukotvení příček k betonovým konstrukcím plochými kotvami - viz TZ</t>
  </si>
  <si>
    <t>-2011846262</t>
  </si>
  <si>
    <t>kotvení dozdívek na sloupy</t>
  </si>
  <si>
    <t>3,95*2*(4+3)</t>
  </si>
  <si>
    <t>3,95*2*4</t>
  </si>
  <si>
    <t>-1741577620</t>
  </si>
  <si>
    <t>14,24+14,24</t>
  </si>
  <si>
    <t>349231811</t>
  </si>
  <si>
    <t>Přizdívka ostění s ozubem z cihel tl přes 80 do 150 mm</t>
  </si>
  <si>
    <t>408190543</t>
  </si>
  <si>
    <t>Přizdívka z cihel ostění s ozubem ve vybouraných otvorech, s vysekáním kapes pro zavázaní přes 80 do 150 mm</t>
  </si>
  <si>
    <t>https://podminky.urs.cz/item/CS_URS_2022_02/349231811</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</si>
  <si>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</si>
  <si>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0,7*2,15</t>
  </si>
  <si>
    <t>219348590</t>
  </si>
  <si>
    <t>(0,3+0,15*2)*(1,1+2,1*2+2,1*2)</t>
  </si>
  <si>
    <t>(0,3+0,15*2)*(3,6*2+2,4+2,4*2+1,8+1,5*2)</t>
  </si>
  <si>
    <t>1485045961</t>
  </si>
  <si>
    <t>629135102</t>
  </si>
  <si>
    <t>Vyrovnávací vrstva pod klempířské prvky z MC š přes 150 do 300 mm</t>
  </si>
  <si>
    <t>881174797</t>
  </si>
  <si>
    <t>Vyrovnávací vrstva z cementové malty pod klempířskými prvky šířky přes 150 do 300 mm</t>
  </si>
  <si>
    <t>https://podminky.urs.cz/item/CS_URS_2022_02/629135102</t>
  </si>
  <si>
    <t>Horní hranu /parapety/ po odbourání začistit zednicky</t>
  </si>
  <si>
    <t>3,6+3,6+2,4+2,4+2,4+1,8</t>
  </si>
  <si>
    <t>-1774551761</t>
  </si>
  <si>
    <t>10*(15+16+7)</t>
  </si>
  <si>
    <t>1470460529</t>
  </si>
  <si>
    <t>380,000*30</t>
  </si>
  <si>
    <t>785523719</t>
  </si>
  <si>
    <t>1950151232</t>
  </si>
  <si>
    <t>-1899815938</t>
  </si>
  <si>
    <t>-2129932090</t>
  </si>
  <si>
    <t>-1187617237</t>
  </si>
  <si>
    <t>24*13,7</t>
  </si>
  <si>
    <t>-785754734</t>
  </si>
  <si>
    <t>961044111</t>
  </si>
  <si>
    <t>Bourání základů z betonu prostého</t>
  </si>
  <si>
    <t>-906859426</t>
  </si>
  <si>
    <t>Bourání základů z betonu prostého</t>
  </si>
  <si>
    <t>https://podminky.urs.cz/item/CS_URS_2022_02/961044111</t>
  </si>
  <si>
    <t>střecha - podklady trámů  - odhad</t>
  </si>
  <si>
    <t>962042521</t>
  </si>
  <si>
    <t>Bourání zdiva nadzákladového z lehčeného betonu přes 1 m3</t>
  </si>
  <si>
    <t>-1077039931</t>
  </si>
  <si>
    <t>Bourání zdiva z lehčeného betonu nadzákladového objemu přes 1 m3</t>
  </si>
  <si>
    <t>https://podminky.urs.cz/item/CS_URS_2022_02/962042521</t>
  </si>
  <si>
    <t>strojovna VZT</t>
  </si>
  <si>
    <t>0,15*(12,2+3,6*2)*0,45</t>
  </si>
  <si>
    <t>0,3*(3,05*(12,2*2+3,6*2)-0,9*0,9*2-1,55*2,05)</t>
  </si>
  <si>
    <t>962052211</t>
  </si>
  <si>
    <t>Bourání zdiva nadzákladového ze ŽB přes 1 m3</t>
  </si>
  <si>
    <t>-1933990151</t>
  </si>
  <si>
    <t>Bourání zdiva železobetonového nadzákladového, objemu přes 1 m3</t>
  </si>
  <si>
    <t>https://podminky.urs.cz/item/CS_URS_2022_02/962052211</t>
  </si>
  <si>
    <t xml:space="preserve">Poznámka k souboru cen:_x000D_
1. Bourání pilířů o průřezu přes 0,36 m2 se oceňuje cenami - 2210 a -2211 jako bourání zdiva nadzákladového železobetonového._x000D_
</t>
  </si>
  <si>
    <t>plášť</t>
  </si>
  <si>
    <t>0,3*(14,24*2,8-0,9*0,9*8)</t>
  </si>
  <si>
    <t>0,3*(14,3*2,8-5,4*0,9*2-1,8*0,9)</t>
  </si>
  <si>
    <t>ubourání atiky</t>
  </si>
  <si>
    <t>0,85*0,2*12,1</t>
  </si>
  <si>
    <t>podstavce VZT</t>
  </si>
  <si>
    <t>1,25*0,95*0,1*3+0,15*0,5*(1,25*2+0,95*2)*3</t>
  </si>
  <si>
    <t>963012510</t>
  </si>
  <si>
    <t>Bourání stropů z ŽB desek š do 300 mm tl do 140 mm</t>
  </si>
  <si>
    <t>-1250693481</t>
  </si>
  <si>
    <t>Bourání stropů z desek nebo panelů železobetonových prefabrikovaných s dutinami z desek, š. do 300 mm tl. do 140 mm</t>
  </si>
  <si>
    <t>https://podminky.urs.cz/item/CS_URS_2022_02/963012510</t>
  </si>
  <si>
    <t xml:space="preserve">Poznámka k souboru cen:_x000D_
1. Bourání stropů z panelů plných se oceňuje cenami souboru cen 963 05-1 . Bourání železobetonových stropů._x000D_
</t>
  </si>
  <si>
    <t>12,5*3,6*0,1</t>
  </si>
  <si>
    <t>965045113</t>
  </si>
  <si>
    <t>Bourání potěrů cementových nebo pískocementových tl do 50 mm pl přes 4 m2</t>
  </si>
  <si>
    <t>-816006637</t>
  </si>
  <si>
    <t>Bourání potěrů tl. do 50 mm cementových nebo pískocementových, plochy přes 4 m2</t>
  </si>
  <si>
    <t>https://podminky.urs.cz/item/CS_URS_2022_02/965045113</t>
  </si>
  <si>
    <t>3,6*11,6</t>
  </si>
  <si>
    <t>968072354</t>
  </si>
  <si>
    <t>Vybourání kovových rámů oken zdvojených včetně křídel pl do 1 m2</t>
  </si>
  <si>
    <t>915924865</t>
  </si>
  <si>
    <t>Vybourání kovových rámů oken s křídly, dveřních zárubní, vrat, stěn, ostění nebo obkladů okenních rámů s křídly zdvojených, plochy do 1 m2</t>
  </si>
  <si>
    <t>https://podminky.urs.cz/item/CS_URS_2022_02/968072354</t>
  </si>
  <si>
    <t xml:space="preserve">Poznámka k souboru cen:_x000D_
1. V cenách -2244 až -2559 jsou započteny i náklady na vyvěšení křídel._x000D_
2. Cenou -2641 se oceňuje i vybourání nosné ocelové konstrukce pro sádrokartonové příčky._x000D_
</t>
  </si>
  <si>
    <t>0,9*0,9*2</t>
  </si>
  <si>
    <t>968072455</t>
  </si>
  <si>
    <t>Vybourání kovových dveřních zárubní pl do 2 m2</t>
  </si>
  <si>
    <t>1252732137</t>
  </si>
  <si>
    <t>Vybourání kovových rámů oken s křídly, dveřních zárubní, vrat, stěn, ostění nebo obkladů dveřních zárubní, plochy do 2 m2</t>
  </si>
  <si>
    <t>https://podminky.urs.cz/item/CS_URS_2022_02/968072455</t>
  </si>
  <si>
    <t>0,8*2,0*2</t>
  </si>
  <si>
    <t>968072456</t>
  </si>
  <si>
    <t>Vybourání kovových dveřních zárubní pl přes 2 m2</t>
  </si>
  <si>
    <t>-379045432</t>
  </si>
  <si>
    <t>Vybourání kovových rámů oken s křídly, dveřních zárubní, vrat, stěn, ostění nebo obkladů dveřních zárubní, plochy přes 2 m2</t>
  </si>
  <si>
    <t>https://podminky.urs.cz/item/CS_URS_2022_02/968072456</t>
  </si>
  <si>
    <t>1,55*2,05</t>
  </si>
  <si>
    <t>968082015</t>
  </si>
  <si>
    <t>Vybourání plastových rámů oken včetně křídel plochy do 1 m2</t>
  </si>
  <si>
    <t>1816694222</t>
  </si>
  <si>
    <t>Vybourání plastových rámů oken s křídly, dveřních zárubní, vrat rámu oken s křídly, plochy do 1 m2</t>
  </si>
  <si>
    <t>https://podminky.urs.cz/item/CS_URS_2022_02/968082015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</si>
  <si>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</si>
  <si>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0,9*0,9*8</t>
  </si>
  <si>
    <t>968082016</t>
  </si>
  <si>
    <t>Vybourání plastových rámů oken včetně křídel plochy přes 1 do 2 m2</t>
  </si>
  <si>
    <t>-595818246</t>
  </si>
  <si>
    <t>Vybourání plastových rámů oken s křídly, dveřních zárubní, vrat rámu oken s křídly, plochy přes 1 do 2 m2</t>
  </si>
  <si>
    <t>https://podminky.urs.cz/item/CS_URS_2022_02/968082016</t>
  </si>
  <si>
    <t>1,8*0,9</t>
  </si>
  <si>
    <t>968082018</t>
  </si>
  <si>
    <t>Vybourání plastových rámů oken včetně křídel plochy přes 4 m2</t>
  </si>
  <si>
    <t>262802797</t>
  </si>
  <si>
    <t>Vybourání plastových rámů oken s křídly, dveřních zárubní, vrat rámu oken s křídly, plochy přes 4 m2</t>
  </si>
  <si>
    <t>https://podminky.urs.cz/item/CS_URS_2022_02/968082018</t>
  </si>
  <si>
    <t>5,4*0,9*2</t>
  </si>
  <si>
    <t>971033631</t>
  </si>
  <si>
    <t>Vybourání otvorů ve zdivu cihelném pl do 4 m2 na MVC nebo MV tl do 150 mm</t>
  </si>
  <si>
    <t>1693580224</t>
  </si>
  <si>
    <t>Vybourání otvorů ve zdivu základovém nebo nadzákladovém z cihel, tvárnic, příčkovek z cihel pálených na maltu vápennou nebo vápenocementovou plochy do 4 m2, tl. do 150 mm</t>
  </si>
  <si>
    <t>https://podminky.urs.cz/item/CS_URS_2022_02/971033631</t>
  </si>
  <si>
    <t>1,4*2-0,8*2</t>
  </si>
  <si>
    <t>971033641</t>
  </si>
  <si>
    <t>Vybourání otvorů ve zdivu cihelném pl do 4 m2 na MVC nebo MV tl do 300 mm</t>
  </si>
  <si>
    <t>995590900</t>
  </si>
  <si>
    <t>Vybourání otvorů ve zdivu základovém nebo nadzákladovém z cihel, tvárnic, příčkovek z cihel pálených na maltu vápennou nebo vápenocementovou plochy do 4 m2, tl. do 300 mm</t>
  </si>
  <si>
    <t>https://podminky.urs.cz/item/CS_URS_2022_02/971033641</t>
  </si>
  <si>
    <t>1,1*2,1</t>
  </si>
  <si>
    <t>971052651</t>
  </si>
  <si>
    <t>Vybourání nebo prorážení otvorů v ŽB příčkách a zdech pl do 4 m2 tl do 600 mm</t>
  </si>
  <si>
    <t>-312023315</t>
  </si>
  <si>
    <t>Vybourání a prorážení otvorů v železobetonových příčkách a zdech základových nebo nadzákladových, plochy do 4 m2, tl. do 600 mm</t>
  </si>
  <si>
    <t>https://podminky.urs.cz/item/CS_URS_2022_02/971052651</t>
  </si>
  <si>
    <t>2,1*2,15*0,3</t>
  </si>
  <si>
    <t>2,1*2,15*0,25</t>
  </si>
  <si>
    <t>(2,1*2,15-1,4*2,0)*0,3</t>
  </si>
  <si>
    <t>(2,1*2,15-1,4*2,0)*0,25</t>
  </si>
  <si>
    <t>2MP</t>
  </si>
  <si>
    <t>0,25*0,7*2,0</t>
  </si>
  <si>
    <t>973031335</t>
  </si>
  <si>
    <t>Vysekání kapes ve zdivu cihelném na MV nebo MVC pl do 0,16 m2 hl do 300 mm</t>
  </si>
  <si>
    <t>-476299161</t>
  </si>
  <si>
    <t>Vysekání výklenků nebo kapes ve zdivu z cihel na maltu vápennou nebo vápenocementovou kapes, plochy do 0,16 m2, hl. do 300 mm</t>
  </si>
  <si>
    <t>https://podminky.urs.cz/item/CS_URS_2022_02/973031335</t>
  </si>
  <si>
    <t>2+4*2</t>
  </si>
  <si>
    <t>4+1</t>
  </si>
  <si>
    <t>2047191515</t>
  </si>
  <si>
    <t>při pochybnotech o uložení panelů</t>
  </si>
  <si>
    <t>14*2</t>
  </si>
  <si>
    <t>843654952</t>
  </si>
  <si>
    <t>978011191</t>
  </si>
  <si>
    <t>Otlučení (osekání) vnitřní vápenné nebo vápenocementové omítky stropů v rozsahu přes 50 do 100 %</t>
  </si>
  <si>
    <t>835690271</t>
  </si>
  <si>
    <t>Otlučení vápenných nebo vápenocementových omítek vnitřních ploch stropů, v rozsahu přes 50 do 100 %</t>
  </si>
  <si>
    <t>https://podminky.urs.cz/item/CS_URS_2022_02/978011191</t>
  </si>
  <si>
    <t xml:space="preserve">Poznámka k souboru cen:_x000D_
1. Položky lze použít i pro ocenění otlučení sádrových, hliněných apod. vnitřních omítek._x000D_
</t>
  </si>
  <si>
    <t>-771388568</t>
  </si>
  <si>
    <t>12,235</t>
  </si>
  <si>
    <t>40</t>
  </si>
  <si>
    <t>1376900651</t>
  </si>
  <si>
    <t>41</t>
  </si>
  <si>
    <t>985112132</t>
  </si>
  <si>
    <t>Odsekání degradovaného betonu rubu kleneb a podlah tl přes 10 do 30 mm</t>
  </si>
  <si>
    <t>-1024434723</t>
  </si>
  <si>
    <t>Odsekání degradovaného betonu rubu kleneb a podlah, tloušťky přes 10 do 30 mm</t>
  </si>
  <si>
    <t>https://podminky.urs.cz/item/CS_URS_2022_02/985112132</t>
  </si>
  <si>
    <t>49,876</t>
  </si>
  <si>
    <t>42</t>
  </si>
  <si>
    <t>985112133</t>
  </si>
  <si>
    <t>Odsekání degradovaného betonu rubu kleneb a podlah tl přes 30 do 50 mm</t>
  </si>
  <si>
    <t>356387070</t>
  </si>
  <si>
    <t>Odsekání degradovaného betonu rubu kleneb a podlah, tloušťky přes 30 do 50 mm</t>
  </si>
  <si>
    <t>https://podminky.urs.cz/item/CS_URS_2022_02/985112133</t>
  </si>
  <si>
    <t>43</t>
  </si>
  <si>
    <t>525078066</t>
  </si>
  <si>
    <t>44</t>
  </si>
  <si>
    <t>-2002290015</t>
  </si>
  <si>
    <t>45</t>
  </si>
  <si>
    <t>985139112</t>
  </si>
  <si>
    <t>Příplatek k očištění ploch za plochu do 10 m2 jednotlivě</t>
  </si>
  <si>
    <t>-505879628</t>
  </si>
  <si>
    <t>Očištění ploch Příplatek k cenám za plochu do 10 m2 jednotlivě</t>
  </si>
  <si>
    <t>https://podminky.urs.cz/item/CS_URS_2022_02/985139112</t>
  </si>
  <si>
    <t>46</t>
  </si>
  <si>
    <t>1648600104</t>
  </si>
  <si>
    <t>atika - odhad projektanta - 15%</t>
  </si>
  <si>
    <t>(0,85+0,2)*(24,6*2+14,24*2)*0,15</t>
  </si>
  <si>
    <t>47</t>
  </si>
  <si>
    <t>-1647203317</t>
  </si>
  <si>
    <t>atika - odhad projektanta - 20%</t>
  </si>
  <si>
    <t>(0,85+0,2)*(24,6*2+14,24*2)*0,20</t>
  </si>
  <si>
    <t>48</t>
  </si>
  <si>
    <t>985311312</t>
  </si>
  <si>
    <t>Reprofilace rubu kleneb a podlah cementovou sanační maltou tl přes 10 do 20 mm</t>
  </si>
  <si>
    <t>877023321</t>
  </si>
  <si>
    <t>Reprofilace betonu sanačními maltami na cementové bázi ručně rubu kleneb a podlah, tloušťky přes 10 do 20 mm</t>
  </si>
  <si>
    <t>https://podminky.urs.cz/item/CS_URS_2022_02/985311312</t>
  </si>
  <si>
    <t>střecha - odhad projektanta - 15%</t>
  </si>
  <si>
    <t>24,2*13,74*0,15</t>
  </si>
  <si>
    <t>49</t>
  </si>
  <si>
    <t>985311314</t>
  </si>
  <si>
    <t>Reprofilace rubu kleneb a podlah cementovou sanační maltou tl přes 30 do 40 mm</t>
  </si>
  <si>
    <t>-1504404668</t>
  </si>
  <si>
    <t>Reprofilace betonu sanačními maltami na cementové bázi ručně rubu kleneb a podlah, tloušťky přes 30 do 40 mm</t>
  </si>
  <si>
    <t>https://podminky.urs.cz/item/CS_URS_2022_02/985311314</t>
  </si>
  <si>
    <t>střecha - odhad projektanta - 20%</t>
  </si>
  <si>
    <t>24,2*13,74*0,2</t>
  </si>
  <si>
    <t>50</t>
  </si>
  <si>
    <t>-666467835</t>
  </si>
  <si>
    <t>16,313</t>
  </si>
  <si>
    <t>51</t>
  </si>
  <si>
    <t>985321112</t>
  </si>
  <si>
    <t>Ochranný nátěr výztuže na cementové bázi rubu kleneb a podlah 1 vrstva tl 1 mm</t>
  </si>
  <si>
    <t>409832034</t>
  </si>
  <si>
    <t>Ochranný nátěr betonářské výztuže 1 vrstva tloušťky 1 mm na cementové bázi rubu kleneb a podlah</t>
  </si>
  <si>
    <t>https://podminky.urs.cz/item/CS_URS_2022_02/985321112</t>
  </si>
  <si>
    <t>52</t>
  </si>
  <si>
    <t>2086125746</t>
  </si>
  <si>
    <t>66,502+49,876</t>
  </si>
  <si>
    <t>16,313+12,235</t>
  </si>
  <si>
    <t>53</t>
  </si>
  <si>
    <t>-429473869</t>
  </si>
  <si>
    <t>(16,313+66,52)/2*0,25*5</t>
  </si>
  <si>
    <t>54</t>
  </si>
  <si>
    <t>-484636723</t>
  </si>
  <si>
    <t>51,771*0,888*1,1/1000</t>
  </si>
  <si>
    <t>55</t>
  </si>
  <si>
    <t>1955930642</t>
  </si>
  <si>
    <t>56</t>
  </si>
  <si>
    <t>-1856953132</t>
  </si>
  <si>
    <t>203,288*2 'Přepočtené koeficientem množství</t>
  </si>
  <si>
    <t>57</t>
  </si>
  <si>
    <t>235457348</t>
  </si>
  <si>
    <t>58</t>
  </si>
  <si>
    <t>-86978098</t>
  </si>
  <si>
    <t>203,288*19 'Přepočtené koeficientem množství</t>
  </si>
  <si>
    <t>59</t>
  </si>
  <si>
    <t>997013813</t>
  </si>
  <si>
    <t>Poplatek za uložení na skládce (skládkovné) stavebního odpadu z plastických hmot kód odpadu 17 02 03</t>
  </si>
  <si>
    <t>285168761</t>
  </si>
  <si>
    <t>Poplatek za uložení stavebního odpadu na skládce (skládkovné) z plastických hmot zatříděného do Katalogu odpadů pod kódem 17 02 03</t>
  </si>
  <si>
    <t>https://podminky.urs.cz/item/CS_URS_2022_02/997013813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</si>
  <si>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</si>
  <si>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0,473+0,096+0,418</t>
  </si>
  <si>
    <t>60</t>
  </si>
  <si>
    <t>997013814</t>
  </si>
  <si>
    <t>Poplatek za uložení na skládce (skládkovné) stavebního odpadu izolací kód odpadu 17 06 04</t>
  </si>
  <si>
    <t>2120993616</t>
  </si>
  <si>
    <t>Poplatek za uložení stavebního odpadu na skládce (skládkovné) z izolačních materiálů zatříděného do Katalogu odpadů pod kódem 17 06 04</t>
  </si>
  <si>
    <t>https://podminky.urs.cz/item/CS_URS_2022_02/997013814</t>
  </si>
  <si>
    <t>4,365+21,046</t>
  </si>
  <si>
    <t>61</t>
  </si>
  <si>
    <t>997013847</t>
  </si>
  <si>
    <t>Poplatek za uložení na skládce (skládkovné) odpadu asfaltového s dehtem kód odpadu 17 03 01</t>
  </si>
  <si>
    <t>-1458293187</t>
  </si>
  <si>
    <t>Poplatek za uložení stavebního odpadu na skládce (skládkovné) asfaltového s obsahem dehtu zatříděného do Katalogu odpadů pod kódem 17 03 01</t>
  </si>
  <si>
    <t>https://podminky.urs.cz/item/CS_URS_2022_02/997013847</t>
  </si>
  <si>
    <t>62</t>
  </si>
  <si>
    <t>997013862</t>
  </si>
  <si>
    <t>Poplatek za uložení stavebního odpadu na recyklační skládce (skládkovné) z armovaného betonu kód odpadu 17 01 01</t>
  </si>
  <si>
    <t>220118938</t>
  </si>
  <si>
    <t>Poplatek za uložení stavebního odpadu na recyklační skládce (skládkovné) z armovaného betonu zatříděného do Katalogu odpadů pod kódem 17 01 01</t>
  </si>
  <si>
    <t>https://podminky.urs.cz/item/CS_URS_2022_02/997013862</t>
  </si>
  <si>
    <t>189,145</t>
  </si>
  <si>
    <t>-0,987-25,411-7,235-5,412-3,449</t>
  </si>
  <si>
    <t>63</t>
  </si>
  <si>
    <t>997013867</t>
  </si>
  <si>
    <t>Poplatek za uložení stavebního odpadu na recyklační skládce (skládkovné) z tašek a keramických výrobků kód odpadu 17 01 03</t>
  </si>
  <si>
    <t>-1411837764</t>
  </si>
  <si>
    <t>Poplatek za uložení stavebního odpadu na recyklační skládce (skládkovné) z tašek a keramických výrobků zatříděného do Katalogu odpadů pod kódem 17 01 03</t>
  </si>
  <si>
    <t>https://podminky.urs.cz/item/CS_URS_2022_02/997013867</t>
  </si>
  <si>
    <t>0,324+4,158+0,93</t>
  </si>
  <si>
    <t>64</t>
  </si>
  <si>
    <t>-251097515</t>
  </si>
  <si>
    <t>0,396+0,378</t>
  </si>
  <si>
    <t>0,144+0,243+0,2+2,088</t>
  </si>
  <si>
    <t>65</t>
  </si>
  <si>
    <t>1221561333</t>
  </si>
  <si>
    <t>712</t>
  </si>
  <si>
    <t>Povlakové krytiny</t>
  </si>
  <si>
    <t>66</t>
  </si>
  <si>
    <t>712340833</t>
  </si>
  <si>
    <t>Odstranění povlakové krytiny střech do 10° z pásů NAIP přitavených v plné ploše třívrstvé</t>
  </si>
  <si>
    <t>1966809609</t>
  </si>
  <si>
    <t>Odstranění povlakové krytiny střech plochých do 10° z přitavených pásů NAIP v plné ploše třívrstvé</t>
  </si>
  <si>
    <t>https://podminky.urs.cz/item/CS_URS_2022_02/712340833</t>
  </si>
  <si>
    <t>12,2*3,6+(0,5+0,15)*(12,2+3,6*2)</t>
  </si>
  <si>
    <t>střecha</t>
  </si>
  <si>
    <t>24,2*11,835-12,2*3,6+24,6*1,9</t>
  </si>
  <si>
    <t>(0,2+0,3)*(24,76*2+12,335*2-12,2+1,9*2)</t>
  </si>
  <si>
    <t>67</t>
  </si>
  <si>
    <t>712340834</t>
  </si>
  <si>
    <t>Příplatek k odstranění povlakové krytiny střech do 10° z pásů NAIP přitavených v plné ploše ZKD vrstvu</t>
  </si>
  <si>
    <t>-450095080</t>
  </si>
  <si>
    <t>Odstranění povlakové krytiny střech plochých do 10° z přitavených pásů NAIP v plné ploše Příplatek k ceně - 0833 za každou další vrstvu</t>
  </si>
  <si>
    <t>https://podminky.urs.cz/item/CS_URS_2022_02/712340834</t>
  </si>
  <si>
    <t>68</t>
  </si>
  <si>
    <t>712300845</t>
  </si>
  <si>
    <t>Demontáž ventilační hlavice na ploché střeše sklonu do 10°</t>
  </si>
  <si>
    <t>743854414</t>
  </si>
  <si>
    <t>Ostatní práce při odstranění povlakové krytiny střech plochých do 10° doplňků ventilační hlavice</t>
  </si>
  <si>
    <t>https://podminky.urs.cz/item/CS_URS_2022_02/712300845</t>
  </si>
  <si>
    <t>69</t>
  </si>
  <si>
    <t>713140814</t>
  </si>
  <si>
    <t>Odstranění tepelné izolace střech nadstřešní volně kladené z vláknitých materiálů nasáklých vodou tl přes 100 mm</t>
  </si>
  <si>
    <t>-595072806</t>
  </si>
  <si>
    <t>Odstranění tepelné izolace střech plochých z rohoží, pásů, dílců, desek, bloků nadstřešních izolací volně položených z vláknitých materiálů nasáklých vodou, tloušťka izolace přes 100 mm</t>
  </si>
  <si>
    <t>https://podminky.urs.cz/item/CS_URS_2022_02/713140814</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</si>
  <si>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</si>
  <si>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70</t>
  </si>
  <si>
    <t>713140823</t>
  </si>
  <si>
    <t>Odstranění tepelné izolace střech nadstřešní volně kladené z polystyrenu suchého tl přes 100 mm</t>
  </si>
  <si>
    <t>-1826110639</t>
  </si>
  <si>
    <t>Odstranění tepelné izolace střech plochých z rohoží, pásů, dílců, desek, bloků nadstřešních izolací volně položených z polystyrenu suchého, tloušťka izolace přes 100 mm</t>
  </si>
  <si>
    <t>https://podminky.urs.cz/item/CS_URS_2022_02/713140823</t>
  </si>
  <si>
    <t>762</t>
  </si>
  <si>
    <t>Konstrukce tesařské</t>
  </si>
  <si>
    <t>71</t>
  </si>
  <si>
    <t>762331813</t>
  </si>
  <si>
    <t>Demontáž vázaných kcí krovů z hranolů průřezové pl přes 224 do 288 cm2</t>
  </si>
  <si>
    <t>-1719325553</t>
  </si>
  <si>
    <t>Demontáž vázaných konstrukcí krovů sklonu do 60° z hranolů, hranolků, fošen, průřezové plochy přes 224 do 288 cm2</t>
  </si>
  <si>
    <t>https://podminky.urs.cz/item/CS_URS_2022_02/762331813</t>
  </si>
  <si>
    <t>odhad - 0,8 bm/m2</t>
  </si>
  <si>
    <t>(24,2*11,835-12,2*3,6+24,6*1,9)*0,8</t>
  </si>
  <si>
    <t>72</t>
  </si>
  <si>
    <t>762341832</t>
  </si>
  <si>
    <t>Demontáž bednění střech z desek tvrdých</t>
  </si>
  <si>
    <t>-1375305350</t>
  </si>
  <si>
    <t>Demontáž bednění a laťování bednění střech rovných, obloukových, sklonu do 60° se všemi nadstřešními konstrukcemi z desek tvrdých (cementotřískových, dřevoštěpkových apod.)</t>
  </si>
  <si>
    <t>https://podminky.urs.cz/item/CS_URS_2022_02/762341832</t>
  </si>
  <si>
    <t>764</t>
  </si>
  <si>
    <t>Konstrukce klempířské</t>
  </si>
  <si>
    <t>73</t>
  </si>
  <si>
    <t>764002821</t>
  </si>
  <si>
    <t>Demontáž střešního výlezu do suti</t>
  </si>
  <si>
    <t>-290882139</t>
  </si>
  <si>
    <t>Demontáž klempířských konstrukcí střešního výlezu do suti</t>
  </si>
  <si>
    <t>https://podminky.urs.cz/item/CS_URS_2022_02/764002821</t>
  </si>
  <si>
    <t>74</t>
  </si>
  <si>
    <t>764002841</t>
  </si>
  <si>
    <t>Demontáž oplechování horních ploch zdí a nadezdívek do suti</t>
  </si>
  <si>
    <t>-1978256922</t>
  </si>
  <si>
    <t>Demontáž klempířských konstrukcí oplechování horních ploch zdí a nadezdívek do suti</t>
  </si>
  <si>
    <t>https://podminky.urs.cz/item/CS_URS_2022_02/764002841</t>
  </si>
  <si>
    <t>24,9*2+12,5*2-12,2+1,9*2</t>
  </si>
  <si>
    <t>12,5+3,76*2</t>
  </si>
  <si>
    <t>75</t>
  </si>
  <si>
    <t>764002851</t>
  </si>
  <si>
    <t>Demontáž oplechování parapetů do suti</t>
  </si>
  <si>
    <t>433863007</t>
  </si>
  <si>
    <t>Demontáž klempířských konstrukcí oplechování parapetů do suti</t>
  </si>
  <si>
    <t>https://podminky.urs.cz/item/CS_URS_2022_02/764002851</t>
  </si>
  <si>
    <t>0,9*6+0,6+0,9*3+0,6</t>
  </si>
  <si>
    <t>0,9*8+5,4*2+1,8+0,9*3</t>
  </si>
  <si>
    <t>76</t>
  </si>
  <si>
    <t>764002881</t>
  </si>
  <si>
    <t>Demontáž lemování střešních prostupů do suti</t>
  </si>
  <si>
    <t>234100058</t>
  </si>
  <si>
    <t>Demontáž klempířských konstrukcí lemování střešních prostupů do suti</t>
  </si>
  <si>
    <t>https://podminky.urs.cz/item/CS_URS_2022_02/764002881</t>
  </si>
  <si>
    <t>světlíky</t>
  </si>
  <si>
    <t>(1,5*2+1,1*2)*0,5*6</t>
  </si>
  <si>
    <t>podstavec VZT</t>
  </si>
  <si>
    <t>(1,25*2+0,95*2)*3*0,5+1,25*0,95*3</t>
  </si>
  <si>
    <t>767</t>
  </si>
  <si>
    <t>Konstrukce zámečnické</t>
  </si>
  <si>
    <t>77</t>
  </si>
  <si>
    <t>767311831</t>
  </si>
  <si>
    <t>Demontáž světlíků bodových s umělohmotnou výplní</t>
  </si>
  <si>
    <t>1016171718</t>
  </si>
  <si>
    <t>Demontáž světlíků s umělohmotnou výplní bodových</t>
  </si>
  <si>
    <t>https://podminky.urs.cz/item/CS_URS_2022_02/767311831</t>
  </si>
  <si>
    <t xml:space="preserve">Poznámka k souboru cen:_x000D_
1. Měrná jednotka se určuje v m2 půdorysné plochy světlíků._x000D_
2. Cena obsahuje i náklady na demontáž manžety._x000D_
</t>
  </si>
  <si>
    <t>1,5*1,1*6</t>
  </si>
  <si>
    <t>78</t>
  </si>
  <si>
    <t>767321810</t>
  </si>
  <si>
    <t>Demontáž podsvětlíků a zasklení</t>
  </si>
  <si>
    <t>-483038033</t>
  </si>
  <si>
    <t>Demontáž podsvětlíků se zasklením</t>
  </si>
  <si>
    <t>https://podminky.urs.cz/item/CS_URS_2022_02/767321810</t>
  </si>
  <si>
    <t>79</t>
  </si>
  <si>
    <t>-2108992511</t>
  </si>
  <si>
    <t>E 6 - Provedení střechy po parozábranu</t>
  </si>
  <si>
    <t>1278737219</t>
  </si>
  <si>
    <t>dozdění atiky</t>
  </si>
  <si>
    <t>0,85*(1,705+5,305)</t>
  </si>
  <si>
    <t>631319013</t>
  </si>
  <si>
    <t>Příplatek k mazanině tl přes 120 do 240 mm za přehlazení povrchu</t>
  </si>
  <si>
    <t>-667499547</t>
  </si>
  <si>
    <t>Příplatek k cenám mazanin za úpravu povrchu mazaniny přehlazením, mazanina tl. přes 120 do 240 mm</t>
  </si>
  <si>
    <t>https://podminky.urs.cz/item/CS_URS_2022_02/631319013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</si>
  <si>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</si>
  <si>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631319185</t>
  </si>
  <si>
    <t>Příplatek k mazanině tl přes 120 do 240 mm za sklon přes 15 do 35°</t>
  </si>
  <si>
    <t>1235974214</t>
  </si>
  <si>
    <t>Příplatek k cenám mazanin za sklon přes 15° do 35° od vodorovné roviny mazanina tl. přes 120 do 240 mm</t>
  </si>
  <si>
    <t>https://podminky.urs.cz/item/CS_URS_2022_02/631319185</t>
  </si>
  <si>
    <t>631342132</t>
  </si>
  <si>
    <t>Mazanina tl přes 120 do 240 mm z betonu lehkého tepelně-izolačního polystyrenového 500 kg/m3</t>
  </si>
  <si>
    <t>402429085</t>
  </si>
  <si>
    <t>Mazanina z betonu lehkého tepelně-izolačního polystyrénového tl. přes 120 do 240 mm, objemové hmotnosti 500 kg/m3</t>
  </si>
  <si>
    <t>https://podminky.urs.cz/item/CS_URS_2022_02/631342132</t>
  </si>
  <si>
    <t xml:space="preserve">Poznámka k souboru cen:_x000D_
1. Ceny jsou určeny pro výplňové a vyrovnávací vrstvy podlah a spádové vrstvy plochých střech._x000D_
</t>
  </si>
  <si>
    <t>Plocha střechy uvnitř atik bude vyrovnána polystyrenbetonem</t>
  </si>
  <si>
    <t>objemová hmotnost v suchém stavu 350 +/-50 kg/m3,</t>
  </si>
  <si>
    <t>332,508*0,15</t>
  </si>
  <si>
    <t>634661111</t>
  </si>
  <si>
    <t>Výplň dilatačních spar šířky do 5 mm v mazaninách silikonovým tmelem</t>
  </si>
  <si>
    <t>-1804234777</t>
  </si>
  <si>
    <t>Výplň dilatačních spar mazanin silikonovým tmelem, šířka spáry do 5 mm</t>
  </si>
  <si>
    <t>https://podminky.urs.cz/item/CS_URS_2022_02/634661111</t>
  </si>
  <si>
    <t xml:space="preserve">Poznámka k souboru cen:_x000D_
1. V cenách jsou započteny i náklady na ochranu okrajů spáry papírovou páskou._x000D_
2. V cenách 634 66-21.. a 634 66-31.. jsou započteny i náklady na těsnící provazec z pěnového polyetylénu._x000D_
</t>
  </si>
  <si>
    <t>634911112</t>
  </si>
  <si>
    <t>Řezání dilatačních spár š 5 mm hl přes 10 do 20 mm v čerstvé betonové mazanině</t>
  </si>
  <si>
    <t>-681178205</t>
  </si>
  <si>
    <t>Řezání dilatačních nebo smršťovacích spár v čerstvé betonové mazanině nebo potěru šířky do 5 mm, hloubky přes 10 do 20 mm</t>
  </si>
  <si>
    <t>https://podminky.urs.cz/item/CS_URS_2022_02/634911112</t>
  </si>
  <si>
    <t xml:space="preserve">Poznámka k souboru cen:_x000D_
1. V cenách jsou započteny i náklady na vyčištění spár po řezání._x000D_
</t>
  </si>
  <si>
    <t>24,2*2+13,74*4</t>
  </si>
  <si>
    <t>BP</t>
  </si>
  <si>
    <t>pumpa betonové směsi</t>
  </si>
  <si>
    <t>-976154430</t>
  </si>
  <si>
    <t>-1011210374</t>
  </si>
  <si>
    <t>-1226065529</t>
  </si>
  <si>
    <t>-20731073</t>
  </si>
  <si>
    <t>vyčištění střechy před betonáží</t>
  </si>
  <si>
    <t>24,2*13,74</t>
  </si>
  <si>
    <t>1311723699</t>
  </si>
  <si>
    <t>977151117</t>
  </si>
  <si>
    <t>Jádrové vrty diamantovými korunkami do stavebních materiálů D přes 80 do 90 mm</t>
  </si>
  <si>
    <t>1850897985</t>
  </si>
  <si>
    <t>Jádrové vrty diamantovými korunkami do stavebních materiálů (železobetonu, betonu, cihel, obkladů, dlažeb, kamene) průměru přes 80 do 90 mm</t>
  </si>
  <si>
    <t>https://podminky.urs.cz/item/CS_URS_2022_02/977151117</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</si>
  <si>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</si>
  <si>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prostupy kanalizace</t>
  </si>
  <si>
    <t>0,25</t>
  </si>
  <si>
    <t>977151119</t>
  </si>
  <si>
    <t>Jádrové vrty diamantovými korunkami do stavebních materiálů D přes 100 do 110 mm</t>
  </si>
  <si>
    <t>-780233083</t>
  </si>
  <si>
    <t>Jádrové vrty diamantovými korunkami do stavebních materiálů (železobetonu, betonu, cihel, obkladů, dlažeb, kamene) průměru přes 100 do 110 mm</t>
  </si>
  <si>
    <t>https://podminky.urs.cz/item/CS_URS_2022_02/977151119</t>
  </si>
  <si>
    <t>0,25*2</t>
  </si>
  <si>
    <t>977151123</t>
  </si>
  <si>
    <t>Jádrové vrty diamantovými korunkami do stavebních materiálů D přes 130 do 150 mm</t>
  </si>
  <si>
    <t>-683314055</t>
  </si>
  <si>
    <t>Jádrové vrty diamantovými korunkami do stavebních materiálů (železobetonu, betonu, cihel, obkladů, dlažeb, kamene) průměru přes 130 do 150 mm</t>
  </si>
  <si>
    <t>https://podminky.urs.cz/item/CS_URS_2022_02/977151123</t>
  </si>
  <si>
    <t>-1552642021</t>
  </si>
  <si>
    <t>35678452</t>
  </si>
  <si>
    <t>0,024*2 'Přepočtené koeficientem množství</t>
  </si>
  <si>
    <t>899487228</t>
  </si>
  <si>
    <t>-1472297494</t>
  </si>
  <si>
    <t>0,024*19 'Přepočtené koeficientem množství</t>
  </si>
  <si>
    <t>-1578064637</t>
  </si>
  <si>
    <t>-255204949</t>
  </si>
  <si>
    <t>712311101</t>
  </si>
  <si>
    <t>Provedení povlakové krytiny střech do 10° za studena lakem penetračním nebo asfaltovým</t>
  </si>
  <si>
    <t>988174985</t>
  </si>
  <si>
    <t>Provedení povlakové krytiny střech plochých do 10° natěradly a tmely za studena nátěrem lakem penetračním nebo asfaltovým</t>
  </si>
  <si>
    <t>https://podminky.urs.cz/item/CS_URS_2022_02/712311101</t>
  </si>
  <si>
    <t xml:space="preserve">Poznámka k souboru cen:_x000D_
1. Povlakové krytiny střech jednotlivě do 10 m2 se oceňují skladebně cenou příslušné izolace a cenou 712 39-9095 Příplatek za plochu do 10 m2._x000D_
</t>
  </si>
  <si>
    <t>11163150</t>
  </si>
  <si>
    <t>lak penetrační asfaltový</t>
  </si>
  <si>
    <t>2037067999</t>
  </si>
  <si>
    <t>332,508*0,0003 'Přepočtené koeficientem množství</t>
  </si>
  <si>
    <t>712341559</t>
  </si>
  <si>
    <t>Provedení povlakové krytiny střech do 10° pásy NAIP přitavením v plné ploše</t>
  </si>
  <si>
    <t>55325459</t>
  </si>
  <si>
    <t>Provedení povlakové krytiny střech plochých do 10° pásy přitavením NAIP v plné ploše</t>
  </si>
  <si>
    <t>https://podminky.urs.cz/item/CS_URS_2022_02/712341559</t>
  </si>
  <si>
    <t xml:space="preserve">Poznámka k souboru cen:_x000D_
1. Povlakové krytiny střech jednotlivě do 10 m2 se oceňují skladebně cenou příslušné izolace a cenou 712 39-9097 Příplatek za plochu do 10 m2._x000D_
</t>
  </si>
  <si>
    <t>62856011</t>
  </si>
  <si>
    <t>pás asfaltový natavitelný modifikovaný SBS tl 4,0mm s vložkou z hliníkové fólie, hliníkové fólie s textilií a spalitelnou PE fólií nebo jemnozrnným minerálním posypem na horním povrchu</t>
  </si>
  <si>
    <t>811286888</t>
  </si>
  <si>
    <t>332,508*1,2 'Přepočtené koeficientem množství</t>
  </si>
  <si>
    <t>998712102</t>
  </si>
  <si>
    <t>Přesun hmot tonážní tonážní pro krytiny povlakové v objektech v přes 6 do 12 m</t>
  </si>
  <si>
    <t>-971454438</t>
  </si>
  <si>
    <t>Přesun hmot pro povlakové krytiny stanovený z hmotnosti přesunovaného materiálu vodorovná dopravní vzdálenost do 50 m v objektech výšky přes 6 do 12 m</t>
  </si>
  <si>
    <t>https://podminky.urs.cz/item/CS_URS_2022_02/998712102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</si>
  <si>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</si>
  <si>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998712181</t>
  </si>
  <si>
    <t>Příplatek k přesunu hmot tonážní 712 prováděný bez použití mechanizace</t>
  </si>
  <si>
    <t>-40618614</t>
  </si>
  <si>
    <t>Přesun hmot pro povlakové krytiny stanovený z hmotnosti přesunovaného materiálu Příplatek k cenám za přesun prováděný bez použití mechanizace pro jakoukoliv výšku objektu</t>
  </si>
  <si>
    <t>https://podminky.urs.cz/item/CS_URS_2022_02/998712181</t>
  </si>
  <si>
    <t>762523963</t>
  </si>
  <si>
    <t>Montáž doplnění části podlah z desek tvrdých pl jednotlivě přes 1 do 4 m2</t>
  </si>
  <si>
    <t>2088358420</t>
  </si>
  <si>
    <t>Doplnění tesařské podlahy deskami - montáž (materiál ve specifikaci) tvrdými (cementotřískovými, cementovými, dřevoštěpkovými apod), plochy jednotlivě přes 1,00 do 4,00 m2</t>
  </si>
  <si>
    <t>https://podminky.urs.cz/item/CS_URS_2022_02/762523963</t>
  </si>
  <si>
    <t xml:space="preserve">Poznámka k souboru cen:_x000D_
1. Tyto ceny lze použít i pro ocenění podlahových konstrukcí podkladových._x000D_
</t>
  </si>
  <si>
    <t>zakrytí otvorů před betonáží</t>
  </si>
  <si>
    <t>1,45*1,05*5+0,45*1,05</t>
  </si>
  <si>
    <t>0,5*0,5*3*2</t>
  </si>
  <si>
    <t>59155233</t>
  </si>
  <si>
    <t>deska cementovláknitá int/ext protipožární tl 20mm</t>
  </si>
  <si>
    <t>-1420757109</t>
  </si>
  <si>
    <t>9,585*1,1 'Přepočtené koeficientem množství</t>
  </si>
  <si>
    <t>998762102</t>
  </si>
  <si>
    <t>Přesun hmot tonážní pro kce tesařské v objektech v přes 6 do 12 m</t>
  </si>
  <si>
    <t>-929103655</t>
  </si>
  <si>
    <t>Přesun hmot pro konstrukce tesařské stanovený z hmotnosti přesunovaného materiálu vodorovná dopravní vzdálenost do 50 m v objektech výšky přes 6 do 12 m</t>
  </si>
  <si>
    <t>https://podminky.urs.cz/item/CS_URS_2022_02/998762102</t>
  </si>
  <si>
    <t>998762181</t>
  </si>
  <si>
    <t>Příplatek k přesunu hmot tonážní 762 prováděný bez použití mechanizace</t>
  </si>
  <si>
    <t>-1436720572</t>
  </si>
  <si>
    <t>Přesun hmot pro konstrukce tesařské stanovený z hmotnosti přesunovaného materiálu Příplatek k cenám za přesun prováděný bez použití mechanizace pro jakoukoliv výšku objektu</t>
  </si>
  <si>
    <t>https://podminky.urs.cz/item/CS_URS_2022_02/998762181</t>
  </si>
  <si>
    <t>1506239457</t>
  </si>
  <si>
    <t>013244000</t>
  </si>
  <si>
    <t>Dokumentace pro provádění stavby</t>
  </si>
  <si>
    <t>-1731755617</t>
  </si>
  <si>
    <t>https://podminky.urs.cz/item/CS_URS_2022_02/013244000</t>
  </si>
  <si>
    <t xml:space="preserve">Zhotovitel předloží nejpozději před začátkem provádění parozábrany tepelně technický výpočet bilance vlhkosti dle aktuální ČSN EN ISO 13788 celé </t>
  </si>
  <si>
    <t>skladby střechy v místech nad zakrývanými světlíky ( viz TZ)</t>
  </si>
  <si>
    <t>E 7 - Vybourání stávající dispozice 2. NP</t>
  </si>
  <si>
    <t xml:space="preserve">    766 - Konstrukce truhlářské</t>
  </si>
  <si>
    <t>-1572418353</t>
  </si>
  <si>
    <t>380868914</t>
  </si>
  <si>
    <t>962031133</t>
  </si>
  <si>
    <t>Bourání příček z cihel pálených na MVC tl do 150 mm</t>
  </si>
  <si>
    <t>-908898546</t>
  </si>
  <si>
    <t>Bourání příček z cihel, tvárnic nebo příčkovek z cihel pálených, plných nebo dutých na maltu vápennou nebo vápenocementovou, tl. do 150 mm</t>
  </si>
  <si>
    <t>https://podminky.urs.cz/item/CS_URS_2022_02/962031133</t>
  </si>
  <si>
    <t>3,95*(23,2-0,4*3+1,0*4+3,175*3+9,6*2+0,35*2+24,0-1,5+2,575*2+1,375+6,3+3,6+2,55+1,15*2+9,4+3,6+10,2+3,2*2+0,4+0,45+1,925*2+2,5+24+2,475*2+0,435*8)</t>
  </si>
  <si>
    <t>3,95*(1,375+0,96)</t>
  </si>
  <si>
    <t>dveře</t>
  </si>
  <si>
    <t>-57,600</t>
  </si>
  <si>
    <t>962084121</t>
  </si>
  <si>
    <t>Bourání příček deskových sádrových typu rabicka tl do 50 mm</t>
  </si>
  <si>
    <t>-1798387681</t>
  </si>
  <si>
    <t>Bourání zdiva příček nebo vybourání otvorů deskových a sádrových potažených rabicovým pletivem nebo bez pletiva sádrokartonových bez kovové konstrukce, umakartových, sololitových, tl. do 50 mm</t>
  </si>
  <si>
    <t>https://podminky.urs.cz/item/CS_URS_2022_02/962084121</t>
  </si>
  <si>
    <t>WC</t>
  </si>
  <si>
    <t>2,0*(1,1*4+2,575*2)</t>
  </si>
  <si>
    <t>965042141</t>
  </si>
  <si>
    <t>Bourání podkladů pod dlažby nebo mazanin betonových nebo z litého asfaltu tl do 100 mm pl přes 4 m2</t>
  </si>
  <si>
    <t>-177224882</t>
  </si>
  <si>
    <t>Bourání mazanin betonových nebo z litého asfaltu tl. do 100 mm, plochy přes 4 m2</t>
  </si>
  <si>
    <t>https://podminky.urs.cz/item/CS_URS_2022_02/965042141</t>
  </si>
  <si>
    <t>308,044*0,1</t>
  </si>
  <si>
    <t>965049111</t>
  </si>
  <si>
    <t>Příplatek k bourání betonových mazanin za bourání mazanin se svařovanou sítí tl do 100 mm</t>
  </si>
  <si>
    <t>-1101129397</t>
  </si>
  <si>
    <t>Bourání mazanin Příplatek k cenám za bourání mazanin betonových se svařovanou sítí, tl. do 100 mm</t>
  </si>
  <si>
    <t>https://podminky.urs.cz/item/CS_URS_2022_02/965049111</t>
  </si>
  <si>
    <t>965081223</t>
  </si>
  <si>
    <t>Bourání podlah z dlaždic keramických nebo xylolitových tl přes 10 mm plochy přes 1 m2</t>
  </si>
  <si>
    <t>-1058821103</t>
  </si>
  <si>
    <t>Bourání podlah z dlaždic bez podkladního lože nebo mazaniny, s jakoukoliv výplní spár keramických nebo xylolitových tl. přes 10 mm plochy přes 1 m2</t>
  </si>
  <si>
    <t>https://podminky.urs.cz/item/CS_URS_2022_02/965081223</t>
  </si>
  <si>
    <t xml:space="preserve">Poznámka k souboru cen:_x000D_
1. Odsekání soklíků se oceňuje cenami souboru cen 965 08._x000D_
</t>
  </si>
  <si>
    <t>24*13,7-0,4*0,4*20-1,35*0,56-4*4,2</t>
  </si>
  <si>
    <t>-215253237</t>
  </si>
  <si>
    <t>0,9*2,0*20</t>
  </si>
  <si>
    <t>0,8*2,0*3</t>
  </si>
  <si>
    <t>0,6*2,0*14</t>
  </si>
  <si>
    <t>978013191</t>
  </si>
  <si>
    <t>Otlučení (osekání) vnitřní vápenné nebo vápenocementové omítky stěn v rozsahu přes 50 do 100 %</t>
  </si>
  <si>
    <t>327987720</t>
  </si>
  <si>
    <t>Otlučení vápenných nebo vápenocementových omítek vnitřních ploch stěn s vyškrabáním spar, s očištěním zdiva, v rozsahu přes 50 do 100 %</t>
  </si>
  <si>
    <t>https://podminky.urs.cz/item/CS_URS_2022_02/978013191</t>
  </si>
  <si>
    <t>3,95*(13,035+10)</t>
  </si>
  <si>
    <t>0,9*(13,035+14)</t>
  </si>
  <si>
    <t>1004945966</t>
  </si>
  <si>
    <t>795107706</t>
  </si>
  <si>
    <t>-925715323</t>
  </si>
  <si>
    <t>1769619030</t>
  </si>
  <si>
    <t>699914676</t>
  </si>
  <si>
    <t>odhad projektanta 15 %</t>
  </si>
  <si>
    <t>308,044*0,15</t>
  </si>
  <si>
    <t>273277</t>
  </si>
  <si>
    <t>odhad projektanta 20 %</t>
  </si>
  <si>
    <t>308,044*0,2</t>
  </si>
  <si>
    <t>985312131</t>
  </si>
  <si>
    <t>Stěrka k vyrovnání betonových ploch rubu kleneb a podlah tl do 2 mm</t>
  </si>
  <si>
    <t>318292490</t>
  </si>
  <si>
    <t>Stěrka k vyrovnání ploch reprofilovaného betonu rubu kleneb a podlah, tloušťky do 2 mm</t>
  </si>
  <si>
    <t>https://podminky.urs.cz/item/CS_URS_2022_02/985312131</t>
  </si>
  <si>
    <t>46,206+61,609</t>
  </si>
  <si>
    <t>-748463343</t>
  </si>
  <si>
    <t>-1607109049</t>
  </si>
  <si>
    <t>61,609+46,207</t>
  </si>
  <si>
    <t>-1708042222</t>
  </si>
  <si>
    <t>61,609*0,25*5</t>
  </si>
  <si>
    <t>-1793806901</t>
  </si>
  <si>
    <t>77,011*0,888*1,1/1000</t>
  </si>
  <si>
    <t>115209754</t>
  </si>
  <si>
    <t>-454795070</t>
  </si>
  <si>
    <t>77,011*2,46*1,1/1000</t>
  </si>
  <si>
    <t>-1772860735</t>
  </si>
  <si>
    <t>-453797481</t>
  </si>
  <si>
    <t>277,63*2 'Přepočtené koeficientem množství</t>
  </si>
  <si>
    <t>238214969</t>
  </si>
  <si>
    <t>334707892</t>
  </si>
  <si>
    <t>277,63*19 'Přepočtené koeficientem množství</t>
  </si>
  <si>
    <t>-1472812363</t>
  </si>
  <si>
    <t>1030716449</t>
  </si>
  <si>
    <t>766</t>
  </si>
  <si>
    <t>Konstrukce truhlářské</t>
  </si>
  <si>
    <t>766691914</t>
  </si>
  <si>
    <t>Vyvěšení nebo zavěšení dřevěných křídel dveří pl do 2 m2</t>
  </si>
  <si>
    <t>-1553575641</t>
  </si>
  <si>
    <t>Ostatní práce vyvěšení nebo zavěšení křídel dřevěných dveřních, plochy do 2 m2</t>
  </si>
  <si>
    <t>https://podminky.urs.cz/item/CS_URS_2022_02/766691914</t>
  </si>
  <si>
    <t xml:space="preserve">Poznámka k souboru cen:_x000D_
1. Ceny -1931 a -1932 lze užít jen pro křídlo mající současně obě jmenované funkce._x000D_
</t>
  </si>
  <si>
    <t>3+8+4+4+8+4</t>
  </si>
  <si>
    <t>1752769234</t>
  </si>
  <si>
    <t>E 8 - Provedení otvoru pro schodišťový prostor</t>
  </si>
  <si>
    <t xml:space="preserve">    4 - Vodorovné konstrukce</t>
  </si>
  <si>
    <t xml:space="preserve">    783 - Dokončovací práce - nátěry</t>
  </si>
  <si>
    <t>342291143R</t>
  </si>
  <si>
    <t>spáry mezi nosníky a stropem - expanzní cementovou maltou tl  přes 100 mm</t>
  </si>
  <si>
    <t>556475220</t>
  </si>
  <si>
    <t>spáry mezi nosníky a stropem - expanzní cementovou maltou tl přes 100 mm</t>
  </si>
  <si>
    <t>5,4*2+4,8*2</t>
  </si>
  <si>
    <t>Vodorovné konstrukce</t>
  </si>
  <si>
    <t>411351011</t>
  </si>
  <si>
    <t>Zřízení bednění stropů deskových tl přes 5 do 25 cm bez podpěrné kce</t>
  </si>
  <si>
    <t>672549044</t>
  </si>
  <si>
    <t>Bednění stropních konstrukcí - bez podpěrné konstrukce desek tloušťky stropní desky přes 5 do 25 cm zřízení</t>
  </si>
  <si>
    <t>https://podminky.urs.cz/item/CS_URS_2022_02/411351011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</si>
  <si>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</si>
  <si>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6*6</t>
  </si>
  <si>
    <t>411351012</t>
  </si>
  <si>
    <t>Odstranění bednění stropů deskových tl přes 5 do 25 cm bez podpěrné kce</t>
  </si>
  <si>
    <t>924881020</t>
  </si>
  <si>
    <t>Bednění stropních konstrukcí - bez podpěrné konstrukce desek tloušťky stropní desky přes 5 do 25 cm odstranění</t>
  </si>
  <si>
    <t>https://podminky.urs.cz/item/CS_URS_2022_02/411351012</t>
  </si>
  <si>
    <t>411354313</t>
  </si>
  <si>
    <t>Zřízení podpěrné konstrukce stropů výšky do 4 m tl přes 15 do 25 cm</t>
  </si>
  <si>
    <t>1341710812</t>
  </si>
  <si>
    <t>Podpěrná konstrukce stropů - desek, kleneb a skořepin výška podepření do 4 m tloušťka stropu přes 15 do 25 cm zřízení</t>
  </si>
  <si>
    <t>https://podminky.urs.cz/item/CS_URS_2022_02/411354313</t>
  </si>
  <si>
    <t xml:space="preserve">Poznámka k souboru cen:_x000D_
1. Podepření větších výšek než 6 m se oceňuje individuálně._x000D_
</t>
  </si>
  <si>
    <t>411354314</t>
  </si>
  <si>
    <t>Odstranění podpěrné konstrukce stropů výšky do 4 m tl přes 15 do 25 cm</t>
  </si>
  <si>
    <t>650361410</t>
  </si>
  <si>
    <t>Podpěrná konstrukce stropů - desek, kleneb a skořepin výška podepření do 4 m tloušťka stropu přes 15 do 25 cm odstranění</t>
  </si>
  <si>
    <t>https://podminky.urs.cz/item/CS_URS_2022_02/411354314</t>
  </si>
  <si>
    <t>669077234</t>
  </si>
  <si>
    <t>1756738988</t>
  </si>
  <si>
    <t>-1821249757</t>
  </si>
  <si>
    <t>odbourány horní části příček v 1. NP tak, aby šly pod strop osadit ocelové průvlaky HEA220 a výměna 2x IPE160</t>
  </si>
  <si>
    <t>963051113</t>
  </si>
  <si>
    <t>Bourání ŽB stropů deskových tl přes 80 mm</t>
  </si>
  <si>
    <t>2104870633</t>
  </si>
  <si>
    <t>Bourání železobetonových stropů deskových, tl. přes 80 mm</t>
  </si>
  <si>
    <t>https://podminky.urs.cz/item/CS_URS_2022_02/963051113</t>
  </si>
  <si>
    <t xml:space="preserve">Poznámka k souboru cen:_x000D_
1. Cenu -1313 lze použít i pro bourání bedničkových stropů. Množství jednotek se určuje v m3 včetně dutin._x000D_
</t>
  </si>
  <si>
    <t>(4*4,2+0,56*1,35)*0,25</t>
  </si>
  <si>
    <t>-1792701413</t>
  </si>
  <si>
    <t>6*4</t>
  </si>
  <si>
    <t>-1441399308</t>
  </si>
  <si>
    <t>-1311855713</t>
  </si>
  <si>
    <t>řezání stropu - otvor pro schodiště</t>
  </si>
  <si>
    <t>4,2+4,56+1,35+0,56+(4,2-1,35)+4,0</t>
  </si>
  <si>
    <t>dělení na menší manupulovatelné části</t>
  </si>
  <si>
    <t>0,56*4+4,2*14+4,0*14</t>
  </si>
  <si>
    <t>-1985523946</t>
  </si>
  <si>
    <t>-894507618</t>
  </si>
  <si>
    <t>11,839*2 'Přepočtené koeficientem množství</t>
  </si>
  <si>
    <t>198256781</t>
  </si>
  <si>
    <t>1656002333</t>
  </si>
  <si>
    <t>11,839*19 'Přepočtené koeficientem množství</t>
  </si>
  <si>
    <t>-1329271179</t>
  </si>
  <si>
    <t>1915748921</t>
  </si>
  <si>
    <t>767995116</t>
  </si>
  <si>
    <t>Montáž atypických zámečnických konstrukcí hm přes 100 do 250 kg</t>
  </si>
  <si>
    <t>kg</t>
  </si>
  <si>
    <t>-1392646726</t>
  </si>
  <si>
    <t>Montáž ostatních atypických zámečnických konstrukcí hmotnosti přes 100 do 250 kg</t>
  </si>
  <si>
    <t>https://podminky.urs.cz/item/CS_URS_2022_02/767995116</t>
  </si>
  <si>
    <t xml:space="preserve">Poznámka k souboru cen:_x000D_
1. Určení cen se řídí hmotností jednotlivě montovaného dílu konstrukce._x000D_
</t>
  </si>
  <si>
    <t>152+545</t>
  </si>
  <si>
    <t>13010748</t>
  </si>
  <si>
    <t>ocel profilová jakost S235JR (11 375) průřez IPE 160</t>
  </si>
  <si>
    <t>-1849379728</t>
  </si>
  <si>
    <t>ocel profilová IPE 160 jakost 11 375</t>
  </si>
  <si>
    <t>2*4,8*15,8/1000</t>
  </si>
  <si>
    <t>0,152*1,05 'Přepočtené koeficientem množství</t>
  </si>
  <si>
    <t>13010962</t>
  </si>
  <si>
    <t>ocel profilová jakost S235JR (11 375) průřez HEA 220</t>
  </si>
  <si>
    <t>-1065629514</t>
  </si>
  <si>
    <t>ocel profilová HE-A 220 jakost 11 375</t>
  </si>
  <si>
    <t>50,5*5,4/1000*2</t>
  </si>
  <si>
    <t>0,545*1,05 'Přepočtené koeficientem množství</t>
  </si>
  <si>
    <t>998767102</t>
  </si>
  <si>
    <t>Přesun hmot tonážní pro zámečnické konstrukce v objektech v přes 6 do 12 m</t>
  </si>
  <si>
    <t>-1961010356</t>
  </si>
  <si>
    <t>Přesun hmot pro zámečnické konstrukce stanovený z hmotnosti přesunovaného materiálu vodorovná dopravní vzdálenost do 50 m v objektech výšky přes 6 do 12 m</t>
  </si>
  <si>
    <t>https://podminky.urs.cz/item/CS_URS_2022_02/998767102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</si>
  <si>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</si>
  <si>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998767181</t>
  </si>
  <si>
    <t>Příplatek k přesunu hmot tonážní 767 prováděný bez použití mechanizace</t>
  </si>
  <si>
    <t>-672040645</t>
  </si>
  <si>
    <t>Přesun hmot pro zámečnické konstrukce stanovený z hmotnosti přesunovaného materiálu Příplatek k cenám za přesun prováděný bez použití mechanizace pro jakoukoliv výšku objektu</t>
  </si>
  <si>
    <t>https://podminky.urs.cz/item/CS_URS_2022_02/998767181</t>
  </si>
  <si>
    <t>X2</t>
  </si>
  <si>
    <t>kotvení nosníků na sloupy</t>
  </si>
  <si>
    <t>-1363135374</t>
  </si>
  <si>
    <t>Spoj podélných HEA220 se sloupy kloubový - uložení na úpalky L kotvené na chemii do sloupů. Návrhová svislá reakce v uložení 90 kN</t>
  </si>
  <si>
    <t>každý úpalek L 2x chemickou kotvu M20</t>
  </si>
  <si>
    <t>X3</t>
  </si>
  <si>
    <t>šroubovaný spoj přes čelní deku - napojení IPE a HEA</t>
  </si>
  <si>
    <t>-2115221008</t>
  </si>
  <si>
    <t>Spoje výměna - průvlak rovněž kloubové šroubované 2x M12 5.8 přes čelní desky P8 /přivařené koutovými svary na výměnu/ ke stojinám průvlaků</t>
  </si>
  <si>
    <t>783</t>
  </si>
  <si>
    <t>Dokončovací práce - nátěry</t>
  </si>
  <si>
    <t>783301303</t>
  </si>
  <si>
    <t>Bezoplachové odrezivění zámečnických konstrukcí</t>
  </si>
  <si>
    <t>1556243455</t>
  </si>
  <si>
    <t>Příprava podkladu zámečnických konstrukcí před provedením nátěru odrezivění odrezovačem bezoplachovým</t>
  </si>
  <si>
    <t>https://podminky.urs.cz/item/CS_URS_2022_02/783301303</t>
  </si>
  <si>
    <t>783301313</t>
  </si>
  <si>
    <t>Odmaštění zámečnických konstrukcí ředidlovým odmašťovačem</t>
  </si>
  <si>
    <t>-957626300</t>
  </si>
  <si>
    <t>Příprava podkladu zámečnických konstrukcí před provedením nátěru odmaštění odmašťovačem ředidlovým</t>
  </si>
  <si>
    <t>https://podminky.urs.cz/item/CS_URS_2022_02/783301313</t>
  </si>
  <si>
    <t>783301401</t>
  </si>
  <si>
    <t>Ometení zámečnických konstrukcí</t>
  </si>
  <si>
    <t>528957859</t>
  </si>
  <si>
    <t>Příprava podkladu zámečnických konstrukcí před provedením nátěru ometení</t>
  </si>
  <si>
    <t>https://podminky.urs.cz/item/CS_URS_2022_02/783301401</t>
  </si>
  <si>
    <t>783314203</t>
  </si>
  <si>
    <t>Základní antikorozní jednonásobný syntetický samozákladující nátěr zámečnických konstrukcí</t>
  </si>
  <si>
    <t>-389835282</t>
  </si>
  <si>
    <t>Základní antikorozní nátěr zámečnických konstrukcí jednonásobný syntetický samozákladující</t>
  </si>
  <si>
    <t>https://podminky.urs.cz/item/CS_URS_2022_02/783314203</t>
  </si>
  <si>
    <t>IPE 160</t>
  </si>
  <si>
    <t>4,8*2*0,623</t>
  </si>
  <si>
    <t>HEA 220</t>
  </si>
  <si>
    <t>5,4*2*1,26</t>
  </si>
  <si>
    <t>-1386890392</t>
  </si>
  <si>
    <t>E 9 - Hrubá stavba nové dispozice 2. NP</t>
  </si>
  <si>
    <t>311272227</t>
  </si>
  <si>
    <t>Zdivo z pórobetonových tvárnic na pero a drážku přes P2 do P4 do 450 kg/m3 na tenkovrstvou maltu tl 300 m</t>
  </si>
  <si>
    <t>-1240836761</t>
  </si>
  <si>
    <t>Zdivo z pórobetonových tvárnic na tenké maltové lože, tl. zdiva 300 mm pevnost tvárnic přes P2 do P4, objemová hmotnost do 450 kg/m3 na pero a drážku</t>
  </si>
  <si>
    <t>https://podminky.urs.cz/item/CS_URS_2022_02/311272227</t>
  </si>
  <si>
    <t>3,95*(13,69-0,4*4+17,8-0,4*3+4,935+9,8+0,3)</t>
  </si>
  <si>
    <t>-1,4*1,97*3</t>
  </si>
  <si>
    <t>-1,25*0,5*(4+6)</t>
  </si>
  <si>
    <t>317142410</t>
  </si>
  <si>
    <t>Překlad nenosný pórobetonový š 75 mm v do 250 mm na tenkovrstvou maltu dl do 1000 mm</t>
  </si>
  <si>
    <t>448482668</t>
  </si>
  <si>
    <t>Překlady nenosné z pórobetonu osazené do tenkého maltového lože, výšky do 250 mm, šířky překladu 75 mm, délky překladu do 1000 mm</t>
  </si>
  <si>
    <t>https://podminky.urs.cz/item/CS_URS_2022_02/317142410</t>
  </si>
  <si>
    <t xml:space="preserve">Poznámka k souboru cen:_x000D_
1. V cenách jsou započteny náklady na dodání a uložení překladu, včetně podmazání ložné plochy tenkovrstvou maltou._x000D_
</t>
  </si>
  <si>
    <t>317142412</t>
  </si>
  <si>
    <t>Překlad nenosný pórobetonový š 75 mm v do 250 mm na tenkovrstvou maltu dl přes 1000 do 1250 mm</t>
  </si>
  <si>
    <t>-304680031</t>
  </si>
  <si>
    <t>Překlady nenosné z pórobetonu osazené do tenkého maltového lože, výšky do 250 mm, šířky překladu 75 mm, délky překladu přes 1000 do 1250 mm</t>
  </si>
  <si>
    <t>https://podminky.urs.cz/item/CS_URS_2022_02/317142412</t>
  </si>
  <si>
    <t>317142442</t>
  </si>
  <si>
    <t>Překlad nenosný pórobetonový š 150 mm v do 250 mm na tenkovrstvou maltu dl přes 1000 do 1250 mm</t>
  </si>
  <si>
    <t>-462539093</t>
  </si>
  <si>
    <t>Překlady nenosné z pórobetonu osazené do tenkého maltového lože, výšky do 250 mm, šířky překladu 150 mm, délky překladu přes 1000 do 1250 mm</t>
  </si>
  <si>
    <t>https://podminky.urs.cz/item/CS_URS_2022_02/317142442</t>
  </si>
  <si>
    <t>317143453</t>
  </si>
  <si>
    <t>Překlad nosný z pórobetonu ve zdech tl 300 mm dl přes 1500 do 1800 mm</t>
  </si>
  <si>
    <t>613665203</t>
  </si>
  <si>
    <t>Překlady nosné z pórobetonu osazené do tenkého maltového lože, pro zdi tl. 300 mm, délky překladu přes 1500 do 1800 mm</t>
  </si>
  <si>
    <t>https://podminky.urs.cz/item/CS_URS_2022_02/317143453</t>
  </si>
  <si>
    <t xml:space="preserve">Poznámka k souboru cen:_x000D_
1. V cenách jsou započteny náklady na dodání a uložení překladu předepsané délky, včetně podmazání ložné plochy tenkovrstvou maltou._x000D_
</t>
  </si>
  <si>
    <t>4+6</t>
  </si>
  <si>
    <t>342272215</t>
  </si>
  <si>
    <t>Příčka z pórobetonových hladkých tvárnic na tenkovrstvou maltu tl 75 mm</t>
  </si>
  <si>
    <t>-477288942</t>
  </si>
  <si>
    <t>Příčky z pórobetonových tvárnic hladkých na tenké maltové lože objemová hmotnost do 500 kg/m3, tloušťka příčky 75 mm</t>
  </si>
  <si>
    <t>https://podminky.urs.cz/item/CS_URS_2022_02/342272215</t>
  </si>
  <si>
    <t>3,95*(1,8+1,335*2+1,2+1,2*2+3,85*2)</t>
  </si>
  <si>
    <t>-0,9*1,97</t>
  </si>
  <si>
    <t>-0,7*1,97*5</t>
  </si>
  <si>
    <t>342272245</t>
  </si>
  <si>
    <t>Příčka z pórobetonových hladkých tvárnic na tenkovrstvou maltu tl 150 mm</t>
  </si>
  <si>
    <t>-74661189</t>
  </si>
  <si>
    <t>Příčky z pórobetonových tvárnic hladkých na tenké maltové lože objemová hmotnost do 500 kg/m3, tloušťka příčky 150 mm</t>
  </si>
  <si>
    <t>https://podminky.urs.cz/item/CS_URS_2022_02/342272245</t>
  </si>
  <si>
    <t>3,95*(0,84+4,0+4,035)</t>
  </si>
  <si>
    <t>-0,7*1,97*2</t>
  </si>
  <si>
    <t>-1828310409</t>
  </si>
  <si>
    <t>3,95*2*(8+6)</t>
  </si>
  <si>
    <t>3,95*4</t>
  </si>
  <si>
    <t>631319221</t>
  </si>
  <si>
    <t>Příplatek k mazaninám za přidání polymerových makrovláken pro objemové vyztužení 2,5 kg/m3</t>
  </si>
  <si>
    <t>1555543012</t>
  </si>
  <si>
    <t>Příplatek k cenám betonových mazanin za vyztužení polymerovými makrovlákny objemové vyztužení 2,5 kg/m3</t>
  </si>
  <si>
    <t>https://podminky.urs.cz/item/CS_URS_2022_02/631319221</t>
  </si>
  <si>
    <t>291,200*0,02</t>
  </si>
  <si>
    <t>632451107</t>
  </si>
  <si>
    <t>Cementový samonivelační potěr ze suchých směsí tl přes 15 do 20 mm</t>
  </si>
  <si>
    <t>679429854</t>
  </si>
  <si>
    <t>Potěr cementový samonivelační ze suchých směsí tloušťky přes 15 do 20 mm</t>
  </si>
  <si>
    <t>https://podminky.urs.cz/item/CS_URS_2022_02/632451107</t>
  </si>
  <si>
    <t>56,5+90,9+79,6+47,9+4,8+6,8+1,8+2,9</t>
  </si>
  <si>
    <t>634112113</t>
  </si>
  <si>
    <t>Obvodová dilatace podlahovým páskem z pěnového PE mezi stěnou a mazaninou nebo potěrem v 80 mm</t>
  </si>
  <si>
    <t>-311832083</t>
  </si>
  <si>
    <t>Obvodová dilatace mezi stěnou a mazaninou nebo potěrem podlahovým páskem z pěnového PE tl. do 10 mm, výšky 80 mm</t>
  </si>
  <si>
    <t>https://podminky.urs.cz/item/CS_URS_2022_02/634112113</t>
  </si>
  <si>
    <t>5,9*2+13,69*2</t>
  </si>
  <si>
    <t>17,8*2+5,155*2</t>
  </si>
  <si>
    <t>17,8+3+10,1+4,935+0,3+1,5+0,2+1,7+1,95+2,36</t>
  </si>
  <si>
    <t>9,8*2+4,935*2</t>
  </si>
  <si>
    <t>642942611</t>
  </si>
  <si>
    <t>Osazování zárubní nebo rámů dveřních kovových do 2,5 m2 na montážní pěnu</t>
  </si>
  <si>
    <t>1666987504</t>
  </si>
  <si>
    <t>Osazování zárubní nebo rámů kovových dveřních lisovaných nebo z úhelníků bez dveřních křídel na montážní pěnu, plochy otvoru do 2,5 m2</t>
  </si>
  <si>
    <t>https://podminky.urs.cz/item/CS_URS_2022_02/642942611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</si>
  <si>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</si>
  <si>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55331481</t>
  </si>
  <si>
    <t>zárubeň jednokřídlá ocelová pro zdění tl stěny 75-100mm rozměru 700/1970, 2100mm</t>
  </si>
  <si>
    <t>1723398389</t>
  </si>
  <si>
    <t>642945111</t>
  </si>
  <si>
    <t>Osazování protipožárních nebo protiplynových zárubní dveří jednokřídlových do 2,5 m2</t>
  </si>
  <si>
    <t>866602254</t>
  </si>
  <si>
    <t>Osazování ocelových zárubní protipožárních nebo protiplynových dveří do vynechaného otvoru, s obetonováním, dveří jednokřídlových do 2,5 m2</t>
  </si>
  <si>
    <t>https://podminky.urs.cz/item/CS_URS_2022_02/642945111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</si>
  <si>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</si>
  <si>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55331561</t>
  </si>
  <si>
    <t>zárubeň jednokřídlá ocelová pro zdění s protipožární úpravou tl stěny 110-150mm rozměru 700/1970, 2100mm</t>
  </si>
  <si>
    <t>-1614931229</t>
  </si>
  <si>
    <t>55331558</t>
  </si>
  <si>
    <t>zárubeň jednokřídlá ocelová pro zdění s protipožární úpravou tl stěny 75-100mm rozměru 900/1970, 2100mm</t>
  </si>
  <si>
    <t>1532725291</t>
  </si>
  <si>
    <t>642945112</t>
  </si>
  <si>
    <t>Osazování protipožárních nebo protiplynových zárubní dveří dvoukřídlových přes 2,5 do 6,5 m2</t>
  </si>
  <si>
    <t>-1428436945</t>
  </si>
  <si>
    <t>Osazování ocelových zárubní protipožárních nebo protiplynových dveří do vynechaného otvoru, s obetonováním, dveří dvoukřídlových přes 2,5 do 6,5 m2</t>
  </si>
  <si>
    <t>https://podminky.urs.cz/item/CS_URS_2022_02/642945112</t>
  </si>
  <si>
    <t>55331771R</t>
  </si>
  <si>
    <t>zárubeň dvoukřídlá ocelová pro zdění s protipožární úpravou tl stěny 260-300mm rozměru 1400/1970, 2100mm</t>
  </si>
  <si>
    <t>1903263346</t>
  </si>
  <si>
    <t>833879239</t>
  </si>
  <si>
    <t>-221829761</t>
  </si>
  <si>
    <t>-1317914136</t>
  </si>
  <si>
    <t>635477480</t>
  </si>
  <si>
    <t>E10 - Vybourání dispozice 1. NP</t>
  </si>
  <si>
    <t>1378033457</t>
  </si>
  <si>
    <t>bourání prostupu do PP pro výtah</t>
  </si>
  <si>
    <t>4*3</t>
  </si>
  <si>
    <t>974274977</t>
  </si>
  <si>
    <t>-939558865</t>
  </si>
  <si>
    <t>-541656794</t>
  </si>
  <si>
    <t>1811804611</t>
  </si>
  <si>
    <t>964944530</t>
  </si>
  <si>
    <t>-851111722</t>
  </si>
  <si>
    <t>3,95*(5,4+3,71+3,71+1,01+1,45+2,225*2+5,4+9,2+3,85+1,15+1,8++0,25*2+0,25*2+23,2-0,4*3+0,45*2+2,275*2)</t>
  </si>
  <si>
    <t>-12,4-7,28</t>
  </si>
  <si>
    <t>962032241</t>
  </si>
  <si>
    <t>Bourání zdiva z cihel pálených nebo vápenopískových na MC přes 1 m3</t>
  </si>
  <si>
    <t>-1453693437</t>
  </si>
  <si>
    <t>Bourání zdiva nadzákladového z cihel nebo tvárnic z cihel pálených nebo vápenopískových, na maltu cementovou, objemu přes 1 m3</t>
  </si>
  <si>
    <t>https://podminky.urs.cz/item/CS_URS_2022_02/962032241</t>
  </si>
  <si>
    <t xml:space="preserve">Poznámka k souboru cen:_x000D_
1. Bourání pilířů o průřezu přes 0,36 m2 se oceňuje příslušnými cenami -2230, -2231, -2240, -2241,-2253 a -2254 jako bourání zdiva nadzákladového cihelného._x000D_
</t>
  </si>
  <si>
    <t>sloupky</t>
  </si>
  <si>
    <t>0,25*0,375*3,95*6</t>
  </si>
  <si>
    <t>-28195359</t>
  </si>
  <si>
    <t>0,25*2,72*2,02</t>
  </si>
  <si>
    <t>-1547225597</t>
  </si>
  <si>
    <t>311,244*0,1</t>
  </si>
  <si>
    <t>-750009162</t>
  </si>
  <si>
    <t>-2139824092</t>
  </si>
  <si>
    <t>24*13,7-4*4,2-0,56*1,35</t>
  </si>
  <si>
    <t>-229215909</t>
  </si>
  <si>
    <t>0,6*2,0*5</t>
  </si>
  <si>
    <t>0,8*2,0*4</t>
  </si>
  <si>
    <t>521563931</t>
  </si>
  <si>
    <t>2,4*2</t>
  </si>
  <si>
    <t>1,24*2</t>
  </si>
  <si>
    <t>280118855</t>
  </si>
  <si>
    <t>pro zpětnou montáž</t>
  </si>
  <si>
    <t>0,9*0,9*6+0,6*0,9</t>
  </si>
  <si>
    <t>jen demontáž</t>
  </si>
  <si>
    <t>0,9*0,9*3+0,6*0,6</t>
  </si>
  <si>
    <t>výměna okna 1,2 x 0,6 v sousedním pavilonu</t>
  </si>
  <si>
    <t>1,2*0,6</t>
  </si>
  <si>
    <t>968082022</t>
  </si>
  <si>
    <t>Vybourání plastových zárubní dveří plochy do 4 m2</t>
  </si>
  <si>
    <t>734838120</t>
  </si>
  <si>
    <t>Vybourání plastových rámů oken s křídly, dveřních zárubní, vrat dveřních zárubní, plochy přes 2 do 4 m2</t>
  </si>
  <si>
    <t>https://podminky.urs.cz/item/CS_URS_2022_02/968082022</t>
  </si>
  <si>
    <t>2,4*2,4</t>
  </si>
  <si>
    <t>1400050840</t>
  </si>
  <si>
    <t>2,72*7</t>
  </si>
  <si>
    <t>2,02*10</t>
  </si>
  <si>
    <t>1064069513</t>
  </si>
  <si>
    <t>3,95*(24+13,7*2+3,835*2)</t>
  </si>
  <si>
    <t>-0,9*0,9*9-0,6*0,9</t>
  </si>
  <si>
    <t>-2,4*2,4</t>
  </si>
  <si>
    <t>-2,1*2,15*2</t>
  </si>
  <si>
    <t>2,65*(2,95+7,95+6,2+8,2)-0,8*2*2</t>
  </si>
  <si>
    <t>1806471374</t>
  </si>
  <si>
    <t>1412288616</t>
  </si>
  <si>
    <t>784026089</t>
  </si>
  <si>
    <t>-162544170</t>
  </si>
  <si>
    <t>-647183014</t>
  </si>
  <si>
    <t>odhad projektanta 15%</t>
  </si>
  <si>
    <t>311,244*0,15</t>
  </si>
  <si>
    <t>1918876776</t>
  </si>
  <si>
    <t>odhad projektanta 20%</t>
  </si>
  <si>
    <t>311,244*0,2</t>
  </si>
  <si>
    <t>-1084238477</t>
  </si>
  <si>
    <t>-563449931</t>
  </si>
  <si>
    <t>-103385674</t>
  </si>
  <si>
    <t>62,249+46,687</t>
  </si>
  <si>
    <t>1625745397</t>
  </si>
  <si>
    <t>62,249*0,25*5</t>
  </si>
  <si>
    <t>-769951703</t>
  </si>
  <si>
    <t>77,811*0,888*1,1/1000</t>
  </si>
  <si>
    <t>1997386790</t>
  </si>
  <si>
    <t>98416831</t>
  </si>
  <si>
    <t>77,811*2,46*1,1/1000</t>
  </si>
  <si>
    <t>-268345919</t>
  </si>
  <si>
    <t>1657162434</t>
  </si>
  <si>
    <t>193,268*2 'Přepočtené koeficientem množství</t>
  </si>
  <si>
    <t>600828381</t>
  </si>
  <si>
    <t>1292441130</t>
  </si>
  <si>
    <t>193,268*19 'Přepočtené koeficientem množství</t>
  </si>
  <si>
    <t>1403841368</t>
  </si>
  <si>
    <t>-927093604</t>
  </si>
  <si>
    <t>-1410977532</t>
  </si>
  <si>
    <t>766691915</t>
  </si>
  <si>
    <t>Vyvěšení nebo zavěšení dřevěných křídel dveří pl přes 2 m2</t>
  </si>
  <si>
    <t>1240416822</t>
  </si>
  <si>
    <t>Ostatní práce vyvěšení nebo zavěšení křídel dřevěných dveřních, plochy přes 2 m2</t>
  </si>
  <si>
    <t>https://podminky.urs.cz/item/CS_URS_2022_02/766691915</t>
  </si>
  <si>
    <t>321621870</t>
  </si>
  <si>
    <t>E11 - Hrubá stavba nové dispozice 1. NP</t>
  </si>
  <si>
    <t xml:space="preserve">      43 - Schodišťové konstrukce a rampy</t>
  </si>
  <si>
    <t>-216378553</t>
  </si>
  <si>
    <t>3,95*(5,4+9,85)</t>
  </si>
  <si>
    <t>-1,5*2,15*3</t>
  </si>
  <si>
    <t>-1340868449</t>
  </si>
  <si>
    <t>183504629</t>
  </si>
  <si>
    <t>-2040979168</t>
  </si>
  <si>
    <t>342271531</t>
  </si>
  <si>
    <t>Příčka z vápenopískových přesných plných tvárnic 5DF přes P15 do P25 tl 150 mm</t>
  </si>
  <si>
    <t>-1439103514</t>
  </si>
  <si>
    <t>Příčky z přesných vápenopískových tvárnic na tenkovrstvou maltu, tloušťka příčky 150 mm, formát a rozměr tvárnic 5DF 248x150x248 mm plných, pevnost tvárnic přes P15 do P25</t>
  </si>
  <si>
    <t>https://podminky.urs.cz/item/CS_URS_2022_02/342271531</t>
  </si>
  <si>
    <t>dojezd výtahu</t>
  </si>
  <si>
    <t>0,75*(2,1*2+1,4*2)</t>
  </si>
  <si>
    <t>-364879341</t>
  </si>
  <si>
    <t>3,95*(1,335*2+1,2+1,2*2+3,55*2+1,8+3,53)</t>
  </si>
  <si>
    <t>-0,8*1,97</t>
  </si>
  <si>
    <t>1361152725</t>
  </si>
  <si>
    <t>3,95*(3,535+0,32+4,035+4,0+1,5+2,8+2,9+4,0+4,0)</t>
  </si>
  <si>
    <t>-0,9*1,97*2</t>
  </si>
  <si>
    <t>-0,7*1,97*3</t>
  </si>
  <si>
    <t>dozezd výtahu -PP</t>
  </si>
  <si>
    <t>(2,1*2+1,4*2)*(2,65-0,75)</t>
  </si>
  <si>
    <t>-1664357102</t>
  </si>
  <si>
    <t>Ukotvení příček plochými kotvami, do konstrukce cihelné- viz TZ</t>
  </si>
  <si>
    <t>3,95*(2+2+2)</t>
  </si>
  <si>
    <t>Ukotvení příček k betonovým konstrukcím plochými kotvami- viz TZ</t>
  </si>
  <si>
    <t>-1626546343</t>
  </si>
  <si>
    <t>Ukotvení příček plochými kotvami, do konstrukce betonové- viz TZ</t>
  </si>
  <si>
    <t>3,95*2*(2+2+1)</t>
  </si>
  <si>
    <t>3,95*12</t>
  </si>
  <si>
    <t>411321616</t>
  </si>
  <si>
    <t>Stropy deskové ze ŽB tř. C 30/37</t>
  </si>
  <si>
    <t>434074110</t>
  </si>
  <si>
    <t>Stropy z betonu železového (bez výztuže) stropů deskových, plochých střech, desek balkonových, desek hřibových stropů včetně hlavic hřibových sloupů tř. C 30/37</t>
  </si>
  <si>
    <t>https://podminky.urs.cz/item/CS_URS_2022_02/411321616</t>
  </si>
  <si>
    <t xml:space="preserve">Poznámka k souboru cen:_x000D_
1. V cenách pohledového betonu 411 35-4 a 411 35-5 jsou započteny i náklady na pečlivé hutnění zejména při líci konstrukce pro docílení neporušeného maltového povrchu bez vzhledových kazů._x000D_
</t>
  </si>
  <si>
    <t>DOBETONÁVKY STROPU NAD PP</t>
  </si>
  <si>
    <t>0,12*3,85*2,74</t>
  </si>
  <si>
    <t>strop v šachtě výtahu</t>
  </si>
  <si>
    <t>0,1*1,7*2,4</t>
  </si>
  <si>
    <t>-415951566</t>
  </si>
  <si>
    <t>3,85*2,5</t>
  </si>
  <si>
    <t>2,4*1,7+0,1*(2,4*2+1,7*2)</t>
  </si>
  <si>
    <t>-1600294181</t>
  </si>
  <si>
    <t>411354311</t>
  </si>
  <si>
    <t>Zřízení podpěrné konstrukce stropů výšky do 4 m tl přes 5 do 15 cm</t>
  </si>
  <si>
    <t>613197435</t>
  </si>
  <si>
    <t>Podpěrná konstrukce stropů - desek, kleneb a skořepin výška podepření do 4 m tloušťka stropu přes 5 do 15 cm zřízení</t>
  </si>
  <si>
    <t>https://podminky.urs.cz/item/CS_URS_2022_02/411354311</t>
  </si>
  <si>
    <t>9,625</t>
  </si>
  <si>
    <t>2,4*1,7</t>
  </si>
  <si>
    <t>411354312</t>
  </si>
  <si>
    <t>Odstranění podpěrné konstrukce stropů výšky do 4 m tl přes 5 do 15 cm</t>
  </si>
  <si>
    <t>829617543</t>
  </si>
  <si>
    <t>Podpěrná konstrukce stropů - desek, kleneb a skořepin výška podepření do 4 m tloušťka stropu přes 5 do 15 cm odstranění</t>
  </si>
  <si>
    <t>https://podminky.urs.cz/item/CS_URS_2022_02/411354312</t>
  </si>
  <si>
    <t>411362021</t>
  </si>
  <si>
    <t>Výztuž stropů svařovanými sítěmi Kari</t>
  </si>
  <si>
    <t>506890391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</si>
  <si>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</si>
  <si>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https://podminky.urs.cz/item/CS_URS_2022_02/411362021</t>
  </si>
  <si>
    <t>0,0862</t>
  </si>
  <si>
    <t>výtah.šachta - 100/100/6 - 4,44 kg/m3</t>
  </si>
  <si>
    <t>2,4*1,7*1,15*4,44/1000</t>
  </si>
  <si>
    <t>Schodišťové konstrukce a rampy</t>
  </si>
  <si>
    <t>430321616</t>
  </si>
  <si>
    <t>Schodišťová konstrukce a rampa ze ŽB tř. C 30/37</t>
  </si>
  <si>
    <t>-1651622725</t>
  </si>
  <si>
    <t>Schodišťové konstrukce a rampy z betonu železového (bez výztuže) stupně, schodnice, ramena, podesty s nosníky tř. C 30/37</t>
  </si>
  <si>
    <t>https://podminky.urs.cz/item/CS_URS_2022_02/430321616</t>
  </si>
  <si>
    <t>1,063*1,5</t>
  </si>
  <si>
    <t>0,45*1,5</t>
  </si>
  <si>
    <t>0,89*1,5</t>
  </si>
  <si>
    <t>430361821</t>
  </si>
  <si>
    <t>Výztuž schodišťové konstrukce a rampy betonářskou ocelí 10 505</t>
  </si>
  <si>
    <t>1835498681</t>
  </si>
  <si>
    <t>Výztuž schodišťových konstrukcí a ramp stupňů, schodnic, ramen, podest s nosníky z betonářské oceli 10 505 (R) nebo BSt 500</t>
  </si>
  <si>
    <t>https://podminky.urs.cz/item/CS_URS_2022_02/430361821</t>
  </si>
  <si>
    <t>0,1406-(20,6+11,3+16,8+45,1)/1000</t>
  </si>
  <si>
    <t>430362021</t>
  </si>
  <si>
    <t>Výztuž schodišťové konstrukce a rampy svařovanými sítěmi Kari</t>
  </si>
  <si>
    <t>-575438621</t>
  </si>
  <si>
    <t>Výztuž schodišťových konstrukcí a ramp stupňů, schodnic, ramen, podest s nosníky ze svařovaných sítí z drátů typu KARI</t>
  </si>
  <si>
    <t>https://podminky.urs.cz/item/CS_URS_2022_02/430362021</t>
  </si>
  <si>
    <t>(20,6+11,3+16,8+45,1)/1000</t>
  </si>
  <si>
    <t>431351121</t>
  </si>
  <si>
    <t>Zřízení bednění podest schodišť a ramp přímočarých v do 4 m</t>
  </si>
  <si>
    <t>-1746979252</t>
  </si>
  <si>
    <t>Bednění podest, podstupňových desek a ramp včetně podpěrné konstrukce výšky do 4 m půdorysně přímočarých zřízení</t>
  </si>
  <si>
    <t>https://podminky.urs.cz/item/CS_URS_2022_02/431351121</t>
  </si>
  <si>
    <t>1,063*2+0,45*2+0,89*2</t>
  </si>
  <si>
    <t>4,1*1,5+2,1*1,5+5,3*1,5</t>
  </si>
  <si>
    <t>rezerva</t>
  </si>
  <si>
    <t>431351122</t>
  </si>
  <si>
    <t>Odstranění bednění podest schodišť a ramp přímočarých v do 4 m</t>
  </si>
  <si>
    <t>-1154574560</t>
  </si>
  <si>
    <t>Bednění podest, podstupňových desek a ramp včetně podpěrné konstrukce výšky do 4 m půdorysně přímočarých odstranění</t>
  </si>
  <si>
    <t>https://podminky.urs.cz/item/CS_URS_2022_02/431351122</t>
  </si>
  <si>
    <t>431351128</t>
  </si>
  <si>
    <t>Příplatek ke zřízení bednění podest schodišť za podpěrnou konstrukci přes 4 do 6 m</t>
  </si>
  <si>
    <t>-620624576</t>
  </si>
  <si>
    <t>Bednění podest, podstupňových desek a ramp včetně podpěrné konstrukce Příplatek k cenám za podpěrnou konstrukci o výšce přes 4 do 6 m zřízení</t>
  </si>
  <si>
    <t>https://podminky.urs.cz/item/CS_URS_2022_02/431351128</t>
  </si>
  <si>
    <t>431351129</t>
  </si>
  <si>
    <t>Příplatek k odstranění bednění podest schodišť za podpěrnou konstrukci přes 4 do 6 m</t>
  </si>
  <si>
    <t>383114574</t>
  </si>
  <si>
    <t>Bednění podest, podstupňových desek a ramp včetně podpěrné konstrukce Příplatek k cenám za podpěrnou konstrukci o výšce přes 4 do 6 m odstranění</t>
  </si>
  <si>
    <t>https://podminky.urs.cz/item/CS_URS_2022_02/431351129</t>
  </si>
  <si>
    <t>434351141</t>
  </si>
  <si>
    <t>Zřízení bednění stupňů přímočarých schodišť</t>
  </si>
  <si>
    <t>616554768</t>
  </si>
  <si>
    <t>Bednění stupňů betonovaných na podstupňové desce nebo na terénu půdorysně přímočarých zřízení</t>
  </si>
  <si>
    <t>https://podminky.urs.cz/item/CS_URS_2022_02/434351141</t>
  </si>
  <si>
    <t xml:space="preserve">Poznámka k souboru cen:_x000D_
1. Množství měrných jednotek bednění stupňů se určuje v m2 plochy stupnic a podstupnic._x000D_
</t>
  </si>
  <si>
    <t>0,2*(0,3*2+1,5)*(10+6+11)</t>
  </si>
  <si>
    <t>434351142</t>
  </si>
  <si>
    <t>Odstranění bednění stupňů přímočarých schodišť</t>
  </si>
  <si>
    <t>440465422</t>
  </si>
  <si>
    <t>Bednění stupňů betonovaných na podstupňové desce nebo na terénu půdorysně přímočarých odstranění</t>
  </si>
  <si>
    <t>https://podminky.urs.cz/item/CS_URS_2022_02/434351142</t>
  </si>
  <si>
    <t>1031788213</t>
  </si>
  <si>
    <t>301,700*0,02</t>
  </si>
  <si>
    <t>1943780217</t>
  </si>
  <si>
    <t>23,6+21,6+11,8+4,8+7,9+171+9+4,3+3,8+2+41,9</t>
  </si>
  <si>
    <t>1945248109</t>
  </si>
  <si>
    <t>17,5*2+9,855*2</t>
  </si>
  <si>
    <t>6,2*2+13,7*2</t>
  </si>
  <si>
    <t>1,8*4+2,55*2+1,2*2+2,15*2+1,31*2+3,53*4</t>
  </si>
  <si>
    <t>3,85*2+4,25*2</t>
  </si>
  <si>
    <t>0,9*2+1,6*2+1,2*2+1,335*6</t>
  </si>
  <si>
    <t>1,2*4+1,2*4+2,8*2+1,2+2+1,2*2+1,9*2</t>
  </si>
  <si>
    <t>992640067</t>
  </si>
  <si>
    <t>642942721</t>
  </si>
  <si>
    <t>Osazování zárubní nebo rámů dveřních kovových přes 2,5 do 4,5 m2 na montážní pěnu</t>
  </si>
  <si>
    <t>1654399679</t>
  </si>
  <si>
    <t>Osazování zárubní nebo rámů kovových dveřních lisovaných nebo z úhelníků bez dveřních křídel na montážní pěnu, plochy otvoru přes 2,5 do 4,5 m2</t>
  </si>
  <si>
    <t>https://podminky.urs.cz/item/CS_URS_2022_02/642942721</t>
  </si>
  <si>
    <t>1256375568</t>
  </si>
  <si>
    <t>55331486</t>
  </si>
  <si>
    <t>zárubeň jednokřídlá ocelová pro zdění tl stěny 110-150mm rozměru 700/1970, 2100mm</t>
  </si>
  <si>
    <t>1655248548</t>
  </si>
  <si>
    <t>55331488</t>
  </si>
  <si>
    <t>zárubeň jednokřídlá ocelová pro zdění tl stěny 110-150mm rozměru 900/1970, 2100mm</t>
  </si>
  <si>
    <t>1164058898</t>
  </si>
  <si>
    <t>55331756</t>
  </si>
  <si>
    <t>zárubeň dvoukřídlá ocelová pro zdění tl stěny 260-300mm rozměru 1450/1970, 2100mm</t>
  </si>
  <si>
    <t>-805455634</t>
  </si>
  <si>
    <t>2076499112</t>
  </si>
  <si>
    <t>55331557</t>
  </si>
  <si>
    <t>zárubeň jednokřídlá ocelová pro zdění s protipožární úpravou tl stěny 75-100mm rozměru 800/1970, 2100mm</t>
  </si>
  <si>
    <t>-969719848</t>
  </si>
  <si>
    <t>1665137417</t>
  </si>
  <si>
    <t>55331563</t>
  </si>
  <si>
    <t>zárubeň jednokřídlá ocelová pro zdění s protipožární úpravou tl stěny 110-150mm rozměru 900/1970, 2100mm</t>
  </si>
  <si>
    <t>-665723966</t>
  </si>
  <si>
    <t>-1002947284</t>
  </si>
  <si>
    <t>-13795411</t>
  </si>
  <si>
    <t>5533177R</t>
  </si>
  <si>
    <t>zárubeň dvoukřídlá ocelová pro zdění s protipožární úpravou tl stěny 260-300mm rozměru 2000/2150 mm</t>
  </si>
  <si>
    <t>580701696</t>
  </si>
  <si>
    <t>zárubeň dvoukřídlá ocelová pro zdění s protipožární úpravou tl stěny 260-300mm rozměru 2000/2150mm</t>
  </si>
  <si>
    <t>1583894016</t>
  </si>
  <si>
    <t>-1173835688</t>
  </si>
  <si>
    <t>953961213</t>
  </si>
  <si>
    <t>Kotvy chemickou patronou M 12 hl 110 mm do betonu, ŽB nebo kamene s vyvrtáním otvoru</t>
  </si>
  <si>
    <t>-258715412</t>
  </si>
  <si>
    <t>Kotvy chemické s vyvrtáním otvoru do betonu, železobetonu nebo tvrdého kamene chemická patrona, velikost M 12, hloubka 110 mm</t>
  </si>
  <si>
    <t>https://podminky.urs.cz/item/CS_URS_2022_02/953961213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</si>
  <si>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</si>
  <si>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953965122</t>
  </si>
  <si>
    <t>Kotevní šroub pro chemické kotvy M 12 dl 220 mm</t>
  </si>
  <si>
    <t>-261091370</t>
  </si>
  <si>
    <t>Kotvy chemické s vyvrtáním otvoru kotevní šrouby pro chemické kotvy, velikost M 12, délka 220 mm</t>
  </si>
  <si>
    <t>https://podminky.urs.cz/item/CS_URS_2022_02/953965122</t>
  </si>
  <si>
    <t>974042564</t>
  </si>
  <si>
    <t>Vysekání rýh v dlažbě betonové nebo jiné monolitické hl do 150 mm š do 150 mm</t>
  </si>
  <si>
    <t>169987971</t>
  </si>
  <si>
    <t>Vysekání rýh v betonové nebo jiné monolitické dlažbě s betonovým podkladem do hl. 150 mm a šířky do 150 mm</t>
  </si>
  <si>
    <t>https://podminky.urs.cz/item/CS_URS_2022_02/974042564</t>
  </si>
  <si>
    <t>odhadit ozub plochého průvlaku</t>
  </si>
  <si>
    <t>3,85*2+0,12*4+2,5*2+0,12*4</t>
  </si>
  <si>
    <t>-1557942312</t>
  </si>
  <si>
    <t>1025073680</t>
  </si>
  <si>
    <t>0,683*2 'Přepočtené koeficientem množství</t>
  </si>
  <si>
    <t>-273738655</t>
  </si>
  <si>
    <t>-497629368</t>
  </si>
  <si>
    <t>0,683*19 'Přepočtené koeficientem množství</t>
  </si>
  <si>
    <t>-683720963</t>
  </si>
  <si>
    <t>1028504961</t>
  </si>
  <si>
    <t>1125320515</t>
  </si>
  <si>
    <t>3,5*2,5</t>
  </si>
  <si>
    <t>62853004</t>
  </si>
  <si>
    <t>pás asfaltový natavitelný modifikovaný SBS tl 4,0mm s vložkou ze skleněné tkaniny a spalitelnou PE fólií nebo jemnozrnným minerálním posypem na horním povrchu</t>
  </si>
  <si>
    <t>-108230141</t>
  </si>
  <si>
    <t>8,75*1,2 'Přepočtené koeficientem množství</t>
  </si>
  <si>
    <t>-869829643</t>
  </si>
  <si>
    <t>-1397481516</t>
  </si>
  <si>
    <t>767995114</t>
  </si>
  <si>
    <t>Montáž atypických zámečnických konstrukcí hm přes 20 do 50 kg</t>
  </si>
  <si>
    <t>-6480512</t>
  </si>
  <si>
    <t>Montáž ostatních atypických zámečnických konstrukcí hmotnosti přes 20 do 50 kg</t>
  </si>
  <si>
    <t>https://podminky.urs.cz/item/CS_URS_2022_02/767995114</t>
  </si>
  <si>
    <t>12,2*(1,31+1,7)</t>
  </si>
  <si>
    <t>13010528</t>
  </si>
  <si>
    <t>úhelník ocelový nerovnostranný jakost S235JR (11 375) 120x80x8mm</t>
  </si>
  <si>
    <t>1211817205</t>
  </si>
  <si>
    <t>úhelník ocelový nerovnostranný jakost 11 375 120x80x8mm</t>
  </si>
  <si>
    <t>12,2*(1,31+1,7)/1000</t>
  </si>
  <si>
    <t>0,037*1,1 'Přepočtené koeficientem množství</t>
  </si>
  <si>
    <t>813886073</t>
  </si>
  <si>
    <t>226861313</t>
  </si>
  <si>
    <t>1097460536</t>
  </si>
  <si>
    <t>E12 - Osazení výplní pláště, rozvody TZB, vnitřní omítky, těžké plovoucí podlahy, sta. úpravy a oprava ter</t>
  </si>
  <si>
    <t>612131101</t>
  </si>
  <si>
    <t>Cementový postřik vnitřních stěn nanášený celoplošně ručně</t>
  </si>
  <si>
    <t>148957143</t>
  </si>
  <si>
    <t>Podkladní a spojovací vrstva vnitřních omítaných ploch cementový postřik nanášený ručně celoplošně stěn</t>
  </si>
  <si>
    <t>https://podminky.urs.cz/item/CS_URS_2022_02/612131101</t>
  </si>
  <si>
    <t>612131121</t>
  </si>
  <si>
    <t>Penetrační disperzní nátěr vnitřních stěn nanášený ručně</t>
  </si>
  <si>
    <t>-1708356660</t>
  </si>
  <si>
    <t>Podkladní a spojovací vrstva vnitřních omítaných ploch penetrace disperzní nanášená ručně stěn</t>
  </si>
  <si>
    <t>https://podminky.urs.cz/item/CS_URS_2022_02/612131121</t>
  </si>
  <si>
    <t>-536113926</t>
  </si>
  <si>
    <t>1621,044</t>
  </si>
  <si>
    <t>612142001</t>
  </si>
  <si>
    <t>Potažení vnitřních stěn sklovláknitým pletivem vtlačeným do tenkovrstvé hmoty</t>
  </si>
  <si>
    <t>-961443809</t>
  </si>
  <si>
    <t>Potažení vnitřních ploch pletivem v ploše nebo pruzích, na plném podkladu sklovláknitým vtlačením do tmelu stěn</t>
  </si>
  <si>
    <t>https://podminky.urs.cz/item/CS_URS_2022_02/612142001</t>
  </si>
  <si>
    <t>612321121</t>
  </si>
  <si>
    <t>Vápenocementová omítka hladká jednovrstvá vnitřních stěn nanášená ručně</t>
  </si>
  <si>
    <t>-1091351868</t>
  </si>
  <si>
    <t>Omítka vápenocementová vnitřních ploch nanášená ručně jednovrstvá, tloušťky do 10 mm hladká svislých konstrukcí stěn</t>
  </si>
  <si>
    <t>https://podminky.urs.cz/item/CS_URS_2022_02/612321121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</si>
  <si>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</si>
  <si>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2,65*(24*2+13,3*2+2,95+7,95+6,2+8,2)</t>
  </si>
  <si>
    <t>-0,8*2*2</t>
  </si>
  <si>
    <t>3,95*(24*2+13,7*2+3,835*2)</t>
  </si>
  <si>
    <t>-2,4*2,4-2,4*2,4*8</t>
  </si>
  <si>
    <t>-1,1*2,1-0,9*0,9*7-0,6*0,9</t>
  </si>
  <si>
    <t>2*(50,563+5,25+65,364+112,623)</t>
  </si>
  <si>
    <t>3,95*(24*2+13,7*2)</t>
  </si>
  <si>
    <t>-3,6*2,4*2-2,4*2,4*3-1,8*2,4</t>
  </si>
  <si>
    <t>-1,5*2</t>
  </si>
  <si>
    <t>2*(158,190+53,624+30,525)</t>
  </si>
  <si>
    <t>612321191</t>
  </si>
  <si>
    <t>Příplatek k vápenocementové omítce vnitřních stěn za každých dalších 5 mm tloušťky ručně</t>
  </si>
  <si>
    <t>172000947</t>
  </si>
  <si>
    <t>Omítka vápenocementová vnitřních ploch nanášená ručně Příplatek k cenám za každých dalších i započatých 5 mm tloušťky omítky přes 10 mm stěn</t>
  </si>
  <si>
    <t>https://podminky.urs.cz/item/CS_URS_2022_02/612321191</t>
  </si>
  <si>
    <t>1693,940*3</t>
  </si>
  <si>
    <t>612325111</t>
  </si>
  <si>
    <t>Vápenocementová hladká omítka rýh ve stěnách š do 150 mm</t>
  </si>
  <si>
    <t>-601865738</t>
  </si>
  <si>
    <t>Vápenocementová omítka rýh hladká ve stěnách, šířky rýhy do 150 mm</t>
  </si>
  <si>
    <t>https://podminky.urs.cz/item/CS_URS_2022_02/612325111</t>
  </si>
  <si>
    <t>110*0,1</t>
  </si>
  <si>
    <t>50*0,1</t>
  </si>
  <si>
    <t>100*0,15</t>
  </si>
  <si>
    <t>612381006</t>
  </si>
  <si>
    <t>Tenkovrstvá minerální zatíraná (škrábaná) omítka zrnitost 1,0 mm vnitřních stěn</t>
  </si>
  <si>
    <t>-57404251</t>
  </si>
  <si>
    <t>Omítka tenkovrstvá minerální vnitřních ploch bez penetrace zatíraná (škrábaná), zrnitost 1,0 mm svislých konstrukcí stěn v podlaží i na schodišti</t>
  </si>
  <si>
    <t>https://podminky.urs.cz/item/CS_URS_2022_02/612381006</t>
  </si>
  <si>
    <t>obklady - viz E14</t>
  </si>
  <si>
    <t>-72,896</t>
  </si>
  <si>
    <t>omítky</t>
  </si>
  <si>
    <t>1693,94</t>
  </si>
  <si>
    <t>613131121</t>
  </si>
  <si>
    <t>Penetrační disperzní nátěr vnitřních pilířů nebo sloupů nanášený ručně</t>
  </si>
  <si>
    <t>2131000938</t>
  </si>
  <si>
    <t>Podkladní a spojovací vrstva vnitřních omítaných ploch penetrace disperzní nanášená ručně pilířů nebo sloupů</t>
  </si>
  <si>
    <t>https://podminky.urs.cz/item/CS_URS_2022_02/613131121</t>
  </si>
  <si>
    <t>2,65*0,4*4*20</t>
  </si>
  <si>
    <t>3,95*0,4*4*20</t>
  </si>
  <si>
    <t>-743485071</t>
  </si>
  <si>
    <t>337,6</t>
  </si>
  <si>
    <t>613142001</t>
  </si>
  <si>
    <t>Potažení vnitřních pilířů nebo sloupů sklovláknitým pletivem vtlačeným do tenkovrstvé hmoty</t>
  </si>
  <si>
    <t>-1511596366</t>
  </si>
  <si>
    <t>Potažení vnitřních ploch pletivem v ploše nebo pruzích, na plném podkladu sklovláknitým vtlačením do tmelu pilířů nebo sloupů</t>
  </si>
  <si>
    <t>https://podminky.urs.cz/item/CS_URS_2022_02/613142001</t>
  </si>
  <si>
    <t>613381006</t>
  </si>
  <si>
    <t>Tenkovrstvá minerální zatíraná (škrábaná) omítka zrnitost 1,0 mm vnitřních pilířů nebo sloupů</t>
  </si>
  <si>
    <t>-1116730490</t>
  </si>
  <si>
    <t>Omítka tenkovrstvá minerální vnitřních ploch bez penetrace zatíraná (škrábaná), zrnitost 1,0 mm svislých konstrukcí pilířů nebo sloupů</t>
  </si>
  <si>
    <t>https://podminky.urs.cz/item/CS_URS_2022_02/613381006</t>
  </si>
  <si>
    <t>632441223</t>
  </si>
  <si>
    <t>Potěr anhydritový samonivelační litý C30 tl přes 35 do 40 mm</t>
  </si>
  <si>
    <t>-693863449</t>
  </si>
  <si>
    <t>Potěr anhydritový samonivelační litý tř. C 30, tl. přes 35 do 40 mm</t>
  </si>
  <si>
    <t>https://podminky.urs.cz/item/CS_URS_2022_02/632441223</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</si>
  <si>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</si>
  <si>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632441225</t>
  </si>
  <si>
    <t>Potěr anhydritový samonivelační litý C30 tl přes 45 do 50 mm</t>
  </si>
  <si>
    <t>673942204</t>
  </si>
  <si>
    <t>Potěr anhydritový samonivelační litý tř. C 30, tl. přes 45 do 50 mm</t>
  </si>
  <si>
    <t>https://podminky.urs.cz/item/CS_URS_2022_02/632441225</t>
  </si>
  <si>
    <t>632441293</t>
  </si>
  <si>
    <t>Příplatek k anhydritovému samonivelačnímu litému potěru C30 ZKD 5 mm tl přes 50 mm</t>
  </si>
  <si>
    <t>1596075936</t>
  </si>
  <si>
    <t>Potěr anhydritový samonivelační litý Příplatek k cenám za každých dalších i započatých 5 mm tloušťky přes 50 mm tř. C 30</t>
  </si>
  <si>
    <t>https://podminky.urs.cz/item/CS_URS_2022_02/632441293</t>
  </si>
  <si>
    <t>2,940*6</t>
  </si>
  <si>
    <t>632481213</t>
  </si>
  <si>
    <t>Separační vrstva z PE fólie</t>
  </si>
  <si>
    <t>-464569260</t>
  </si>
  <si>
    <t>Separační vrstva k oddělení podlahových vrstev z polyetylénové fólie</t>
  </si>
  <si>
    <t>https://podminky.urs.cz/item/CS_URS_2022_02/632481213</t>
  </si>
  <si>
    <t>634112112</t>
  </si>
  <si>
    <t>Obvodová dilatace podlahovým páskem z pěnového PE mezi stěnou a mazaninou nebo potěrem v 100 mm</t>
  </si>
  <si>
    <t>-713824265</t>
  </si>
  <si>
    <t>Obvodová dilatace mezi stěnou a mazaninou nebo potěrem podlahovým páskem z pěnového PE tl. do 10 mm, výšky 100 mm</t>
  </si>
  <si>
    <t>https://podminky.urs.cz/item/CS_URS_2022_02/634112112</t>
  </si>
  <si>
    <t>186,460</t>
  </si>
  <si>
    <t>158,405</t>
  </si>
  <si>
    <t>-1165669793</t>
  </si>
  <si>
    <t>-681473244</t>
  </si>
  <si>
    <t>974031143</t>
  </si>
  <si>
    <t>Vysekání rýh ve zdivu cihelném hl do 70 mm š do 100 mm</t>
  </si>
  <si>
    <t>-1204165508</t>
  </si>
  <si>
    <t>Vysekání rýh ve zdivu cihelném na maltu vápennou nebo vápenocementovou do hl. 70 mm a šířky do 100 mm</t>
  </si>
  <si>
    <t>https://podminky.urs.cz/item/CS_URS_2022_02/974031143</t>
  </si>
  <si>
    <t>974031153</t>
  </si>
  <si>
    <t>Vysekání rýh ve zdivu cihelném hl do 100 mm š do 100 mm</t>
  </si>
  <si>
    <t>17025947</t>
  </si>
  <si>
    <t>Vysekání rýh ve zdivu cihelném na maltu vápennou nebo vápenocementovou do hl. 100 mm a šířky do 100 mm</t>
  </si>
  <si>
    <t>https://podminky.urs.cz/item/CS_URS_2022_02/974031153</t>
  </si>
  <si>
    <t>974031164</t>
  </si>
  <si>
    <t>Vysekání rýh ve zdivu cihelném hl do 150 mm š do 150 mm</t>
  </si>
  <si>
    <t>2108835322</t>
  </si>
  <si>
    <t>Vysekání rýh ve zdivu cihelném na maltu vápennou nebo vápenocementovou do hl. 150 mm a šířky do 150 mm</t>
  </si>
  <si>
    <t>https://podminky.urs.cz/item/CS_URS_2022_02/974031164</t>
  </si>
  <si>
    <t>-967640752</t>
  </si>
  <si>
    <t>489003883</t>
  </si>
  <si>
    <t>6,33*2 'Přepočtené koeficientem množství</t>
  </si>
  <si>
    <t>-503965363</t>
  </si>
  <si>
    <t>207259107</t>
  </si>
  <si>
    <t>6,33*19 'Přepočtené koeficientem množství</t>
  </si>
  <si>
    <t>2040250610</t>
  </si>
  <si>
    <t>-722189062</t>
  </si>
  <si>
    <t>713121111</t>
  </si>
  <si>
    <t>Montáž izolace tepelné podlah volně kladenými rohožemi, pásy, dílci, deskami 1 vrstva</t>
  </si>
  <si>
    <t>680385127</t>
  </si>
  <si>
    <t>Montáž tepelné izolace podlah rohožemi, pásy, deskami, dílci, bloky (izolační materiál ve specifikaci) kladenými volně jednovrstvá</t>
  </si>
  <si>
    <t>https://podminky.urs.cz/item/CS_URS_2022_02/713121111</t>
  </si>
  <si>
    <t xml:space="preserve">Poznámka k souboru cen:_x000D_
1. Množství tepelné izolace podlah okrajovými pásky k ceně -1211 se určuje v m projektované délky obložení (bez přesahů) na obvodu podlahy._x000D_
</t>
  </si>
  <si>
    <t>63150942</t>
  </si>
  <si>
    <t>deska tepelně izolační minerální plovoucích podlah λ=0,033-0,035 tl 15mm</t>
  </si>
  <si>
    <t>897445038</t>
  </si>
  <si>
    <t>deska tepelně izolační minerální plovoucích podlah  λ=0,033-0,035 tl 15mm</t>
  </si>
  <si>
    <t>23,6+21,6+4,8+7,9+171+9+4,3+3,8+2</t>
  </si>
  <si>
    <t>539,2*1,1 'Přepočtené koeficientem množství</t>
  </si>
  <si>
    <t>28375019</t>
  </si>
  <si>
    <t>deska EPS 70 pro konstrukce s malým zatížením λ=0,039 tl 200mm</t>
  </si>
  <si>
    <t>1135980530</t>
  </si>
  <si>
    <t>deska EPS 70 se zvýšenou pevností λ=0,039 tl 200mm</t>
  </si>
  <si>
    <t>výtah</t>
  </si>
  <si>
    <t>2,1*1,4</t>
  </si>
  <si>
    <t>2,94*1,1 'Přepočtené koeficientem množství</t>
  </si>
  <si>
    <t>1544176510</t>
  </si>
  <si>
    <t>-337427146</t>
  </si>
  <si>
    <t>766622132</t>
  </si>
  <si>
    <t>Montáž plastových oken plochy přes 1 m2 otevíravých v do 2,5 m s rámem do zdiva</t>
  </si>
  <si>
    <t>2108216620</t>
  </si>
  <si>
    <t>Montáž oken plastových včetně montáže rámu plochy přes 1 m2 otevíravých do zdiva, výšky přes 1,5 do 2,5 m</t>
  </si>
  <si>
    <t>https://podminky.urs.cz/item/CS_URS_2022_02/766622132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</si>
  <si>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</si>
  <si>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2,4*2,4*8</t>
  </si>
  <si>
    <t>2,4*2,4*6</t>
  </si>
  <si>
    <t>3,6*2,4*2</t>
  </si>
  <si>
    <t>2,4*2,4*3</t>
  </si>
  <si>
    <t>1,8*2,4</t>
  </si>
  <si>
    <t>61140054</t>
  </si>
  <si>
    <t>okno plastové otevíravé/sklopné trojsklo přes plochu 1m2 v 1,5-2,5m</t>
  </si>
  <si>
    <t>-1800720386</t>
  </si>
  <si>
    <t>766622216</t>
  </si>
  <si>
    <t>Montáž plastových oken plochy do 1 m2 otevíravých s rámem do zdiva</t>
  </si>
  <si>
    <t>1393533383</t>
  </si>
  <si>
    <t>Montáž oken plastových plochy do 1 m2 včetně montáže rámu otevíravých do zdiva</t>
  </si>
  <si>
    <t>https://podminky.urs.cz/item/CS_URS_2022_02/766622216</t>
  </si>
  <si>
    <t>zpětná montáž oken 90x90cm + 60x90cm</t>
  </si>
  <si>
    <t>vnitřní okna</t>
  </si>
  <si>
    <t>(6+4)</t>
  </si>
  <si>
    <t>55341001R</t>
  </si>
  <si>
    <t>okno Al s fixním zasklením trojsklo do plochy 1m2 EI 30</t>
  </si>
  <si>
    <t>376759487</t>
  </si>
  <si>
    <t>1,25*0,5*(6+4)</t>
  </si>
  <si>
    <t>766660411</t>
  </si>
  <si>
    <t>Montáž vchodových dveří jednokřídlových bez nadsvětlíku do zdiva</t>
  </si>
  <si>
    <t>-944491959</t>
  </si>
  <si>
    <t>Montáž dveřních křídel dřevěných nebo plastových vchodových dveří včetně rámu do zdiva jednokřídlových bez nadsvětlíku</t>
  </si>
  <si>
    <t>https://podminky.urs.cz/item/CS_URS_2022_02/766660411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</si>
  <si>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</si>
  <si>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55341330</t>
  </si>
  <si>
    <t>dveře jednokřídlé Al plné max rozměru otvoru 2,42m2 bezpečnostní třídy RC2</t>
  </si>
  <si>
    <t>-1399156727</t>
  </si>
  <si>
    <t>766660451</t>
  </si>
  <si>
    <t>Montáž vchodových dveří dvoukřídlových bez nadsvětlíku do zdiva</t>
  </si>
  <si>
    <t>-237494147</t>
  </si>
  <si>
    <t>Montáž dveřních křídel dřevěných nebo plastových vchodových dveří včetně rámu do zdiva dvoukřídlových bez nadsvětlíku</t>
  </si>
  <si>
    <t>https://podminky.urs.cz/item/CS_URS_2022_02/766660451</t>
  </si>
  <si>
    <t>zpětná montáž</t>
  </si>
  <si>
    <t>998766102</t>
  </si>
  <si>
    <t>Přesun hmot tonážní pro kce truhlářské v objektech v přes 6 do 12 m</t>
  </si>
  <si>
    <t>-1428239104</t>
  </si>
  <si>
    <t>Přesun hmot pro konstrukce truhlářské stanovený z hmotnosti přesunovaného materiálu vodorovná dopravní vzdálenost do 50 m v objektech výšky přes 6 do 12 m</t>
  </si>
  <si>
    <t>https://podminky.urs.cz/item/CS_URS_2022_02/998766102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</si>
  <si>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</si>
  <si>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998766181</t>
  </si>
  <si>
    <t>Příplatek k přesunu hmot tonážní 766 prováděný bez použití mechanizace</t>
  </si>
  <si>
    <t>-739769992</t>
  </si>
  <si>
    <t>Přesun hmot pro konstrukce truhlářské stanovený z hmotnosti přesunovaného materiálu Příplatek k ceně za přesun prováděný bez použití mechanizace pro jakoukoliv výšku objektu</t>
  </si>
  <si>
    <t>https://podminky.urs.cz/item/CS_URS_2022_02/998766181</t>
  </si>
  <si>
    <t>1168775446</t>
  </si>
  <si>
    <t>E13 - Oprava a stavební úpravy terasy, KZSí stěn a podhledu+ okap.chodníčky, střešní plášť,venk.schodiště</t>
  </si>
  <si>
    <t xml:space="preserve">    1 - Zemní práce</t>
  </si>
  <si>
    <t xml:space="preserve">    771 - Podlahy z dlaždic</t>
  </si>
  <si>
    <t>Zemní práce</t>
  </si>
  <si>
    <t>113107142</t>
  </si>
  <si>
    <t>Odstranění podkladu živičného tl přes 50 do 100 mm ručně</t>
  </si>
  <si>
    <t>-1904916921</t>
  </si>
  <si>
    <t>Odstranění podkladů nebo krytů ručně s přemístěním hmot na skládku na vzdálenost do 3 m nebo s naložením na dopravní prostředek živičných, o tl. vrstvy přes 50 do 100 mm</t>
  </si>
  <si>
    <t>https://podminky.urs.cz/item/CS_URS_2022_02/113107142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</si>
  <si>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</si>
  <si>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0,6*(0,755+3,5)</t>
  </si>
  <si>
    <t>131213701</t>
  </si>
  <si>
    <t>Hloubení nezapažených jam v soudržných horninách třídy těžitelnosti I skupiny 3 ručně</t>
  </si>
  <si>
    <t>-1855523061</t>
  </si>
  <si>
    <t>Hloubení nezapažených jam ručně s urovnáním dna do předepsaného profilu a spádu v hornině třídy těžitelnosti I skupiny 3 soudržných</t>
  </si>
  <si>
    <t>https://podminky.urs.cz/item/CS_URS_2022_02/131213701</t>
  </si>
  <si>
    <t>patky pro schodiště</t>
  </si>
  <si>
    <t>0,3*0,3*0,8*2</t>
  </si>
  <si>
    <t>132212131</t>
  </si>
  <si>
    <t>Hloubení nezapažených rýh šířky do 800 mm v soudržných horninách třídy těžitelnosti I skupiny 3 ručně</t>
  </si>
  <si>
    <t>-1843288089</t>
  </si>
  <si>
    <t>Hloubení nezapažených rýh šířky do 800 mm ručně s urovnáním dna do předepsaného profilu a spádu v hornině třídy těžitelnosti I skupiny 3 soudržných</t>
  </si>
  <si>
    <t>https://podminky.urs.cz/item/CS_URS_2022_02/132212131</t>
  </si>
  <si>
    <t>0,35*(26+15+0,755+3,5)*0,5</t>
  </si>
  <si>
    <t>terasa</t>
  </si>
  <si>
    <t>0,6*0,8*2,4</t>
  </si>
  <si>
    <t>162751117</t>
  </si>
  <si>
    <t>Vodorovné přemístění přes 9 000 do 10000 m výkopku/sypaniny z horniny třídy těžitelnosti I skupiny 1 až 3</t>
  </si>
  <si>
    <t>90489474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</si>
  <si>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</si>
  <si>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https://podminky.urs.cz/item/CS_URS_2022_02/162751117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</si>
  <si>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</si>
  <si>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162751119</t>
  </si>
  <si>
    <t>Příplatek k vodorovnému přemístění výkopku/sypaniny z horniny třídy těžitelnosti I skupiny 1 až 3 ZKD 1000 m přes 10000 m</t>
  </si>
  <si>
    <t>1105869018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</si>
  <si>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</si>
  <si>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https://podminky.urs.cz/item/CS_URS_2022_02/162751119</t>
  </si>
  <si>
    <t>9,216*10 'Přepočtené koeficientem množství</t>
  </si>
  <si>
    <t>171201231</t>
  </si>
  <si>
    <t>Poplatek za uložení zeminy a kamení na recyklační skládce (skládkovné) kód odpadu 17 05 04</t>
  </si>
  <si>
    <t>589360612</t>
  </si>
  <si>
    <t>Poplatek za uložení stavebního odpadu na recyklační skládce (skládkovné) zeminy a kamení zatříděného do Katalogu odpadů pod kódem 17 05 04</t>
  </si>
  <si>
    <t>https://podminky.urs.cz/item/CS_URS_2022_02/171201231</t>
  </si>
  <si>
    <t>9,216*1,8 'Přepočtené koeficientem množství</t>
  </si>
  <si>
    <t>171251201</t>
  </si>
  <si>
    <t>Uložení sypaniny na skládky nebo meziskládky</t>
  </si>
  <si>
    <t>-1431826200</t>
  </si>
  <si>
    <t>Uložení sypaniny na skládky nebo meziskládky bez hutnění s upravením uložené sypaniny do předepsaného tvaru</t>
  </si>
  <si>
    <t>https://podminky.urs.cz/item/CS_URS_2022_02/171251201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</si>
  <si>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</si>
  <si>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274313711</t>
  </si>
  <si>
    <t>Základové pásy z betonu tř. C 20/25</t>
  </si>
  <si>
    <t>1451118853</t>
  </si>
  <si>
    <t>Základy z betonu prostého pasy betonu kamenem neprokládaného tř. C 20/25</t>
  </si>
  <si>
    <t>https://podminky.urs.cz/item/CS_URS_2022_02/274313711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</si>
  <si>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</si>
  <si>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275313711</t>
  </si>
  <si>
    <t>Základové patky z betonu tř. C 20/25</t>
  </si>
  <si>
    <t>-1393580641</t>
  </si>
  <si>
    <t>Základy z betonu prostého patky a bloky z betonu kamenem neprokládaného tř. C 20/25</t>
  </si>
  <si>
    <t>https://podminky.urs.cz/item/CS_URS_2022_02/275313711</t>
  </si>
  <si>
    <t>311270731</t>
  </si>
  <si>
    <t>Zdivo z přesných vápenopískových plných tvárnic 10DF do P15 tl 300 mm</t>
  </si>
  <si>
    <t>-994105331</t>
  </si>
  <si>
    <t>Zdivo z přesných vápenopískových tvárnic na tenkovrstvou maltu, tloušťka zdiva 300 mm, formát a rozměr cihel 10DF 248x300x248 mm plných, pevnosti do P15</t>
  </si>
  <si>
    <t>https://podminky.urs.cz/item/CS_URS_2022_02/311270731</t>
  </si>
  <si>
    <t>2,4*1,4</t>
  </si>
  <si>
    <t>649106875</t>
  </si>
  <si>
    <t>2,8*2,4*0,16</t>
  </si>
  <si>
    <t>0,3*0,15/2*2,8*8</t>
  </si>
  <si>
    <t>1208585773</t>
  </si>
  <si>
    <t>KARI 100/100/8</t>
  </si>
  <si>
    <t>2,8*2,4*1,15*7,9/1000</t>
  </si>
  <si>
    <t>1235410411</t>
  </si>
  <si>
    <t>785488182</t>
  </si>
  <si>
    <t>-1193733811</t>
  </si>
  <si>
    <t>0,2*(2,8+0,3*2)*8</t>
  </si>
  <si>
    <t>-1071167774</t>
  </si>
  <si>
    <t>621211041</t>
  </si>
  <si>
    <t>Montáž kontaktního zateplení vnějších podhledů lepením a mechanickým kotvením polystyrénových desek do betonu nebo zdiva tl přes 160 do 200 mm</t>
  </si>
  <si>
    <t>872755403</t>
  </si>
  <si>
    <t>Montáž kontaktního zateplení lepením a mechanickým kotvením z polystyrenových desek na vnější podhledy, na podklad betonový nebo z lehčeného betonu, z tvárnic keramických nebo vápenopískových, tloušťky desek přes 160 do 200 mm</t>
  </si>
  <si>
    <t>https://podminky.urs.cz/item/CS_URS_2022_02/621211041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</si>
  <si>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</si>
  <si>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24*13,25-0,4*0,4*20</t>
  </si>
  <si>
    <t>-2,4*1,7</t>
  </si>
  <si>
    <t>28375954</t>
  </si>
  <si>
    <t>deska EPS 70 fasádní λ=0,039 tl 200mm</t>
  </si>
  <si>
    <t>-1219385128</t>
  </si>
  <si>
    <t>310,72*1,1 'Přepočtené koeficientem množství</t>
  </si>
  <si>
    <t>622151011</t>
  </si>
  <si>
    <t>Penetrační silikátový nátěr vnějších pastovitých tenkovrstvých omítek stěn</t>
  </si>
  <si>
    <t>-1964874149</t>
  </si>
  <si>
    <t>Penetrační nátěr vnějších pastovitých tenkovrstvých omítek silikátový paropropustný stěn</t>
  </si>
  <si>
    <t>https://podminky.urs.cz/item/CS_URS_2022_02/622151011</t>
  </si>
  <si>
    <t>472,431</t>
  </si>
  <si>
    <t>622151021</t>
  </si>
  <si>
    <t>Penetrační akrylátový nátěr vnějších mozaikových tenkovrstvých omítek stěn</t>
  </si>
  <si>
    <t>-192314307</t>
  </si>
  <si>
    <t>Penetrační nátěr vnějších pastovitých tenkovrstvých omítek mozaikových akrylátový stěn</t>
  </si>
  <si>
    <t>https://podminky.urs.cz/item/CS_URS_2022_02/622151021</t>
  </si>
  <si>
    <t>47,517</t>
  </si>
  <si>
    <t>7,386</t>
  </si>
  <si>
    <t>622211041</t>
  </si>
  <si>
    <t>Montáž kontaktního zateplení vnějších stěn lepením a mechanickým kotvením polystyrénových desek do betonu a zdiva tl přes 160 do 200 mm</t>
  </si>
  <si>
    <t>652295380</t>
  </si>
  <si>
    <t>Montáž kontaktního zateplení lepením a mechanickým kotvením z polystyrenových desek na vnější stěny, na podklad betonový nebo z lehčeného betonu, z tvárnic keramických nebo vápenopískových, tloušťky desek přes 160 do 200 mm</t>
  </si>
  <si>
    <t>https://podminky.urs.cz/item/CS_URS_2022_02/622211041</t>
  </si>
  <si>
    <t>výtah. šachta</t>
  </si>
  <si>
    <t>1,5*(2,8*2+2,1*2)</t>
  </si>
  <si>
    <t>1904786422</t>
  </si>
  <si>
    <t>14,7*1,1 'Přepočtené koeficientem množství</t>
  </si>
  <si>
    <t>-765909236</t>
  </si>
  <si>
    <t>0,25*(8,88+8,58+16,14)</t>
  </si>
  <si>
    <t>sokl</t>
  </si>
  <si>
    <t>0,85*(62,16-16,14)</t>
  </si>
  <si>
    <t>28376449</t>
  </si>
  <si>
    <t>deska XPS hrana rovná a strukturovaný povrch 300kPa tl 200mm</t>
  </si>
  <si>
    <t>1987711825</t>
  </si>
  <si>
    <t>deska z polystyrénu XPS, hrana rovná a strukturovaný povrch 300kPa tl 200mm</t>
  </si>
  <si>
    <t>47,517*1,02 'Přepočtené koeficientem množství</t>
  </si>
  <si>
    <t>622221131</t>
  </si>
  <si>
    <t>Montáž kontaktního zateplení vnějších stěn lepením a mechanickým kotvením desek z minerální vlny s kolmou orientací do zdiva a betonu tl přes 120 do 160 mm</t>
  </si>
  <si>
    <t>76939208</t>
  </si>
  <si>
    <t>Montáž kontaktního zateplení lepením a mechanickým kotvením z desek z minerální vlny s kolmou orientací vláken na vnější stěny, na podklad betonový nebo z lehčeného betonu, z tvárnic keramických nebo vápenopískových, tloušťky desek přes 120 do 160 mm</t>
  </si>
  <si>
    <t>https://podminky.urs.cz/item/CS_URS_2022_02/622221131</t>
  </si>
  <si>
    <t>požární pás na sousedním pavilonu u terasy</t>
  </si>
  <si>
    <t>(1,146+0,246)*7,95</t>
  </si>
  <si>
    <t>63151532</t>
  </si>
  <si>
    <t>deska tepelně izolační minerální kontaktních fasád kolmé vlákno λ=0,040-0,041 tl 140mm</t>
  </si>
  <si>
    <t>1708178615</t>
  </si>
  <si>
    <t>deska tepelně izolační minerální kontaktních fasád kolmé vlákno λ=0,041 tl 140mm</t>
  </si>
  <si>
    <t>11,066*1,1 'Přepočtené koeficientem množství</t>
  </si>
  <si>
    <t>622221141</t>
  </si>
  <si>
    <t>Montáž kontaktního zateplení vnějších stěn lepením a mechanickým kotvením desek z minerální vlny s kolmou orientací do zdiva a betonu tl přes 160 do 200 mm</t>
  </si>
  <si>
    <t>-947341572</t>
  </si>
  <si>
    <t>Montáž kontaktního zateplení lepením a mechanickým kotvením z desek z minerální vlny s kolmou orientací vláken na vnější stěny, na podklad betonový nebo z lehčeného betonu, z tvárnic keramických nebo vápenopískových, tloušťky desek přes 160 do 200 mm</t>
  </si>
  <si>
    <t>https://podminky.urs.cz/item/CS_URS_2022_02/622221141</t>
  </si>
  <si>
    <t>25*9,8</t>
  </si>
  <si>
    <t>14,63*9,35</t>
  </si>
  <si>
    <t>95</t>
  </si>
  <si>
    <t>8,9*1,5+5,9*9,7</t>
  </si>
  <si>
    <t>-(2,4*2,4*8+0,9*0,9*7+0,6*0,9+2,5*2,4+1,1*2,1)</t>
  </si>
  <si>
    <t>-(2,4*2,4*6+3,6*2,4*2+2,4*2,4*3+1,8*2,4)</t>
  </si>
  <si>
    <t>63151535</t>
  </si>
  <si>
    <t>deska tepelně izolační minerální kontaktních fasád kolmé vlákno λ=0,040-0,041 tl 200mm</t>
  </si>
  <si>
    <t>-1374132253</t>
  </si>
  <si>
    <t>deska tepelně izolační minerální kontaktních fasád kolmé vlákno λ=0,041 tl 200mm</t>
  </si>
  <si>
    <t>413,331*1,1 'Přepočtené koeficientem množství</t>
  </si>
  <si>
    <t>622222051</t>
  </si>
  <si>
    <t>Montáž kontaktního zateplení vnějšího ostění, nadpraží nebo parapetu hl. špalety do 400 mm lepením desek z minerální vlny tl do 40 mm</t>
  </si>
  <si>
    <t>1555957439</t>
  </si>
  <si>
    <t>Montáž kontaktního zateplení vnějšího ostění, nadpraží nebo parapetu lepením z desek z minerální vlny s podélnou nebo kolmou orientací vláken nebo z kombinovaných desek hloubky špalet přes 200 do 400 mm, tloušťky desek do 40 mm</t>
  </si>
  <si>
    <t>https://podminky.urs.cz/item/CS_URS_2022_02/622222051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</si>
  <si>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</si>
  <si>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2,4*4*8</t>
  </si>
  <si>
    <t>0,9*4*7+0,6*2+0,9*2</t>
  </si>
  <si>
    <t>2,4*4*(6+1+2)</t>
  </si>
  <si>
    <t>(3,6*2+2,4*2)*2</t>
  </si>
  <si>
    <t>1,8*2+2,4*2</t>
  </si>
  <si>
    <t>1,1+2*2,1</t>
  </si>
  <si>
    <t>2,5+2,4*2</t>
  </si>
  <si>
    <t>63151507</t>
  </si>
  <si>
    <t>deska tepelně izolační minerální kontaktních fasád kolmé vlákno λ=0,040-0,041 tl 40mm</t>
  </si>
  <si>
    <t>-806373644</t>
  </si>
  <si>
    <t>deska tepelně izolační minerální kontaktních fasád kolmé vlákno λ=0,041 tl 40mm</t>
  </si>
  <si>
    <t>236,400*0,25</t>
  </si>
  <si>
    <t>59,1*1,1 'Přepočtené koeficientem množství</t>
  </si>
  <si>
    <t>622251101</t>
  </si>
  <si>
    <t>Příplatek k cenám kontaktního zateplení vnějších stěn za zápustnou montáž a použití tepelněizolačních zátek z polystyrenu</t>
  </si>
  <si>
    <t>-1958723927</t>
  </si>
  <si>
    <t>Montáž kontaktního zateplení lepením a mechanickým kotvením Příplatek k cenám za zápustnou montáž kotev s použitím tepelněizolačních zátek na vnější stěny z polystyrenu</t>
  </si>
  <si>
    <t>https://podminky.urs.cz/item/CS_URS_2022_02/622251101</t>
  </si>
  <si>
    <t>622251105</t>
  </si>
  <si>
    <t>Příplatek k cenám kontaktního zateplení vnějších stěn za zápustnou montáž a použití tepelněizolačních zátek z minerální vlny</t>
  </si>
  <si>
    <t>-1444676940</t>
  </si>
  <si>
    <t>Montáž kontaktního zateplení lepením a mechanickým kotvením Příplatek k cenám za zápustnou montáž kotev s použitím tepelněizolačních zátek na vnější stěny z minerální vlny</t>
  </si>
  <si>
    <t>https://podminky.urs.cz/item/CS_URS_2022_02/622251105</t>
  </si>
  <si>
    <t>413,331+59,1</t>
  </si>
  <si>
    <t>622252001</t>
  </si>
  <si>
    <t>Montáž profilů kontaktního zateplení připevněných mechanicky</t>
  </si>
  <si>
    <t>137128231</t>
  </si>
  <si>
    <t>Montáž profilů kontaktního zateplení zakládacích soklových připevněných hmoždinkami</t>
  </si>
  <si>
    <t>https://podminky.urs.cz/item/CS_URS_2022_02/622252001</t>
  </si>
  <si>
    <t xml:space="preserve">Poznámka k souboru cen:_x000D_
1. V cenách jsou započteny náklady na osazení lišt._x000D_
2. V cenách nejsou započteny náklady dodávku lišt; tyto se ocení ve specifikaci. Ztratné lze stanovit ve výši 5%._x000D_
</t>
  </si>
  <si>
    <t>25*2+14,64*2-8,54-8,58</t>
  </si>
  <si>
    <t>59051657</t>
  </si>
  <si>
    <t>profil zakládací Al tl 0,7mm pro ETICS pro izolant tl 200mm</t>
  </si>
  <si>
    <t>-1447289418</t>
  </si>
  <si>
    <t>62,16*1,05 'Přepočtené koeficientem množství</t>
  </si>
  <si>
    <t>59051440</t>
  </si>
  <si>
    <t>spojka plastová zakládacích profilů zateplovacích systémů dl 30mm</t>
  </si>
  <si>
    <t>-817584344</t>
  </si>
  <si>
    <t>59051456</t>
  </si>
  <si>
    <t>podložka distanční pod zakládací lištu 5mm</t>
  </si>
  <si>
    <t>773869203</t>
  </si>
  <si>
    <t>622252002</t>
  </si>
  <si>
    <t>Montáž profilů kontaktního zateplení lepených</t>
  </si>
  <si>
    <t>1376378828</t>
  </si>
  <si>
    <t>Montáž profilů kontaktního zateplení ostatních stěnových, dilatačních apod. lepených do tmelu</t>
  </si>
  <si>
    <t>https://podminky.urs.cz/item/CS_URS_2022_02/622252002</t>
  </si>
  <si>
    <t>59051486</t>
  </si>
  <si>
    <t>profil rohový PVC 15x15mm s výztužnou tkaninou š 100mm pro ETICS</t>
  </si>
  <si>
    <t>-1574655729</t>
  </si>
  <si>
    <t>236,400</t>
  </si>
  <si>
    <t>-56,7-60,3</t>
  </si>
  <si>
    <t>10,6*3+1,5*2</t>
  </si>
  <si>
    <t>154,2*1,05 'Přepočtené koeficientem množství</t>
  </si>
  <si>
    <t>28342205</t>
  </si>
  <si>
    <t>profil začišťovací PVC 6mm s výztužnou tkaninou pro ostění ETICS</t>
  </si>
  <si>
    <t>692508770</t>
  </si>
  <si>
    <t>236,400-56,7</t>
  </si>
  <si>
    <t>179,7*1,05 'Přepočtené koeficientem množství</t>
  </si>
  <si>
    <t>59051510</t>
  </si>
  <si>
    <t>profil začišťovací s okapnicí PVC s výztužnou tkaninou pro nadpraží ETICS</t>
  </si>
  <si>
    <t>1348900102</t>
  </si>
  <si>
    <t>56,700</t>
  </si>
  <si>
    <t>2,5+1,1</t>
  </si>
  <si>
    <t>60,3*1,05 'Přepočtené koeficientem množství</t>
  </si>
  <si>
    <t>59051512</t>
  </si>
  <si>
    <t>profil začišťovací s okapnicí PVC s výztužnou tkaninou pro parapet ETICS</t>
  </si>
  <si>
    <t>-1915274121</t>
  </si>
  <si>
    <t>2,4*8</t>
  </si>
  <si>
    <t>0,9*7+0,6</t>
  </si>
  <si>
    <t>2,4*6+3,6*2+2,4*3+1,8</t>
  </si>
  <si>
    <t>56,7*1,05 'Přepočtené koeficientem množství</t>
  </si>
  <si>
    <t>28342206</t>
  </si>
  <si>
    <t>profil ukončovací PVC s výztužnou tkaninu pro ukončení atiky ETICS</t>
  </si>
  <si>
    <t>-1327813981</t>
  </si>
  <si>
    <t>25*2+14,64*2</t>
  </si>
  <si>
    <t>7,95*2</t>
  </si>
  <si>
    <t>95,18*1,05 'Přepočtené koeficientem množství</t>
  </si>
  <si>
    <t>59051502</t>
  </si>
  <si>
    <t>profil dilatační rohový PVC s výztužnou tkaninou pro ETICS</t>
  </si>
  <si>
    <t>426745665</t>
  </si>
  <si>
    <t>7,95</t>
  </si>
  <si>
    <t>7,95*1,1 'Přepočtené koeficientem množství</t>
  </si>
  <si>
    <t>622321121</t>
  </si>
  <si>
    <t>Vápenocementová omítka hladká jednovrstvá vnějších stěn nanášená ručně</t>
  </si>
  <si>
    <t>760906927</t>
  </si>
  <si>
    <t>Omítka vápenocementová vnějších ploch nanášená ručně jednovrstvá, tloušťky do 15 mm hladká stěn</t>
  </si>
  <si>
    <t>https://podminky.urs.cz/item/CS_URS_2022_02/622321121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</si>
  <si>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</si>
  <si>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1,43*1,92</t>
  </si>
  <si>
    <t>0,95*2,4/2</t>
  </si>
  <si>
    <t>3,5</t>
  </si>
  <si>
    <t>622321191</t>
  </si>
  <si>
    <t>Příplatek k vápenocementové omítce vnějších stěn za každých dalších 5 mm tloušťky ručně</t>
  </si>
  <si>
    <t>2136551289</t>
  </si>
  <si>
    <t>Omítka vápenocementová vnějších ploch nanášená ručně Příplatek k cenám za každých dalších i započatých 5 mm tloušťky omítky přes 15 mm stěn</t>
  </si>
  <si>
    <t>https://podminky.urs.cz/item/CS_URS_2022_02/622321191</t>
  </si>
  <si>
    <t>7,386*2</t>
  </si>
  <si>
    <t>622511112</t>
  </si>
  <si>
    <t>Tenkovrstvá akrylátová mozaiková střednězrnná omítka vnějších stěn</t>
  </si>
  <si>
    <t>-1100688380</t>
  </si>
  <si>
    <t>Omítka tenkovrstvá akrylátová vnějších ploch probarvená bez penetrace mozaiková střednězrnná stěn</t>
  </si>
  <si>
    <t>https://podminky.urs.cz/item/CS_URS_2022_02/622511112</t>
  </si>
  <si>
    <t>622531022</t>
  </si>
  <si>
    <t>Tenkovrstvá silikonová zrnitá omítka zrnitost 2,0 mm vnějších stěn</t>
  </si>
  <si>
    <t>-766158667</t>
  </si>
  <si>
    <t>Omítka tenkovrstvá silikonová vnějších ploch probarvená bez penetrace zatíraná (škrábaná), zrnitost 2,0 mm stěn</t>
  </si>
  <si>
    <t>https://podminky.urs.cz/item/CS_URS_2022_02/622531022</t>
  </si>
  <si>
    <t>632451457</t>
  </si>
  <si>
    <t>Potěr pískocementový tl přes 40 do 50 mm tř. C 30 běžný</t>
  </si>
  <si>
    <t>1411044032</t>
  </si>
  <si>
    <t>Potěr pískocementový běžný tl. přes 40 do 50 mm tř. C 30</t>
  </si>
  <si>
    <t>https://podminky.urs.cz/item/CS_URS_2022_02/632451457</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</si>
  <si>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</si>
  <si>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 xml:space="preserve">terasa </t>
  </si>
  <si>
    <t>15,1</t>
  </si>
  <si>
    <t>632451491</t>
  </si>
  <si>
    <t>Příplatek k potěrům za přehlazení povrchu</t>
  </si>
  <si>
    <t>1511983296</t>
  </si>
  <si>
    <t>Potěr pískocementový běžný Příplatek k cenám za úpravu povrchu přehlazením</t>
  </si>
  <si>
    <t>https://podminky.urs.cz/item/CS_URS_2022_02/632451491</t>
  </si>
  <si>
    <t>635111115</t>
  </si>
  <si>
    <t>Násyp pod podlahy ze štěrkopísku s udusáním</t>
  </si>
  <si>
    <t>790857054</t>
  </si>
  <si>
    <t>Násyp ze štěrkopísku, písku nebo kameniva pod podlahy s udusáním a urovnáním povrchu ze štěrkopísku</t>
  </si>
  <si>
    <t>https://podminky.urs.cz/item/CS_URS_2022_02/635111115</t>
  </si>
  <si>
    <t xml:space="preserve">Poznámka k souboru cen:_x000D_
1. Ceny jsou určeny pro násyp vodorovný nebo ve spádu pod podlahy, mazaniny, dlažby a pro násypy na plochých střechách._x000D_
</t>
  </si>
  <si>
    <t>2,8*2,4*0,3</t>
  </si>
  <si>
    <t>X101</t>
  </si>
  <si>
    <t>Ukončení KZS oplechovat</t>
  </si>
  <si>
    <t>2105202888</t>
  </si>
  <si>
    <t>640788692</t>
  </si>
  <si>
    <t>27*10</t>
  </si>
  <si>
    <t>15,5*10</t>
  </si>
  <si>
    <t>15,5*7</t>
  </si>
  <si>
    <t>1656102168</t>
  </si>
  <si>
    <t>533,500*90</t>
  </si>
  <si>
    <t>2072294449</t>
  </si>
  <si>
    <t>-539390711</t>
  </si>
  <si>
    <t>1604953313</t>
  </si>
  <si>
    <t>-1263890556</t>
  </si>
  <si>
    <t>650358239</t>
  </si>
  <si>
    <t>-1034938366</t>
  </si>
  <si>
    <t>2*(25+15*2)</t>
  </si>
  <si>
    <t>953961112</t>
  </si>
  <si>
    <t>Kotvy chemickým tmelem M 10 hl 90 mm do betonu, ŽB nebo kamene s vyvrtáním otvoru</t>
  </si>
  <si>
    <t>-1538560454</t>
  </si>
  <si>
    <t>Kotvy chemické s vyvrtáním otvoru do betonu, železobetonu nebo tvrdého kamene tmel, velikost M 10, hloubka 90 mm</t>
  </si>
  <si>
    <t>https://podminky.urs.cz/item/CS_URS_2022_02/953961112</t>
  </si>
  <si>
    <t>kotvení OSB desky do atiky</t>
  </si>
  <si>
    <t>(24,6*2+14,2*2)*2</t>
  </si>
  <si>
    <t>953965117</t>
  </si>
  <si>
    <t>Kotevní šroub pro chemické kotvy M 10 dl 190 mm</t>
  </si>
  <si>
    <t>-588273293</t>
  </si>
  <si>
    <t>Kotvy chemické s vyvrtáním otvoru kotevní šrouby pro chemické kotvy, velikost M 10, délka 190 mm</t>
  </si>
  <si>
    <t>https://podminky.urs.cz/item/CS_URS_2022_02/953965117</t>
  </si>
  <si>
    <t>961055111</t>
  </si>
  <si>
    <t>Bourání základů ze ŽB</t>
  </si>
  <si>
    <t>1771548162</t>
  </si>
  <si>
    <t>Bourání základů z betonu železového</t>
  </si>
  <si>
    <t>https://podminky.urs.cz/item/CS_URS_2022_02/961055111</t>
  </si>
  <si>
    <t>terasa - vybourání prostoru pro schodiště</t>
  </si>
  <si>
    <t>0,25*2,4*1,65</t>
  </si>
  <si>
    <t>0,3*(2,85-1,65)*2,4</t>
  </si>
  <si>
    <t>2,85*0,3*1,35</t>
  </si>
  <si>
    <t>1703792760</t>
  </si>
  <si>
    <t>9*0,15</t>
  </si>
  <si>
    <t>(4,2*4,0+2,3*1,2)*0,1</t>
  </si>
  <si>
    <t>1607719428</t>
  </si>
  <si>
    <t>4,2*4,0+2,3*1,2</t>
  </si>
  <si>
    <t>(0,3+0,15)*9*1,2</t>
  </si>
  <si>
    <t>965081343</t>
  </si>
  <si>
    <t>Bourání podlah z dlaždic betonových, teracových nebo čedičových tl do 40 mm plochy přes 1 m2</t>
  </si>
  <si>
    <t>-167346219</t>
  </si>
  <si>
    <t>Bourání podlah z dlaždic bez podkladního lože nebo mazaniny, s jakoukoliv výplní spár betonových, teracových nebo čedičových tl. do 40 mm, plochy přes 1 m2</t>
  </si>
  <si>
    <t>https://podminky.urs.cz/item/CS_URS_2022_02/965081343</t>
  </si>
  <si>
    <t>okap.chodníčky</t>
  </si>
  <si>
    <t>0,6*15</t>
  </si>
  <si>
    <t>966080105</t>
  </si>
  <si>
    <t>Bourání kontaktního zateplení z polystyrenových desek tl přes 120 do 180 mm</t>
  </si>
  <si>
    <t>-373697631</t>
  </si>
  <si>
    <t>Bourání kontaktního zateplení včetně povrchové úpravy omítkou nebo nátěrem z polystyrénových desek, tloušťky přes 120 do 180 mm</t>
  </si>
  <si>
    <t>https://podminky.urs.cz/item/CS_URS_2022_02/966080105</t>
  </si>
  <si>
    <t>3,5*(3,76*2+12,52)-0,9*0,9*2-1,55*2,05</t>
  </si>
  <si>
    <t>obv.plášť</t>
  </si>
  <si>
    <t>9,7*(14,24+5,7)-0,9*0,9*(3+8+3+6)-0,6*0,6-0,6*0,9</t>
  </si>
  <si>
    <t>16,3*5-5,4*0,9*2-1,8*0,9</t>
  </si>
  <si>
    <t>976071111</t>
  </si>
  <si>
    <t>Vybourání kovových madel a zábradlí</t>
  </si>
  <si>
    <t>-377775009</t>
  </si>
  <si>
    <t>Vybourání kovových madel, zábradlí, dvířek, zděří, kotevních želez madel a zábradlí</t>
  </si>
  <si>
    <t>https://podminky.urs.cz/item/CS_URS_2022_02/976071111</t>
  </si>
  <si>
    <t>terasa před vstupem</t>
  </si>
  <si>
    <t>3,9+3,5+2</t>
  </si>
  <si>
    <t>-1316370853</t>
  </si>
  <si>
    <t>-1362327648</t>
  </si>
  <si>
    <t>-728180353</t>
  </si>
  <si>
    <t>143771738</t>
  </si>
  <si>
    <t>1820407614</t>
  </si>
  <si>
    <t>odhad projektanta 10%</t>
  </si>
  <si>
    <t>(2,11*4,0+2,8*1,8)*0,1</t>
  </si>
  <si>
    <t>-1310139599</t>
  </si>
  <si>
    <t>(2,11*4,0+2,8*1,8)*0,2</t>
  </si>
  <si>
    <t>-1958486110</t>
  </si>
  <si>
    <t>122372017</t>
  </si>
  <si>
    <t>2,696+1,348</t>
  </si>
  <si>
    <t>932591962</t>
  </si>
  <si>
    <t>2,696*0,25*5</t>
  </si>
  <si>
    <t>1547973466</t>
  </si>
  <si>
    <t>3,37*0,888*1,1/1000</t>
  </si>
  <si>
    <t>B1</t>
  </si>
  <si>
    <t>D+M budky pro netopýry 22x12x34 cm</t>
  </si>
  <si>
    <t>-228877370</t>
  </si>
  <si>
    <t>B2</t>
  </si>
  <si>
    <t>D+M budky pro rorýse - 4komorové</t>
  </si>
  <si>
    <t>1734107311</t>
  </si>
  <si>
    <t>80</t>
  </si>
  <si>
    <t>-180115110</t>
  </si>
  <si>
    <t>81</t>
  </si>
  <si>
    <t>-36794402</t>
  </si>
  <si>
    <t>23,386*2 'Přepočtené koeficientem množství</t>
  </si>
  <si>
    <t>82</t>
  </si>
  <si>
    <t>-1067463350</t>
  </si>
  <si>
    <t>83</t>
  </si>
  <si>
    <t>116269483</t>
  </si>
  <si>
    <t>23,386*19 'Přepočtené koeficientem množství</t>
  </si>
  <si>
    <t>84</t>
  </si>
  <si>
    <t>1015848524</t>
  </si>
  <si>
    <t>85</t>
  </si>
  <si>
    <t>-2040302835</t>
  </si>
  <si>
    <t>86</t>
  </si>
  <si>
    <t>711191201</t>
  </si>
  <si>
    <t>Provedení izolace proti zemní vlhkosti hydroizolační stěrkou vodorovné na betonu, 2 vrstvy</t>
  </si>
  <si>
    <t>-1591211587</t>
  </si>
  <si>
    <t>Provedení izolace proti zemní vlhkosti hydroizolační stěrkou na ploše vodorovné V dvouvrstvá na betonu</t>
  </si>
  <si>
    <t>https://podminky.urs.cz/item/CS_URS_2022_02/711191201</t>
  </si>
  <si>
    <t xml:space="preserve">Poznámka k souboru cen:_x000D_
1. V cenách nejsou započteny náklady na dodávku materiálu, tyto se oceňují ve specifikaci._x000D_
</t>
  </si>
  <si>
    <t>87</t>
  </si>
  <si>
    <t>24551030</t>
  </si>
  <si>
    <t>stěrka hydroizolační dvousložková cemento-polymerová vlákny vyztužená proti zemní vlhkosti</t>
  </si>
  <si>
    <t>1391008796</t>
  </si>
  <si>
    <t>15,1*3</t>
  </si>
  <si>
    <t>88</t>
  </si>
  <si>
    <t>1903348234</t>
  </si>
  <si>
    <t>89</t>
  </si>
  <si>
    <t>1613082574</t>
  </si>
  <si>
    <t>90</t>
  </si>
  <si>
    <t>712331111</t>
  </si>
  <si>
    <t>Provedení povlakové krytiny střech do 10° podkladní vrstvy pásy na sucho samolepící</t>
  </si>
  <si>
    <t>2129017976</t>
  </si>
  <si>
    <t>Provedení povlakové krytiny střech plochých do 10° pásy na sucho podkladní samolepící asfaltový pás</t>
  </si>
  <si>
    <t>https://podminky.urs.cz/item/CS_URS_2022_02/712331111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</si>
  <si>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</si>
  <si>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332,508</t>
  </si>
  <si>
    <t>(0,7+0,64)*(24,6*2+14,2*2)</t>
  </si>
  <si>
    <t>91</t>
  </si>
  <si>
    <t>62866281</t>
  </si>
  <si>
    <t>pás asfaltový samolepicí modifikovaný SBS tl 3,0mm s vložkou ze skleněné tkaniny se spalitelnou fólií nebo jemnozrnným minerálním posypem nebo textilií na horním povrchu</t>
  </si>
  <si>
    <t>-1235818375</t>
  </si>
  <si>
    <t>436,492*1,2 'Přepočtené koeficientem množství</t>
  </si>
  <si>
    <t>92</t>
  </si>
  <si>
    <t>105295575</t>
  </si>
  <si>
    <t>93</t>
  </si>
  <si>
    <t>62855010</t>
  </si>
  <si>
    <t>pás asfaltový natavitelný modifikovaný SBS tl 5,2mm s vložkou z polyesterové vyztužené rohože a hrubozrnným břidličným posypem na horním povrchu</t>
  </si>
  <si>
    <t>400446791</t>
  </si>
  <si>
    <t>pruh přes atiku 65 cm</t>
  </si>
  <si>
    <t>(24,6*2+14,2*2)*0,65</t>
  </si>
  <si>
    <t>486,932*1,2 'Přepočtené koeficientem množství</t>
  </si>
  <si>
    <t>94</t>
  </si>
  <si>
    <t>62855007</t>
  </si>
  <si>
    <t>pás asfaltový natavitelný modifikovaný SBS tl 4,5mm s vložkou z polyesterové vyztužené rohože a hrubozrnným břidličným posypem na horním povrchu</t>
  </si>
  <si>
    <t>-596689143</t>
  </si>
  <si>
    <t>pruh š 1,0 m u atiky</t>
  </si>
  <si>
    <t>(24,6*2+14,2*2)*1,0</t>
  </si>
  <si>
    <t>77,6*1,2 'Přepočtené koeficientem množství</t>
  </si>
  <si>
    <t>712341715</t>
  </si>
  <si>
    <t>Provedení povlakové krytiny střech do 10° pásy NAIP přitavením zaizolování prostupů kruhového průřezu D do 300 mm</t>
  </si>
  <si>
    <t>-567252222</t>
  </si>
  <si>
    <t>Provedení povlakové krytiny střech plochých do 10° pásy přitavením NAIP ostatní činnosti při pokládání pásů (materiál ve specifikaci) zaizolování prostupů střešní rovinou kruhový průřez, průměr do 300 mm</t>
  </si>
  <si>
    <t>https://podminky.urs.cz/item/CS_URS_2022_02/712341715</t>
  </si>
  <si>
    <t>96</t>
  </si>
  <si>
    <t>712341716</t>
  </si>
  <si>
    <t>Provedení povlakové krytiny střech do 10° pásy NAIP přitavením zaizolování prostupů kruhového průřezu D přes 300 do 500 mm</t>
  </si>
  <si>
    <t>-540465904</t>
  </si>
  <si>
    <t>Provedení povlakové krytiny střech plochých do 10° pásy přitavením NAIP ostatní činnosti při pokládání pásů (materiál ve specifikaci) zaizolování prostupů střešní rovinou kruhový průřez, průměr přes 300 mm do 500 mm</t>
  </si>
  <si>
    <t>https://podminky.urs.cz/item/CS_URS_2022_02/712341716</t>
  </si>
  <si>
    <t>97</t>
  </si>
  <si>
    <t>712363604</t>
  </si>
  <si>
    <t>Provedení povlak krytiny mechanicky kotvenou do betonu TI tl přes 240 mm vnitřní pole, budova v do 18 m</t>
  </si>
  <si>
    <t>1787455989</t>
  </si>
  <si>
    <t>Provedení povlakové krytiny střech plochých do 10° s mechanicky kotvenou izolací včetně položení fólie a horkovzdušného svaření tl. tepelné izolace přes 240 mm budovy výšky do 18 m, kotvené do betonu vnitřní pole</t>
  </si>
  <si>
    <t>https://podminky.urs.cz/item/CS_URS_2022_02/712363604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</si>
  <si>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</si>
  <si>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-56,745</t>
  </si>
  <si>
    <t>-27,528</t>
  </si>
  <si>
    <t>98</t>
  </si>
  <si>
    <t>712363605</t>
  </si>
  <si>
    <t>Provedení povlak krytiny mechanicky kotvenou do betonu TI tl přes 240 mm krajní pole, budova v do 18 m</t>
  </si>
  <si>
    <t>69772066</t>
  </si>
  <si>
    <t>Provedení povlakové krytiny střech plochých do 10° s mechanicky kotvenou izolací včetně položení fólie a horkovzdušného svaření tl. tepelné izolace přes 240 mm budovy výšky do 18 m, kotvené do betonu krajní pole</t>
  </si>
  <si>
    <t>https://podminky.urs.cz/item/CS_URS_2022_02/712363605</t>
  </si>
  <si>
    <t>1,52*14,72</t>
  </si>
  <si>
    <t>1,42*14,72</t>
  </si>
  <si>
    <t>0,92*7,32*2</t>
  </si>
  <si>
    <t>99</t>
  </si>
  <si>
    <t>712363606</t>
  </si>
  <si>
    <t>Provedení povlak krytiny mechanicky kotvenou do betonu TI tl přes 240 mm rohové pole, budova v do 18 m</t>
  </si>
  <si>
    <t>-762318647</t>
  </si>
  <si>
    <t>Provedení povlakové krytiny střech plochých do 10° s mechanicky kotvenou izolací včetně položení fólie a horkovzdušného svaření tl. tepelné izolace přes 240 mm budovy výšky do 18 m, kotvené do betonu rohové pole</t>
  </si>
  <si>
    <t>https://podminky.urs.cz/item/CS_URS_2022_02/712363606</t>
  </si>
  <si>
    <t>3,68*1,52+0,92*1,6</t>
  </si>
  <si>
    <t>0,92*1,6+1,42*3,68</t>
  </si>
  <si>
    <t>100</t>
  </si>
  <si>
    <t>1465516567</t>
  </si>
  <si>
    <t>101</t>
  </si>
  <si>
    <t>-1819845199</t>
  </si>
  <si>
    <t>102</t>
  </si>
  <si>
    <t>713141131</t>
  </si>
  <si>
    <t>Montáž izolace tepelné střech plochých lepené za studena plně 1 vrstva rohoží, pásů, dílců, desek</t>
  </si>
  <si>
    <t>713029214</t>
  </si>
  <si>
    <t>Montáž tepelné izolace střech plochých rohožemi, pásy, deskami, dílci, bloky (izolační materiál ve specifikaci) přilepenými za studena zplna, jednovrstvá</t>
  </si>
  <si>
    <t>https://podminky.urs.cz/item/CS_URS_2022_02/713141131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</si>
  <si>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</si>
  <si>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103</t>
  </si>
  <si>
    <t>28375013</t>
  </si>
  <si>
    <t>deska EPS 70 pro konstrukce s malým zatížením λ=0,039 tl 140mm</t>
  </si>
  <si>
    <t>-1308887069</t>
  </si>
  <si>
    <t>deska EPS 70 se zvýšenou pevností λ=0,039 tl 140mm</t>
  </si>
  <si>
    <t>332,508*1,1 'Přepočtené koeficientem množství</t>
  </si>
  <si>
    <t>104</t>
  </si>
  <si>
    <t>-2055861106</t>
  </si>
  <si>
    <t>105</t>
  </si>
  <si>
    <t>28376141</t>
  </si>
  <si>
    <t>klín izolační EPS 100 spád do 5%</t>
  </si>
  <si>
    <t>844488449</t>
  </si>
  <si>
    <t>klín izolační z pěnového polystyrenu EPS 100 spádový</t>
  </si>
  <si>
    <t>332,508*0,1</t>
  </si>
  <si>
    <t>332,508*0,18*2/3</t>
  </si>
  <si>
    <t>73,152*1,2 'Přepočtené koeficientem množství</t>
  </si>
  <si>
    <t>106</t>
  </si>
  <si>
    <t>713141263</t>
  </si>
  <si>
    <t>Přikotvení tepelné izolace šrouby do betonu pro izolaci tl přes 240 mm</t>
  </si>
  <si>
    <t>-1594057836</t>
  </si>
  <si>
    <t>Montáž tepelné izolace střech plochých mechanické přikotvení šrouby včetně dodávky šroubů, bez položení tepelné izolace tl. izolace přes 240 mm do betonu</t>
  </si>
  <si>
    <t>https://podminky.urs.cz/item/CS_URS_2022_02/713141263</t>
  </si>
  <si>
    <t>107</t>
  </si>
  <si>
    <t>713141391</t>
  </si>
  <si>
    <t>Montáž izolace tepelné stěn v do 1000 mm na atiky a prostupy střechou lepené za studena zplna</t>
  </si>
  <si>
    <t>-1490418520</t>
  </si>
  <si>
    <t>Montáž tepelné izolace střech plochých na konstrukce stěn převyšující úroveň střechy např. atiky, prostupy střešní krytinou do výšky 1 000 mm přilepenými za studena zplna</t>
  </si>
  <si>
    <t>https://podminky.urs.cz/item/CS_URS_2022_02/713141391</t>
  </si>
  <si>
    <t>108</t>
  </si>
  <si>
    <t>1481990721</t>
  </si>
  <si>
    <t>0,7*(24,2*2+13,74*2)</t>
  </si>
  <si>
    <t>53,116*1,1 'Přepočtené koeficientem množství</t>
  </si>
  <si>
    <t>109</t>
  </si>
  <si>
    <t>28375873</t>
  </si>
  <si>
    <t>deska EPS 70 pro konstrukce s malým zatížením λ=0,039 tl 100mm</t>
  </si>
  <si>
    <t>-181680524</t>
  </si>
  <si>
    <t>deska EPS 70 se zvýšenou pevností λ=0,039 tl 100mm</t>
  </si>
  <si>
    <t>0,34*(24,6*2+14,2*2)</t>
  </si>
  <si>
    <t>26,384*1,1 'Přepočtené koeficientem množství</t>
  </si>
  <si>
    <t>110</t>
  </si>
  <si>
    <t>971461922</t>
  </si>
  <si>
    <t>111</t>
  </si>
  <si>
    <t>1886200693</t>
  </si>
  <si>
    <t>112</t>
  </si>
  <si>
    <t>721233213</t>
  </si>
  <si>
    <t>Střešní vtok polypropylen PP pro pochůzné střechy svislý odtok DN 125</t>
  </si>
  <si>
    <t>1718212594</t>
  </si>
  <si>
    <t>Střešní vtoky (vpusti) polypropylenové (PP) pro pochůzné střechy s odtokem svislým DN 125</t>
  </si>
  <si>
    <t>https://podminky.urs.cz/item/CS_URS_2022_02/721233213</t>
  </si>
  <si>
    <t>113</t>
  </si>
  <si>
    <t>998721102</t>
  </si>
  <si>
    <t>Přesun hmot tonážní pro vnitřní kanalizace v objektech v přes 6 do 12 m</t>
  </si>
  <si>
    <t>657275386</t>
  </si>
  <si>
    <t>Přesun hmot pro vnitřní kanalizace stanovený z hmotnosti přesunovaného materiálu vodorovná dopravní vzdálenost do 50 m v objektech výšky přes 6 do 12 m</t>
  </si>
  <si>
    <t>https://podminky.urs.cz/item/CS_URS_2022_02/998721102</t>
  </si>
  <si>
    <t>114</t>
  </si>
  <si>
    <t>998721181</t>
  </si>
  <si>
    <t>Příplatek k přesunu hmot tonážní 721 prováděný bez použití mechanizace</t>
  </si>
  <si>
    <t>-108704659</t>
  </si>
  <si>
    <t>Přesun hmot pro vnitřní kanalizace stanovený z hmotnosti přesunovaného materiálu Příplatek k ceně za přesun prováděný bez použití mechanizace pro jakoukoliv výšku objektu</t>
  </si>
  <si>
    <t>https://podminky.urs.cz/item/CS_URS_2022_02/998721181</t>
  </si>
  <si>
    <t>115</t>
  </si>
  <si>
    <t>762361312</t>
  </si>
  <si>
    <t>Konstrukční a vyrovnávací vrstva pod klempířské prvky (atiky) z desek dřevoštěpkových tl 22 mm</t>
  </si>
  <si>
    <t>-1445447891</t>
  </si>
  <si>
    <t>Konstrukční vrstva pod klempířské prvky pro oplechování horních ploch zdí a nadezdívek (atik) z desek dřevoštěpkových šroubovaných do podkladu, tloušťky desky 22 mm</t>
  </si>
  <si>
    <t>https://podminky.urs.cz/item/CS_URS_2022_02/762361312</t>
  </si>
  <si>
    <t xml:space="preserve">Poznámka k souboru cen:_x000D_
1. V cenách -1312 až -1313 jsou započteny i náklady na kotvení desky do podkladu._x000D_
</t>
  </si>
  <si>
    <t>(24,6*2+14,2*2)*0,625</t>
  </si>
  <si>
    <t>116</t>
  </si>
  <si>
    <t>209110730</t>
  </si>
  <si>
    <t>117</t>
  </si>
  <si>
    <t>336243765</t>
  </si>
  <si>
    <t>118</t>
  </si>
  <si>
    <t>764011446R</t>
  </si>
  <si>
    <t>Podkladní plech z PZ plechu pro hřebeny, nároží, úžlabí nebo okapové hrany tl. 0,8 mm rš 470 mm</t>
  </si>
  <si>
    <t>595294940</t>
  </si>
  <si>
    <t>Podkladní plech z pozinkovaného plechu tloušťky 1,0 mm pro TiZn rš 500 mm</t>
  </si>
  <si>
    <t xml:space="preserve">Poznámka k souboru cen:_x000D_
1. Rozvinutá šířka podkladního plechu se určuje z rš střešního prvku._x000D_
2. Tloušťka pokladního plechu 1,0 mm se používá pro střešní prvky z titanzinkového plechu._x000D_
</t>
  </si>
  <si>
    <t>připojovací plech tl. 0,8mm rš 470mm dl 250 mm á 2,0m</t>
  </si>
  <si>
    <t>(24,6*2+14,2*2)/2*0,25</t>
  </si>
  <si>
    <t>119</t>
  </si>
  <si>
    <t>764212637</t>
  </si>
  <si>
    <t>Oplechování štítu závětrnou lištou z Pz s povrchovou úpravou rš 670 mm</t>
  </si>
  <si>
    <t>582168546</t>
  </si>
  <si>
    <t>Oplechování střešních prvků z pozinkovaného plechu s povrchovou úpravou štítu závětrnou lištou rš 670 mm</t>
  </si>
  <si>
    <t>https://podminky.urs.cz/item/CS_URS_2022_02/764212637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</si>
  <si>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</si>
  <si>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oplechování atiky</t>
  </si>
  <si>
    <t>(24,6*2+14,2*2)</t>
  </si>
  <si>
    <t>120</t>
  </si>
  <si>
    <t>764226444</t>
  </si>
  <si>
    <t>Oplechování parapetů rovných celoplošně lepené z Al plechu rš 330 mm</t>
  </si>
  <si>
    <t>-1079842419</t>
  </si>
  <si>
    <t>Oplechování parapetů z hliníkového plechu rovných celoplošně lepené, bez rohů rš 330 mm</t>
  </si>
  <si>
    <t>https://podminky.urs.cz/item/CS_URS_2022_02/764226444</t>
  </si>
  <si>
    <t>121</t>
  </si>
  <si>
    <t>764226465</t>
  </si>
  <si>
    <t>Příplatek za zvýšenou pracnost oplechování rohů parapetů rovných z Al plechu rš do 400 mm</t>
  </si>
  <si>
    <t>-1312302952</t>
  </si>
  <si>
    <t>Oplechování parapetů z hliníkového plechu rovných celoplošně lepené, bez rohů Příplatek k cenám za zvýšenou pracnost při provedení rohu nebo koutu do rš 400 mm</t>
  </si>
  <si>
    <t>https://podminky.urs.cz/item/CS_URS_2022_02/764226465</t>
  </si>
  <si>
    <t>2*(8+8)</t>
  </si>
  <si>
    <t>2*(6+3+3)</t>
  </si>
  <si>
    <t>122</t>
  </si>
  <si>
    <t>764311606</t>
  </si>
  <si>
    <t>Lemování rovných zdí střech s krytinou prejzovou nebo vlnitou z Pz s povrchovou úpravou rš 500 mm</t>
  </si>
  <si>
    <t>1639317854</t>
  </si>
  <si>
    <t>Lemování zdí z pozinkovaného plechu s povrchovou úpravou boční nebo horní rovné, střech s krytinou prejzovou nebo vlnitou rš 500 mm</t>
  </si>
  <si>
    <t>https://podminky.urs.cz/item/CS_URS_2022_02/764311606</t>
  </si>
  <si>
    <t>oplechování pod atikou</t>
  </si>
  <si>
    <t>25,0+8,9</t>
  </si>
  <si>
    <t>123</t>
  </si>
  <si>
    <t>998764102</t>
  </si>
  <si>
    <t>Přesun hmot tonážní pro konstrukce klempířské v objektech v přes 6 do 12 m</t>
  </si>
  <si>
    <t>-337610797</t>
  </si>
  <si>
    <t>Přesun hmot pro konstrukce klempířské stanovený z hmotnosti přesunovaného materiálu vodorovná dopravní vzdálenost do 50 m v objektech výšky přes 6 do 12 m</t>
  </si>
  <si>
    <t>https://podminky.urs.cz/item/CS_URS_2022_02/998764102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</si>
  <si>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</si>
  <si>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124</t>
  </si>
  <si>
    <t>998764181</t>
  </si>
  <si>
    <t>Příplatek k přesunu hmot tonážní 764 prováděný bez použití mechanizace</t>
  </si>
  <si>
    <t>-1757017815</t>
  </si>
  <si>
    <t>Přesun hmot pro konstrukce klempířské stanovený z hmotnosti přesunovaného materiálu Příplatek k cenám za přesun prováděný bez použití mechanizace pro jakoukoliv výšku objektu</t>
  </si>
  <si>
    <t>https://podminky.urs.cz/item/CS_URS_2022_02/998764181</t>
  </si>
  <si>
    <t>125</t>
  </si>
  <si>
    <t>767210151</t>
  </si>
  <si>
    <t>Montáž schodišťových stupňů ocelových rovných nebo vřetenových šroubováním</t>
  </si>
  <si>
    <t>1210319189</t>
  </si>
  <si>
    <t>Montáž schodišťových stupňů z oceli rovných nebo vřetenových šroubováním</t>
  </si>
  <si>
    <t>https://podminky.urs.cz/item/CS_URS_2022_02/767210151</t>
  </si>
  <si>
    <t>126</t>
  </si>
  <si>
    <t>55347094</t>
  </si>
  <si>
    <t>stupeň schodišťový lisovaný žárově zinkovaný velikost 30/3mm 1000x305mm</t>
  </si>
  <si>
    <t>-1117187298</t>
  </si>
  <si>
    <t>127</t>
  </si>
  <si>
    <t>767211311</t>
  </si>
  <si>
    <t>Montáž venkovního kovového schodiště rovného kotveného do zdiva</t>
  </si>
  <si>
    <t>-1642292721</t>
  </si>
  <si>
    <t>Montáž kovového venkovního schodiště bez zábradlí a podesty, pro šířku stupně do 1 200 mm rovného, kotveného do zdiva nebo lehčeného betonu</t>
  </si>
  <si>
    <t>https://podminky.urs.cz/item/CS_URS_2022_02/767211311</t>
  </si>
  <si>
    <t xml:space="preserve">Poznámka k souboru cen:_x000D_
1. V cenách nejsou započteny náklady na montáž zábradlí; tyto práce se oceňují cenami souboru cen 767 22 - Montáž zábradlí nebo 767 16 Montáž kompletního kovového zábradlí._x000D_
2. Množství měrných jednotek se určuje v délce výstupní čáry._x000D_
</t>
  </si>
  <si>
    <t>venkovní schodiště</t>
  </si>
  <si>
    <t>2,454</t>
  </si>
  <si>
    <t>128</t>
  </si>
  <si>
    <t>14550327R</t>
  </si>
  <si>
    <t>profil ocelový obdélníkový svařovaný 120x40x4mm žár.zink</t>
  </si>
  <si>
    <t>-1060214711</t>
  </si>
  <si>
    <t>profil ocelový obdélníkový svařovaný 120x40x4mm</t>
  </si>
  <si>
    <t>2,454*2*8,95/1000</t>
  </si>
  <si>
    <t>129</t>
  </si>
  <si>
    <t>X13</t>
  </si>
  <si>
    <t>pomocný a spojovací materiál, kotvení</t>
  </si>
  <si>
    <t>1325036295</t>
  </si>
  <si>
    <t>130</t>
  </si>
  <si>
    <t>767220420</t>
  </si>
  <si>
    <t>Montáž zábradlí schodišťového z profilové oceli do zdi hm přes 20 do 40 kg</t>
  </si>
  <si>
    <t>-1909312190</t>
  </si>
  <si>
    <t>Montáž schodišťového zábradlí z profilové oceli do zdiva, hmotnosti 1 m zábradlí přes 20 do 40 kg</t>
  </si>
  <si>
    <t>https://podminky.urs.cz/item/CS_URS_2022_02/767220420</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</si>
  <si>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</si>
  <si>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2,236*2</t>
  </si>
  <si>
    <t>4,472*1,1 'Přepočtené koeficientem množství</t>
  </si>
  <si>
    <t>131</t>
  </si>
  <si>
    <t>Z3</t>
  </si>
  <si>
    <t>zábradlí schodiště - výroba a dodávka, žár.zibk.</t>
  </si>
  <si>
    <t>-1639038702</t>
  </si>
  <si>
    <t>JAKL 50/30/4</t>
  </si>
  <si>
    <t>(2,236*2+0,15*2)*4,323</t>
  </si>
  <si>
    <t>JAKL 40/40/4</t>
  </si>
  <si>
    <t>1,116*2*2*4,323</t>
  </si>
  <si>
    <t>pásovina 50/3</t>
  </si>
  <si>
    <t>(1,755*2*2)*1,18</t>
  </si>
  <si>
    <t>kulatina pr. 12</t>
  </si>
  <si>
    <t>0,73*(12*2)*0,888</t>
  </si>
  <si>
    <t>10% ztratné</t>
  </si>
  <si>
    <t>6,4</t>
  </si>
  <si>
    <t>132</t>
  </si>
  <si>
    <t>767316311</t>
  </si>
  <si>
    <t>Montáž střešního bodového světlíku přes 1 do 1,5 m2</t>
  </si>
  <si>
    <t>-430277974</t>
  </si>
  <si>
    <t>Montáž světlíků bodových přes 1 do 1,5 m2</t>
  </si>
  <si>
    <t>https://podminky.urs.cz/item/CS_URS_2022_02/767316311</t>
  </si>
  <si>
    <t xml:space="preserve">Poznámka k souboru cen:_x000D_
1. V cenách -3110 až -3152 je započtena i montáž krytiny._x000D_
2. V ceně -2737 je započteno i dokončení okování větracích křídel._x000D_
</t>
  </si>
  <si>
    <t>133</t>
  </si>
  <si>
    <t>56245R</t>
  </si>
  <si>
    <t>světlík bodový 1,05x1,0 m</t>
  </si>
  <si>
    <t>-384385774</t>
  </si>
  <si>
    <t>světlík bodový třívrstvá kopule, manžeta v 150mm 1,2x1,2m</t>
  </si>
  <si>
    <t>Světlík zajišťuje výfuk vzduchu z CHÚC při požáru</t>
  </si>
  <si>
    <t>min.rozměr otvíravé plochy je 80 x 80 cm</t>
  </si>
  <si>
    <t>Výklopné otvírání světlíku bude automatické</t>
  </si>
  <si>
    <t>Uw &lt;= 0,88 W/m2K, tj. &lt;=0,80 x Urec</t>
  </si>
  <si>
    <t>134</t>
  </si>
  <si>
    <t>-1799855471</t>
  </si>
  <si>
    <t>135</t>
  </si>
  <si>
    <t>-618833315</t>
  </si>
  <si>
    <t>771</t>
  </si>
  <si>
    <t>Podlahy z dlaždic</t>
  </si>
  <si>
    <t>136</t>
  </si>
  <si>
    <t>771111011</t>
  </si>
  <si>
    <t>Vysátí podkladu před pokládkou dlažby</t>
  </si>
  <si>
    <t>-1339718781</t>
  </si>
  <si>
    <t>Příprava podkladu před provedením dlažby vysátí podlah</t>
  </si>
  <si>
    <t>https://podminky.urs.cz/item/CS_URS_2022_02/771111011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</si>
  <si>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</si>
  <si>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137</t>
  </si>
  <si>
    <t>771121011</t>
  </si>
  <si>
    <t>Nátěr penetrační na podlahu</t>
  </si>
  <si>
    <t>-711422257</t>
  </si>
  <si>
    <t>Příprava podkladu před provedením dlažby nátěr penetrační na podlahu</t>
  </si>
  <si>
    <t>https://podminky.urs.cz/item/CS_URS_2022_02/771121011</t>
  </si>
  <si>
    <t>22,4*0,45</t>
  </si>
  <si>
    <t>138</t>
  </si>
  <si>
    <t>771161023</t>
  </si>
  <si>
    <t>Montáž profilu ukončujícího pro balkony a terasy</t>
  </si>
  <si>
    <t>1939377757</t>
  </si>
  <si>
    <t>Příprava podkladu před provedením dlažby montáž profilu ukončujícího profilu pro balkony a terasy</t>
  </si>
  <si>
    <t>https://podminky.urs.cz/item/CS_URS_2022_02/771161023</t>
  </si>
  <si>
    <t>2,11+2,4</t>
  </si>
  <si>
    <t>139</t>
  </si>
  <si>
    <t>59054300</t>
  </si>
  <si>
    <t>profil ukončovací s okapničkou děrovaná hrana s drenáží barevný lak Al dl 2,5m v 23mm</t>
  </si>
  <si>
    <t>1329760975</t>
  </si>
  <si>
    <t>4,51*1,1 'Přepočtené koeficientem množství</t>
  </si>
  <si>
    <t>140</t>
  </si>
  <si>
    <t>771274123</t>
  </si>
  <si>
    <t>Montáž obkladů stupnic z dlaždic protiskluzných keramických flexibilní lepidlo š přes 250 do 300 mm</t>
  </si>
  <si>
    <t>14445329</t>
  </si>
  <si>
    <t>Montáž obkladů schodišť z dlaždic keramických lepených flexibilním lepidlem stupnic protiskluzných nebo reliéfních, šířky přes 250 do 300 mm</t>
  </si>
  <si>
    <t>https://podminky.urs.cz/item/CS_URS_2022_02/771274123</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</si>
  <si>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</si>
  <si>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2,8*8</t>
  </si>
  <si>
    <t>141</t>
  </si>
  <si>
    <t>771274241</t>
  </si>
  <si>
    <t>Montáž obkladů podstupnic z dlaždic reliéfních keramických flexibilní lepidlo v do 150 mm</t>
  </si>
  <si>
    <t>1054349742</t>
  </si>
  <si>
    <t>Montáž obkladů schodišť z dlaždic keramických lepených flexibilním lepidlem podstupnic protiskluzních nebo reliéfních, výšky do 150 mm</t>
  </si>
  <si>
    <t>https://podminky.urs.cz/item/CS_URS_2022_02/771274241</t>
  </si>
  <si>
    <t>142</t>
  </si>
  <si>
    <t>771474113</t>
  </si>
  <si>
    <t>Montáž soklů z dlaždic keramických rovných flexibilní lepidlo v přes 90 do 120 mm</t>
  </si>
  <si>
    <t>550969649</t>
  </si>
  <si>
    <t>Montáž soklů z dlaždic keramických lepených flexibilním lepidlem rovných, výšky přes 90 do 120 mm</t>
  </si>
  <si>
    <t>https://podminky.urs.cz/item/CS_URS_2022_02/771474113</t>
  </si>
  <si>
    <t>143</t>
  </si>
  <si>
    <t>59761275</t>
  </si>
  <si>
    <t>sokl-dlažba keramická slinutá hladká do interiéru i exteriéru 330x80mm</t>
  </si>
  <si>
    <t>1521952084</t>
  </si>
  <si>
    <t>10/0,33</t>
  </si>
  <si>
    <t>30,303*1,1 'Přepočtené koeficientem množství</t>
  </si>
  <si>
    <t>144</t>
  </si>
  <si>
    <t>771574266</t>
  </si>
  <si>
    <t>Montáž podlah keramických pro mechanické zatížení protiskluzných lepených flexibilním lepidlem přes 22 do 25 ks/m2</t>
  </si>
  <si>
    <t>-412152598</t>
  </si>
  <si>
    <t>Montáž podlah z dlaždic keramických lepených flexibilním lepidlem maloformátových pro vysoké mechanické zatížení protiskluzných nebo reliéfních (bezbariérových) přes 22 do 25 ks/m2</t>
  </si>
  <si>
    <t>https://podminky.urs.cz/item/CS_URS_2022_02/771574266</t>
  </si>
  <si>
    <t xml:space="preserve">Poznámka k souboru cen:_x000D_
1. Položky jsou učeny pro všechy druhy povrchových úprav._x000D_
</t>
  </si>
  <si>
    <t>145</t>
  </si>
  <si>
    <t>59761406R</t>
  </si>
  <si>
    <t>dlažba keramická slinutá protiskluzná do interiéru i exteriéru pro vysoké mechanické namáhání přes 22 do 25ks/m2 - dle výběru investora</t>
  </si>
  <si>
    <t>-1141953217</t>
  </si>
  <si>
    <t>22,4*0,3</t>
  </si>
  <si>
    <t>21,82*1,2 'Přepočtené koeficientem množství</t>
  </si>
  <si>
    <t>146</t>
  </si>
  <si>
    <t>771577114</t>
  </si>
  <si>
    <t>Příplatek k montáži podlah keramických lepených flexibilním lepidlem za spárování tmelem dvousložkovým</t>
  </si>
  <si>
    <t>-1626744580</t>
  </si>
  <si>
    <t>Montáž podlah z dlaždic keramických lepených flexibilním lepidlem Příplatek k cenám za dvousložkový spárovací tmel</t>
  </si>
  <si>
    <t>https://podminky.urs.cz/item/CS_URS_2022_02/771577114</t>
  </si>
  <si>
    <t>147</t>
  </si>
  <si>
    <t>771591241</t>
  </si>
  <si>
    <t>Izolace těsnícími pásy vnitřní kout</t>
  </si>
  <si>
    <t>1394437405</t>
  </si>
  <si>
    <t>Izolace podlahy pod dlažbu těsnícími izolačními pásy vnitřní kout</t>
  </si>
  <si>
    <t>https://podminky.urs.cz/item/CS_URS_2022_02/771591241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</si>
  <si>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</si>
  <si>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148</t>
  </si>
  <si>
    <t>771591242</t>
  </si>
  <si>
    <t>Izolace těsnícími pásy vnější roh</t>
  </si>
  <si>
    <t>796161314</t>
  </si>
  <si>
    <t>Izolace podlahy pod dlažbu těsnícími izolačními pásy vnější roh</t>
  </si>
  <si>
    <t>https://podminky.urs.cz/item/CS_URS_2022_02/771591242</t>
  </si>
  <si>
    <t>149</t>
  </si>
  <si>
    <t>771591264</t>
  </si>
  <si>
    <t>Izolace těsnícími pásy mezi podlahou a stěnou</t>
  </si>
  <si>
    <t>1454967816</t>
  </si>
  <si>
    <t>Izolace podlahy pod dlažbu těsnícími izolačními pásy mezi podlahou a stěnu</t>
  </si>
  <si>
    <t>https://podminky.urs.cz/item/CS_URS_2022_02/771591264</t>
  </si>
  <si>
    <t>150</t>
  </si>
  <si>
    <t>998771102</t>
  </si>
  <si>
    <t>Přesun hmot tonážní pro podlahy z dlaždic v objektech v přes 6 do 12 m</t>
  </si>
  <si>
    <t>1358290618</t>
  </si>
  <si>
    <t>Přesun hmot pro podlahy z dlaždic stanovený z hmotnosti přesunovaného materiálu vodorovná dopravní vzdálenost do 50 m v objektech výšky přes 6 do 12 m</t>
  </si>
  <si>
    <t>https://podminky.urs.cz/item/CS_URS_2022_02/998771102</t>
  </si>
  <si>
    <t>151</t>
  </si>
  <si>
    <t>998771181</t>
  </si>
  <si>
    <t>Příplatek k přesunu hmot tonážní 771 prováděný bez použití mechanizace</t>
  </si>
  <si>
    <t>1565048085</t>
  </si>
  <si>
    <t>Přesun hmot pro podlahy z dlaždic stanovený z hmotnosti přesunovaného materiálu Příplatek k ceně za přesun prováděný bez použití mechanizace pro jakoukoliv výšku objektu</t>
  </si>
  <si>
    <t>https://podminky.urs.cz/item/CS_URS_2022_02/998771181</t>
  </si>
  <si>
    <t>152</t>
  </si>
  <si>
    <t>-125830294</t>
  </si>
  <si>
    <t>E14 - Dokončovací práce - výtah,zábradlí.obklady,parapety,malby,žaluzie,podlahy,dveře,dok.TZB</t>
  </si>
  <si>
    <t xml:space="preserve">    714 - Akustická a protiotřesová opatření</t>
  </si>
  <si>
    <t xml:space="preserve">    763 - Konstrukce suché výstavby</t>
  </si>
  <si>
    <t xml:space="preserve">    776 - Podlahy povlakové</t>
  </si>
  <si>
    <t xml:space="preserve">    781 - Dokončovací práce - obklady</t>
  </si>
  <si>
    <t xml:space="preserve">    784 - Dokončovací práce - malby a tapety</t>
  </si>
  <si>
    <t xml:space="preserve">    786 - Dokončovací práce - čalounické úpravy</t>
  </si>
  <si>
    <t>M - Práce a dodávky M</t>
  </si>
  <si>
    <t xml:space="preserve">    33-M - Montáže dopr.zaříz.,sklad. zař. a váh</t>
  </si>
  <si>
    <t>611131101</t>
  </si>
  <si>
    <t>Cementový postřik vnitřních stropů nanášený celoplošně ručně</t>
  </si>
  <si>
    <t>1728302469</t>
  </si>
  <si>
    <t>Podkladní a spojovací vrstva vnitřních omítaných ploch cementový postřik nanášený ručně celoplošně stropů</t>
  </si>
  <si>
    <t>https://podminky.urs.cz/item/CS_URS_2022_02/611131101</t>
  </si>
  <si>
    <t>611142001</t>
  </si>
  <si>
    <t>Potažení vnitřních stropů sklovláknitým pletivem vtlačeným do tenkovrstvé hmoty</t>
  </si>
  <si>
    <t>101762681</t>
  </si>
  <si>
    <t>Potažení vnitřních ploch pletivem v ploše nebo pruzích, na plném podkladu sklovláknitým vtlačením do tmelu stropů</t>
  </si>
  <si>
    <t>https://podminky.urs.cz/item/CS_URS_2022_02/611142001</t>
  </si>
  <si>
    <t>611321141</t>
  </si>
  <si>
    <t>Vápenocementová omítka štuková dvouvrstvá vnitřních stropů rovných nanášená ručně</t>
  </si>
  <si>
    <t>-1545615611</t>
  </si>
  <si>
    <t>Omítka vápenocementová vnitřních ploch nanášená ručně dvouvrstvá, tloušťky jádrové omítky do 10 mm a tloušťky štuku do 3 mm štuková vodorovných konstrukcí stropů rovných</t>
  </si>
  <si>
    <t>https://podminky.urs.cz/item/CS_URS_2022_02/611321141</t>
  </si>
  <si>
    <t>11,8+4,3</t>
  </si>
  <si>
    <t>611321191</t>
  </si>
  <si>
    <t>Příplatek k vápenocementové omítce vnitřních stropů za každých dalších 5 mm tloušťky ručně</t>
  </si>
  <si>
    <t>-138397866</t>
  </si>
  <si>
    <t>Omítka vápenocementová vnitřních ploch nanášená ručně Příplatek k cenám za každých dalších i započatých 5 mm tloušťky omítky přes 10 mm stropů</t>
  </si>
  <si>
    <t>https://podminky.urs.cz/item/CS_URS_2022_02/611321191</t>
  </si>
  <si>
    <t>16,100*2</t>
  </si>
  <si>
    <t>X102</t>
  </si>
  <si>
    <t>pryžové ochranné pásy proti okopání výšky 150, šířky 9 a tl. 1 cm - vnější rohy sloupů a stěn</t>
  </si>
  <si>
    <t>692326053</t>
  </si>
  <si>
    <t>1+2*3+1</t>
  </si>
  <si>
    <t>1+4+4+2</t>
  </si>
  <si>
    <t>4+2*2</t>
  </si>
  <si>
    <t>4+8</t>
  </si>
  <si>
    <t>4+4+2</t>
  </si>
  <si>
    <t>2+2+1</t>
  </si>
  <si>
    <t>2*3+1+4*2</t>
  </si>
  <si>
    <t>11+1</t>
  </si>
  <si>
    <t>4+2*4</t>
  </si>
  <si>
    <t>2*4+2</t>
  </si>
  <si>
    <t>4+2</t>
  </si>
  <si>
    <t>288376438</t>
  </si>
  <si>
    <t>-1021658970</t>
  </si>
  <si>
    <t>953943211</t>
  </si>
  <si>
    <t>Osazování hasicího přístroje</t>
  </si>
  <si>
    <t>-1038632296</t>
  </si>
  <si>
    <t>Osazování drobných kovových předmětů kotvených do stěny hasicího přístroje</t>
  </si>
  <si>
    <t>https://podminky.urs.cz/item/CS_URS_2022_02/953943211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</si>
  <si>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</si>
  <si>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44932114</t>
  </si>
  <si>
    <t>přístroj hasicí ruční práškový PG 6 LE</t>
  </si>
  <si>
    <t>-410139284</t>
  </si>
  <si>
    <t>953943212</t>
  </si>
  <si>
    <t>Osazování skříně pro hasicí přístroj</t>
  </si>
  <si>
    <t>-672458388</t>
  </si>
  <si>
    <t>Osazování drobných kovových předmětů kotvených do stěny skříně pro hasicí přístroj</t>
  </si>
  <si>
    <t>https://podminky.urs.cz/item/CS_URS_2022_02/953943212</t>
  </si>
  <si>
    <t>44983131</t>
  </si>
  <si>
    <t>skříňka na RHP</t>
  </si>
  <si>
    <t>1357910017</t>
  </si>
  <si>
    <t>PBŘ</t>
  </si>
  <si>
    <t>tabulky -označené dle PBŘ</t>
  </si>
  <si>
    <t>1838889496</t>
  </si>
  <si>
    <t>675933518</t>
  </si>
  <si>
    <t>714</t>
  </si>
  <si>
    <t>Akustická a protiotřesová opatření</t>
  </si>
  <si>
    <t>714121013</t>
  </si>
  <si>
    <t>Montáž podstropních panelů s rozšířenou zvukovou pohltivostí zavěšených na skrytý rošt</t>
  </si>
  <si>
    <t>-1484057123</t>
  </si>
  <si>
    <t>Montáž akustických minerálních panelů podstropních s rozšířenou pohltivostí zvuku zavěšených na rošt skrytý</t>
  </si>
  <si>
    <t>https://podminky.urs.cz/item/CS_URS_2022_02/714121013</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</si>
  <si>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</si>
  <si>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23,6+21,6+171</t>
  </si>
  <si>
    <t>56,5+90,9+79,6+47,9</t>
  </si>
  <si>
    <t>59036378</t>
  </si>
  <si>
    <t>panel akustický pro otevřené kanceláře skrytý rošt tl 40mm</t>
  </si>
  <si>
    <t>29283657</t>
  </si>
  <si>
    <t>491,1*1,1 'Přepočtené koeficientem množství</t>
  </si>
  <si>
    <t>998714102</t>
  </si>
  <si>
    <t>Přesun hmot tonážní pro akustická a protiotřesová opatření v objektech v do 12 m</t>
  </si>
  <si>
    <t>711777535</t>
  </si>
  <si>
    <t>Přesun hmot pro akustická a protiotřesová opatření stanovený z hmotnosti přesunovaného materiálu vodorovná dopravní vzdálenost do 50 m v objektech výšky přes 6 do 12 m</t>
  </si>
  <si>
    <t>https://podminky.urs.cz/item/CS_URS_2022_02/998714102</t>
  </si>
  <si>
    <t>998714181</t>
  </si>
  <si>
    <t>Příplatek k přesunu hmot tonážní 714 prováděný bez použití mechanizace</t>
  </si>
  <si>
    <t>-1665487902</t>
  </si>
  <si>
    <t>Přesun hmot pro akustická a protiotřesová opatření stanovený z hmotnosti přesunovaného materiálu Příplatek k cenám za přesun prováděný bez použití mechanizace pro jakoukoliv výšku objektu</t>
  </si>
  <si>
    <t>https://podminky.urs.cz/item/CS_URS_2022_02/998714181</t>
  </si>
  <si>
    <t>763</t>
  </si>
  <si>
    <t>Konstrukce suché výstavby</t>
  </si>
  <si>
    <t>763121551</t>
  </si>
  <si>
    <t>SDK stěna předsazená tl 75 mm profil CD+UD desky 2xDF 12,5 s izolací EI 45</t>
  </si>
  <si>
    <t>-1335037298</t>
  </si>
  <si>
    <t>Stěna předsazená ze sádrokartonových desek s nosnou konstrukcí z ocelových profilů CD a UD, s kotvením CD po 1 500 mm dvojitě opláštěná deskami protipožárními DF tl. 2 x 12,5 mm, stěna tl. 75 mm, s izolací, EI 45</t>
  </si>
  <si>
    <t>https://podminky.urs.cz/item/CS_URS_2022_02/763121551</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</si>
  <si>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</si>
  <si>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Ventilátor CHÚC ve strojovně 1.04 bude opláštěn konstrukcí ze sádrokartonu</t>
  </si>
  <si>
    <t>1,2*(1,0+2,0)+1,0*2,0</t>
  </si>
  <si>
    <t>763121714</t>
  </si>
  <si>
    <t>SDK stěna předsazená základní penetrační nátěr</t>
  </si>
  <si>
    <t>-1073185461</t>
  </si>
  <si>
    <t>Stěna předsazená ze sádrokartonových desek ostatní konstrukce a práce na předsazených stěnách ze sádrokartonových desek základní penetrační nátěr</t>
  </si>
  <si>
    <t>https://podminky.urs.cz/item/CS_URS_2022_02/763121714</t>
  </si>
  <si>
    <t>763131411</t>
  </si>
  <si>
    <t>SDK podhled desky 1xA 12,5 bez izolace dvouvrstvá spodní kce profil CD+UD</t>
  </si>
  <si>
    <t>-647660221</t>
  </si>
  <si>
    <t>Podhled ze sádrokartonových desek dvouvrstvá zavěšená spodní konstrukce z ocelových profilů CD, UD jednoduše opláštěná deskou standardní A, tl. 12,5 mm, bez izolace</t>
  </si>
  <si>
    <t>https://podminky.urs.cz/item/CS_URS_2022_02/763131411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</si>
  <si>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</si>
  <si>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23,6+9</t>
  </si>
  <si>
    <t>763131451</t>
  </si>
  <si>
    <t>SDK podhled deska 1xH2 12,5 bez izolace dvouvrstvá spodní kce profil CD+UD</t>
  </si>
  <si>
    <t>-109787348</t>
  </si>
  <si>
    <t>Podhled ze sádrokartonových desek dvouvrstvá zavěšená spodní konstrukce z ocelových profilů CD, UD jednoduše opláštěná deskou impregnovanou H2, tl. 12,5 mm, bez izolace</t>
  </si>
  <si>
    <t>https://podminky.urs.cz/item/CS_URS_2022_02/763131451</t>
  </si>
  <si>
    <t>4,8+6,8+1,8+2,9</t>
  </si>
  <si>
    <t>4,8+7,9+3,8+2</t>
  </si>
  <si>
    <t>763131714</t>
  </si>
  <si>
    <t>SDK podhled základní penetrační nátěr</t>
  </si>
  <si>
    <t>2121370412</t>
  </si>
  <si>
    <t>Podhled ze sádrokartonových desek ostatní práce a konstrukce na podhledech ze sádrokartonových desek základní penetrační nátěr</t>
  </si>
  <si>
    <t>https://podminky.urs.cz/item/CS_URS_2022_02/763131714</t>
  </si>
  <si>
    <t>763131771</t>
  </si>
  <si>
    <t>Příplatek k SDK podhledu za rovinnost kvality Q3</t>
  </si>
  <si>
    <t>-778668225</t>
  </si>
  <si>
    <t>Podhled ze sádrokartonových desek Příplatek k cenám za rovinnost kvality speciální tmelení kvality Q3</t>
  </si>
  <si>
    <t>https://podminky.urs.cz/item/CS_URS_2022_02/763131771</t>
  </si>
  <si>
    <t>998763302</t>
  </si>
  <si>
    <t>Přesun hmot tonážní pro sádrokartonové konstrukce v objektech v přes 6 do 12 m</t>
  </si>
  <si>
    <t>1625847178</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</si>
  <si>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</si>
  <si>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https://podminky.urs.cz/item/CS_URS_2022_02/998763302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</si>
  <si>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</si>
  <si>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998763381</t>
  </si>
  <si>
    <t>Příplatek k přesunu hmot tonážní 763 SDK prováděný bez použití mechanizace</t>
  </si>
  <si>
    <t>1219478947</t>
  </si>
  <si>
    <t>Přesun hmot pro konstrukce montované z desek sádrokartonových, sádrovláknitých, cementovláknitých nebo cementových Příplatek k cenám za přesun prováděný bez použití mechanizace pro jakoukoliv výšku objektu</t>
  </si>
  <si>
    <t>https://podminky.urs.cz/item/CS_URS_2022_02/998763381</t>
  </si>
  <si>
    <t>766660001</t>
  </si>
  <si>
    <t>Montáž dveřních křídel otvíravých jednokřídlových š do 0,8 m do ocelové zárubně</t>
  </si>
  <si>
    <t>1351757408</t>
  </si>
  <si>
    <t>Montáž dveřních křídel dřevěných nebo plastových otevíravých do ocelové zárubně povrchově upravených jednokřídlových, šířky do 800 mm</t>
  </si>
  <si>
    <t>https://podminky.urs.cz/item/CS_URS_2022_02/766660001</t>
  </si>
  <si>
    <t>61162085</t>
  </si>
  <si>
    <t>dveře jednokřídlé dřevotřískové povrch laminátový plné 700x1970-2100mm</t>
  </si>
  <si>
    <t>-766128828</t>
  </si>
  <si>
    <t>dveře jednokřídlé dřevotřískové povrch laminátový plné 700x1970/2100mm</t>
  </si>
  <si>
    <t>766660002</t>
  </si>
  <si>
    <t>Montáž dveřních křídel otvíravých jednokřídlových š přes 0,8 m do ocelové zárubně</t>
  </si>
  <si>
    <t>1769473112</t>
  </si>
  <si>
    <t>Montáž dveřních křídel dřevěných nebo plastových otevíravých do ocelové zárubně povrchově upravených jednokřídlových, šířky přes 800 mm</t>
  </si>
  <si>
    <t>https://podminky.urs.cz/item/CS_URS_2022_02/766660002</t>
  </si>
  <si>
    <t>61162087</t>
  </si>
  <si>
    <t>dveře jednokřídlé dřevotřískové povrch laminátový plné 900x1970-2100mm</t>
  </si>
  <si>
    <t>-1108096573</t>
  </si>
  <si>
    <t>dveře jednokřídlé dřevotřískové povrch laminátový plné 900x1970/2100mm</t>
  </si>
  <si>
    <t>766660021</t>
  </si>
  <si>
    <t>Montáž dveřních křídel otvíravých jednokřídlových š do 0,8 m požárních do ocelové zárubně</t>
  </si>
  <si>
    <t>1295875852</t>
  </si>
  <si>
    <t>Montáž dveřních křídel dřevěných nebo plastových otevíravých do ocelové zárubně protipožárních jednokřídlových, šířky do 800 mm</t>
  </si>
  <si>
    <t>https://podminky.urs.cz/item/CS_URS_2022_02/766660021</t>
  </si>
  <si>
    <t>61162097</t>
  </si>
  <si>
    <t>dveře jednokřídlé dřevotřískové protipožární EI (EW) 30 D3 povrch laminátový plné 700x1970-2100mm</t>
  </si>
  <si>
    <t>-28494838</t>
  </si>
  <si>
    <t>dveře jednokřídlé dřevotřískové protipožární EI (EW) 30 D3 povrch laminátový plné 700x1970/2100mm</t>
  </si>
  <si>
    <t>61162098</t>
  </si>
  <si>
    <t>dveře jednokřídlé dřevotřískové protipožární EI (EW) 30 D3 povrch laminátový plné 800x1970-2100mm</t>
  </si>
  <si>
    <t>1131908311</t>
  </si>
  <si>
    <t>dveře jednokřídlé dřevotřískové protipožární EI (EW) 30 D3 povrch laminátový plné 800x1970/2100mm</t>
  </si>
  <si>
    <t>766660022</t>
  </si>
  <si>
    <t>Montáž dveřních křídel otvíravých jednokřídlových š přes 0,8 m požárních do ocelové zárubně</t>
  </si>
  <si>
    <t>-2034670390</t>
  </si>
  <si>
    <t>Montáž dveřních křídel dřevěných nebo plastových otevíravých do ocelové zárubně protipožárních jednokřídlových, šířky přes 800 mm</t>
  </si>
  <si>
    <t>https://podminky.urs.cz/item/CS_URS_2022_02/766660022</t>
  </si>
  <si>
    <t>61165314</t>
  </si>
  <si>
    <t>dveře jednokřídlé dřevotřískové protipožární EI (EW) 30 D3 povrch laminátový plné 900x1970-2100mm</t>
  </si>
  <si>
    <t>-1341046935</t>
  </si>
  <si>
    <t>dveře jednokřídlé dřevotřískové protipožární EI (EW) 30 D3 povrch laminátový plné 900x1970/2100mm</t>
  </si>
  <si>
    <t>766660031</t>
  </si>
  <si>
    <t>Montáž dveřních křídel otvíravých dvoukřídlových požárních do ocelové zárubně</t>
  </si>
  <si>
    <t>126374139</t>
  </si>
  <si>
    <t>Montáž dveřních křídel dřevěných nebo plastových otevíravých do ocelové zárubně protipožárních dvoukřídlových jakékoliv šířky</t>
  </si>
  <si>
    <t>https://podminky.urs.cz/item/CS_URS_2022_02/766660031</t>
  </si>
  <si>
    <t>61165322R</t>
  </si>
  <si>
    <t>dveře dvoukřídlé dřevotřískové protipožární EI (EW) 30 D3 povrch laminátový plné 1400x1970/2100mm</t>
  </si>
  <si>
    <t>1357425495</t>
  </si>
  <si>
    <t>61162131R</t>
  </si>
  <si>
    <t>dveře dvoukřídlé dřevotřískové protipožární EI (EW) 30 D3 povrch laminátový plné 2000x1970/2100mm</t>
  </si>
  <si>
    <t>-296993598</t>
  </si>
  <si>
    <t>766660717</t>
  </si>
  <si>
    <t>Montáž dveřních křídel samozavírače na ocelovou zárubeň</t>
  </si>
  <si>
    <t>1729180334</t>
  </si>
  <si>
    <t>Montáž dveřních doplňků samozavírače na zárubeň ocelovou</t>
  </si>
  <si>
    <t>https://podminky.urs.cz/item/CS_URS_2022_02/766660717</t>
  </si>
  <si>
    <t>54917250</t>
  </si>
  <si>
    <t>samozavírač dveří hydraulický</t>
  </si>
  <si>
    <t>254495298</t>
  </si>
  <si>
    <t>samozavírač dveří hydraulický K214 č.11 zlatá bronz</t>
  </si>
  <si>
    <t>766660728</t>
  </si>
  <si>
    <t>Montáž dveřního interiérového kování - zámku</t>
  </si>
  <si>
    <t>334041288</t>
  </si>
  <si>
    <t>Montáž dveřních doplňků dveřního kování interiérového zámku</t>
  </si>
  <si>
    <t>https://podminky.urs.cz/item/CS_URS_2022_02/766660728</t>
  </si>
  <si>
    <t>54924001</t>
  </si>
  <si>
    <t>zámek zadlabací vložkový pravolevý rozteč 90x50,5mm</t>
  </si>
  <si>
    <t>-1994717857</t>
  </si>
  <si>
    <t>zámek zadlabací 5140/22N 1/2</t>
  </si>
  <si>
    <t>766660729</t>
  </si>
  <si>
    <t>Montáž dveřního interiérového kování - štítku s klikou</t>
  </si>
  <si>
    <t>-986322918</t>
  </si>
  <si>
    <t>Montáž dveřních doplňků dveřního kování interiérového štítku s klikou</t>
  </si>
  <si>
    <t>https://podminky.urs.cz/item/CS_URS_2022_02/766660729</t>
  </si>
  <si>
    <t>11+1+5+2+9</t>
  </si>
  <si>
    <t>54914620</t>
  </si>
  <si>
    <t>kování rozetové spodní pro cylindrickou vložku</t>
  </si>
  <si>
    <t>1950616922</t>
  </si>
  <si>
    <t>kování dveřní vrchní klika včetně rozet a montážního materiálu R PZ nerez PK</t>
  </si>
  <si>
    <t>766694111</t>
  </si>
  <si>
    <t>Montáž parapetních desek dřevěných nebo plastových š do 30 cm dl do 1,0 m</t>
  </si>
  <si>
    <t>-1158089239</t>
  </si>
  <si>
    <t>Montáž ostatních truhlářských konstrukcí parapetních desek dřevěných nebo plastových šířky do 300 mm, délky do 1000 mm</t>
  </si>
  <si>
    <t>https://podminky.urs.cz/item/CS_URS_2022_02/766694111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</si>
  <si>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</si>
  <si>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766694113</t>
  </si>
  <si>
    <t>Montáž parapetních desek dřevěných nebo plastových š do 30 cm dl přes 1,6 do 2,6 m</t>
  </si>
  <si>
    <t>1912231891</t>
  </si>
  <si>
    <t>Montáž ostatních truhlářských konstrukcí parapetních desek dřevěných nebo plastových šířky do 300 mm, délky přes 1600 do 2600 mm</t>
  </si>
  <si>
    <t>https://podminky.urs.cz/item/CS_URS_2022_02/766694113</t>
  </si>
  <si>
    <t>6+2+3</t>
  </si>
  <si>
    <t>766694114</t>
  </si>
  <si>
    <t>Montáž parapetních desek dřevěných nebo plastových š do 30 cm dl přes 2,6 do 3,6 m</t>
  </si>
  <si>
    <t>1624361064</t>
  </si>
  <si>
    <t>Montáž ostatních truhlářských konstrukcí parapetních desek dřevěných nebo plastových šířky do 300 mm, délky přes 2600 do 3600 mm</t>
  </si>
  <si>
    <t>https://podminky.urs.cz/item/CS_URS_2022_02/766694114</t>
  </si>
  <si>
    <t>61144402</t>
  </si>
  <si>
    <t>parapet plastový vnitřní komůrkový tl 20mm š 305mm</t>
  </si>
  <si>
    <t>784502723</t>
  </si>
  <si>
    <t>parapet plastový vnitřní komůrkový 305x20x1000mm</t>
  </si>
  <si>
    <t>2,4*6+3,6*2+2,4+2,4*2+1,8</t>
  </si>
  <si>
    <t>61144019</t>
  </si>
  <si>
    <t>koncovka k parapetu plastovému vnitřnímu 1 pár</t>
  </si>
  <si>
    <t>sada</t>
  </si>
  <si>
    <t>-1755391254</t>
  </si>
  <si>
    <t>8+8</t>
  </si>
  <si>
    <t>6+3+3</t>
  </si>
  <si>
    <t>1759629126</t>
  </si>
  <si>
    <t>750052201</t>
  </si>
  <si>
    <t>-628079538</t>
  </si>
  <si>
    <t>zábradlí kolem terasy</t>
  </si>
  <si>
    <t>1,865+2,295+2,516+1,55</t>
  </si>
  <si>
    <t>schodišťové zábradlí</t>
  </si>
  <si>
    <t>3,5+1,8+3,9</t>
  </si>
  <si>
    <t>Z1</t>
  </si>
  <si>
    <t>zábradlí kolem terasy - výroba a dodávka, žár.zibk.</t>
  </si>
  <si>
    <t>-39997091</t>
  </si>
  <si>
    <t>(1,865+2,295+0,15+0,15+2,516+1,55)*4,323</t>
  </si>
  <si>
    <t>1,225*(3+3+3)*4,323</t>
  </si>
  <si>
    <t>((1,24+0,465+0,475+1,46+1,632)*2+0,617+1,318+0,52+1,405)*1,18</t>
  </si>
  <si>
    <t>0,73*(9+4+4+11+11+15)*0,888</t>
  </si>
  <si>
    <t>10% ztrazné</t>
  </si>
  <si>
    <t>13,65</t>
  </si>
  <si>
    <t>Z2</t>
  </si>
  <si>
    <t>zábradlí kolem schodiště - výroba a dodávka</t>
  </si>
  <si>
    <t>1555719199</t>
  </si>
  <si>
    <t>Návrh zábradlí kolem zrcadla vnitřního schodiště bude sladěn s konstrukcí opláštění a barevností výtahové šachty</t>
  </si>
  <si>
    <t>9,2</t>
  </si>
  <si>
    <t>-451016958</t>
  </si>
  <si>
    <t>-1270391733</t>
  </si>
  <si>
    <t>1811591900</t>
  </si>
  <si>
    <t>-1482032959</t>
  </si>
  <si>
    <t>771151021</t>
  </si>
  <si>
    <t>Samonivelační stěrka podlah pevnosti 30 MPa tl 3 mm</t>
  </si>
  <si>
    <t>-414589571</t>
  </si>
  <si>
    <t>Příprava podkladu před provedením dlažby samonivelační stěrka min.pevnosti 30 MPa, tloušťky do 3 mm</t>
  </si>
  <si>
    <t>https://podminky.urs.cz/item/CS_URS_2022_02/771151021</t>
  </si>
  <si>
    <t>2058576615</t>
  </si>
  <si>
    <t>1,35*(10+6+11)</t>
  </si>
  <si>
    <t>1867507487</t>
  </si>
  <si>
    <t>995721190</t>
  </si>
  <si>
    <t>13,7*2+6,22*2-2,5-1,4*2-0,9-0,7*2-1,4</t>
  </si>
  <si>
    <t>3,87*2+4,25*2-0,9</t>
  </si>
  <si>
    <t>0,9*2+1,6*2+1,2*2+1,335*6-0,7*6</t>
  </si>
  <si>
    <t>2,275*2+1,2*2+1,2*4-0,7*5</t>
  </si>
  <si>
    <t>1,2*2+1,875*2+1,2*4-0,7*2</t>
  </si>
  <si>
    <t>2,15*2+1,8*2-0,9</t>
  </si>
  <si>
    <t>1,31*2+1,8*2-0,7</t>
  </si>
  <si>
    <t>2,55*2+3,535*2-1,4-0,9-0,8-0,7</t>
  </si>
  <si>
    <t>1,2*2+3,535*2-0,8</t>
  </si>
  <si>
    <t>2,275*2+1,2*2+1,2*4-0,7*4</t>
  </si>
  <si>
    <t>1,5*2+1,875*2+1,2*4-0,7*3</t>
  </si>
  <si>
    <t>1,6*2+1,8*2-0,9</t>
  </si>
  <si>
    <t>13,8*2+8,3*2-4,2-1,4*3-1,4-0,9-0,7*2</t>
  </si>
  <si>
    <t>-1504543260</t>
  </si>
  <si>
    <t>172,360/0,33</t>
  </si>
  <si>
    <t>522,303*1,1 'Přepočtené koeficientem množství</t>
  </si>
  <si>
    <t>771574240</t>
  </si>
  <si>
    <t>Montáž podlah keramických pro mechanické zatížení hladkých lepených flexibilním lepidlem do 9 ks/m2</t>
  </si>
  <si>
    <t>1434782821</t>
  </si>
  <si>
    <t>Montáž podlah z dlaždic keramických lepených flexibilním lepidlem maloformátových pro vysoké mechanické zatížení hladkých přes 6 do 9 ks/m2</t>
  </si>
  <si>
    <t>https://podminky.urs.cz/item/CS_URS_2022_02/771574240</t>
  </si>
  <si>
    <t>23,6+21,6+4,8+7,9+9+4,3+3,8+2</t>
  </si>
  <si>
    <t>56,5+4,8+6,8+1,8+2,8</t>
  </si>
  <si>
    <t>59761011R</t>
  </si>
  <si>
    <t>dlažba keramická slinutá hladká do interiéru i exteriéru do 9ks/m2 - dle výběru investora</t>
  </si>
  <si>
    <t>-2143436678</t>
  </si>
  <si>
    <t>149,7</t>
  </si>
  <si>
    <t>36,450*0,6</t>
  </si>
  <si>
    <t>171,57*1,15 'Přepočtené koeficientem množství</t>
  </si>
  <si>
    <t>771591112</t>
  </si>
  <si>
    <t>Izolace pod dlažbu nátěrem nebo stěrkou ve dvou vrstvách</t>
  </si>
  <si>
    <t>-832241342</t>
  </si>
  <si>
    <t>Izolace podlahy pod dlažbu nátěrem nebo stěrkou ve dvou vrstvách</t>
  </si>
  <si>
    <t>https://podminky.urs.cz/item/CS_URS_2022_02/771591112</t>
  </si>
  <si>
    <t>771591115</t>
  </si>
  <si>
    <t>Podlahy spárování silikonem</t>
  </si>
  <si>
    <t>12360673</t>
  </si>
  <si>
    <t>Podlahy - dokončovací práce spárování silikonem</t>
  </si>
  <si>
    <t>https://podminky.urs.cz/item/CS_URS_2022_02/771591115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</si>
  <si>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</si>
  <si>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771592011</t>
  </si>
  <si>
    <t>Čištění vnitřních ploch podlah nebo schodišť po položení dlažby chemickými prostředky</t>
  </si>
  <si>
    <t>-1498960465</t>
  </si>
  <si>
    <t>Čištění vnitřních ploch po položení dlažby podlah nebo schodišť chemickými prostředky</t>
  </si>
  <si>
    <t>https://podminky.urs.cz/item/CS_URS_2022_02/771592011</t>
  </si>
  <si>
    <t>1434244500</t>
  </si>
  <si>
    <t>-1255391725</t>
  </si>
  <si>
    <t>776</t>
  </si>
  <si>
    <t>Podlahy povlakové</t>
  </si>
  <si>
    <t>776111111</t>
  </si>
  <si>
    <t>Broušení anhydritového podkladu povlakových podlah</t>
  </si>
  <si>
    <t>-1684532200</t>
  </si>
  <si>
    <t>Příprava podkladu broušení podlah nového podkladu anhydritového</t>
  </si>
  <si>
    <t>https://podminky.urs.cz/item/CS_URS_2022_02/776111111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</si>
  <si>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</si>
  <si>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542,14</t>
  </si>
  <si>
    <t>776111311</t>
  </si>
  <si>
    <t>Vysátí podkladu povlakových podlah</t>
  </si>
  <si>
    <t>-1067813475</t>
  </si>
  <si>
    <t>Příprava podkladu vysátí podlah</t>
  </si>
  <si>
    <t>https://podminky.urs.cz/item/CS_URS_2022_02/776111311</t>
  </si>
  <si>
    <t>776121311</t>
  </si>
  <si>
    <t>Vodou ředitelná penetrace savého podkladu povlakových podlah</t>
  </si>
  <si>
    <t>-530302262</t>
  </si>
  <si>
    <t>Příprava podkladu penetrace vodou ředitelná podlah</t>
  </si>
  <si>
    <t>https://podminky.urs.cz/item/CS_URS_2022_02/776121311</t>
  </si>
  <si>
    <t>776141121</t>
  </si>
  <si>
    <t>Stěrka podlahová nivelační pro vyrovnání podkladu povlakových podlah pevnosti 30 MPa tl do 3 mm</t>
  </si>
  <si>
    <t>405529334</t>
  </si>
  <si>
    <t>Příprava podkladu vyrovnání samonivelační stěrkou podlah min.pevnosti 30 MPa, tloušťky do 3 mm</t>
  </si>
  <si>
    <t>https://podminky.urs.cz/item/CS_URS_2022_02/776141121</t>
  </si>
  <si>
    <t>776251111</t>
  </si>
  <si>
    <t>Lepení pásů z přírodního linolea (marmolea) standardním lepidlem</t>
  </si>
  <si>
    <t>617915329</t>
  </si>
  <si>
    <t>Montáž podlahovin z přírodního linolea (marmolea) lepením standardním lepidlem z pásů standardních</t>
  </si>
  <si>
    <t>https://podminky.urs.cz/item/CS_URS_2022_02/776251111</t>
  </si>
  <si>
    <t>171</t>
  </si>
  <si>
    <t>90,9+79,6+47,9</t>
  </si>
  <si>
    <t>28411069</t>
  </si>
  <si>
    <t>linoleum přírodní ze 100% dřevité moučky tl 2,5mm, zátěž 34/43, R9, hořlavost Cfl S1</t>
  </si>
  <si>
    <t>433970968</t>
  </si>
  <si>
    <t>389,4*1,1 'Přepočtené koeficientem množství</t>
  </si>
  <si>
    <t>776251411</t>
  </si>
  <si>
    <t>Spoj podlah z přírodního linolea (marmolea) svařováním za tepla</t>
  </si>
  <si>
    <t>-1980070422</t>
  </si>
  <si>
    <t>Montáž podlahovin z přírodního linolea (marmolea) spoj podlah svařováním za tepla</t>
  </si>
  <si>
    <t>https://podminky.urs.cz/item/CS_URS_2022_02/776251411</t>
  </si>
  <si>
    <t>17,5*2</t>
  </si>
  <si>
    <t>13,69</t>
  </si>
  <si>
    <t>9,8</t>
  </si>
  <si>
    <t>17,8</t>
  </si>
  <si>
    <t>776411111</t>
  </si>
  <si>
    <t>Montáž obvodových soklíků výšky do 80 mm</t>
  </si>
  <si>
    <t>883385509</t>
  </si>
  <si>
    <t>Montáž soklíků lepením obvodových, výšky do 80 mm</t>
  </si>
  <si>
    <t>https://podminky.urs.cz/item/CS_URS_2022_02/776411111</t>
  </si>
  <si>
    <t>17,5*2+9,855*2-1,4*3</t>
  </si>
  <si>
    <t>13,69*2+5,9*2-1,4</t>
  </si>
  <si>
    <t>17,8*2+5,155*2-1,4</t>
  </si>
  <si>
    <t>9,8*2+4,935*2-1,4</t>
  </si>
  <si>
    <t>28411009</t>
  </si>
  <si>
    <t>lišta soklová PVC 18x80mm</t>
  </si>
  <si>
    <t>1971729390</t>
  </si>
  <si>
    <t>160,87*1,02 'Přepočtené koeficientem množství</t>
  </si>
  <si>
    <t>776991121</t>
  </si>
  <si>
    <t>Základní čištění nově položených podlahovin vysátím a setřením vlhkým mopem</t>
  </si>
  <si>
    <t>-1402450542</t>
  </si>
  <si>
    <t>Ostatní práce údržba nových podlahovin po pokládce čištění základní</t>
  </si>
  <si>
    <t>https://podminky.urs.cz/item/CS_URS_2022_02/776991121</t>
  </si>
  <si>
    <t xml:space="preserve">Poznámka k souboru cen:_x000D_
1. V ceně 776 99-1121 jsou započteny náklady na vysátí podlahy a setření vlhkým mopem._x000D_
2. V ceně 776 99-1141 jsou započteny i náklady na dodání pasty._x000D_
</t>
  </si>
  <si>
    <t>998776102</t>
  </si>
  <si>
    <t>Přesun hmot tonážní pro podlahy povlakové v objektech v přes 6 do 12 m</t>
  </si>
  <si>
    <t>1621069895</t>
  </si>
  <si>
    <t>Přesun hmot pro podlahy povlakové stanovený z hmotnosti přesunovaného materiálu vodorovná dopravní vzdálenost do 50 m v objektech výšky přes 6 do 12 m</t>
  </si>
  <si>
    <t>https://podminky.urs.cz/item/CS_URS_2022_02/998776102</t>
  </si>
  <si>
    <t>998776181</t>
  </si>
  <si>
    <t>Příplatek k přesunu hmot tonážní 776 prováděný bez použití mechanizace</t>
  </si>
  <si>
    <t>-1724731662</t>
  </si>
  <si>
    <t>Přesun hmot pro podlahy povlakové stanovený z hmotnosti přesunovaného materiálu Příplatek k cenám za přesun prováděný bez použití mechanizace pro jakoukoliv výšku objektu</t>
  </si>
  <si>
    <t>https://podminky.urs.cz/item/CS_URS_2022_02/998776181</t>
  </si>
  <si>
    <t>781</t>
  </si>
  <si>
    <t>Dokončovací práce - obklady</t>
  </si>
  <si>
    <t>781111011</t>
  </si>
  <si>
    <t>Ometení (oprášení) stěny při přípravě podkladu</t>
  </si>
  <si>
    <t>-1159086720</t>
  </si>
  <si>
    <t>Příprava podkladu před provedením obkladu oprášení (ometení) stěny</t>
  </si>
  <si>
    <t>https://podminky.urs.cz/item/CS_URS_2022_02/781111011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</si>
  <si>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</si>
  <si>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781121011</t>
  </si>
  <si>
    <t>Nátěr penetrační na stěnu</t>
  </si>
  <si>
    <t>-1292151521</t>
  </si>
  <si>
    <t>Příprava podkladu před provedením obkladu nátěr penetrační na stěnu</t>
  </si>
  <si>
    <t>https://podminky.urs.cz/item/CS_URS_2022_02/781121011</t>
  </si>
  <si>
    <t>781474112</t>
  </si>
  <si>
    <t>Montáž obkladů vnitřních keramických hladkých přes 9 do 12 ks/m2 lepených flexibilním lepidlem</t>
  </si>
  <si>
    <t>-1883297122</t>
  </si>
  <si>
    <t>Montáž obkladů vnitřních stěn z dlaždic keramických lepených flexibilním lepidlem maloformátových hladkých přes 9 do 12 ks/m2</t>
  </si>
  <si>
    <t>https://podminky.urs.cz/item/CS_URS_2022_02/781474112</t>
  </si>
  <si>
    <t xml:space="preserve">Poznámka k souboru cen:_x000D_
1. Položky jsou určeny pro všechny druhy povrchových úprav._x000D_
</t>
  </si>
  <si>
    <t>2,0*(0,9+0,5*2+1,6+0,5*2+0,5+2+1,5+1,5*0,5)</t>
  </si>
  <si>
    <t>1,8*(1,8*2+1,31*2-0,7)</t>
  </si>
  <si>
    <t>2,0*(0,9+0,5*2+1,6+0,5*2+0,5+2+1,5+1,5+0,5)</t>
  </si>
  <si>
    <t>1,8*(1,5*2+1,2*2-0,7)</t>
  </si>
  <si>
    <t>učebny</t>
  </si>
  <si>
    <t>2,0*(1,5+0,5)*3+2,0*1,5</t>
  </si>
  <si>
    <t>59761026R</t>
  </si>
  <si>
    <t>obklad keramický hladký do 12ks/m2  - dle výběru investora</t>
  </si>
  <si>
    <t>-1367230522</t>
  </si>
  <si>
    <t>obklad keramický hladký do 12ks/m2 - dle výběru investora</t>
  </si>
  <si>
    <t>72,896*1,1 'Přepočtené koeficientem množství</t>
  </si>
  <si>
    <t>781477111</t>
  </si>
  <si>
    <t>Příplatek k montáži obkladů vnitřních keramických hladkých za plochu do 10 m2</t>
  </si>
  <si>
    <t>-463026078</t>
  </si>
  <si>
    <t>Montáž obkladů vnitřních stěn z dlaždic keramických Příplatek k cenám za plochu do 10 m2 jednotlivě</t>
  </si>
  <si>
    <t>https://podminky.urs.cz/item/CS_URS_2022_02/781477111</t>
  </si>
  <si>
    <t>781477112</t>
  </si>
  <si>
    <t>Příplatek k montáži obkladů vnitřních keramických hladkých za omezený prostor</t>
  </si>
  <si>
    <t>-2101651801</t>
  </si>
  <si>
    <t>Montáž obkladů vnitřních stěn z dlaždic keramických Příplatek k cenám za obklady v omezeném prostoru</t>
  </si>
  <si>
    <t>https://podminky.urs.cz/item/CS_URS_2022_02/781477112</t>
  </si>
  <si>
    <t>781477114</t>
  </si>
  <si>
    <t>Příplatek k montáži obkladů vnitřních keramických hladkých za spárování tmelem dvousložkovým</t>
  </si>
  <si>
    <t>-83286195</t>
  </si>
  <si>
    <t>Montáž obkladů vnitřních stěn z dlaždic keramických Příplatek k cenám za dvousložkový spárovací tmel</t>
  </si>
  <si>
    <t>https://podminky.urs.cz/item/CS_URS_2022_02/781477114</t>
  </si>
  <si>
    <t>781494111</t>
  </si>
  <si>
    <t>Plastové profily rohové lepené flexibilním lepidlem</t>
  </si>
  <si>
    <t>-286316363</t>
  </si>
  <si>
    <t>Obklad - dokončující práce profily ukončovací lepené flexibilním lepidlem rohové</t>
  </si>
  <si>
    <t>https://podminky.urs.cz/item/CS_URS_2022_02/781494111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</si>
  <si>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</si>
  <si>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1,8*4*2</t>
  </si>
  <si>
    <t>2,0*(2+2+1+1)</t>
  </si>
  <si>
    <t>2,0*(2+2+1+1+1)</t>
  </si>
  <si>
    <t>2,0*3</t>
  </si>
  <si>
    <t>781494511</t>
  </si>
  <si>
    <t>Plastové profily ukončovací lepené flexibilním lepidlem</t>
  </si>
  <si>
    <t>-1890971494</t>
  </si>
  <si>
    <t>Obklad - dokončující práce profily ukončovací lepené flexibilním lepidlem ukončovací</t>
  </si>
  <si>
    <t>https://podminky.urs.cz/item/CS_URS_2022_02/781494511</t>
  </si>
  <si>
    <t>(0,9+0,5*2+1,6+0,5*2+0,5+2+1,5+1,5*0,5)</t>
  </si>
  <si>
    <t>(1,8*2+1,31*2-0,7)</t>
  </si>
  <si>
    <t>(0,9+0,5*2+1,6+0,5*2+0,5+2+1,5+1,5+0,5)</t>
  </si>
  <si>
    <t>(1,5*2+1,2*2-0,7)</t>
  </si>
  <si>
    <t>(1,5+0,5)*3+1,5</t>
  </si>
  <si>
    <t>781495141</t>
  </si>
  <si>
    <t>Průnik obkladem kruhový do DN 30</t>
  </si>
  <si>
    <t>-51212311</t>
  </si>
  <si>
    <t>Obklad - dokončující práce průnik obkladem kruhový, bez izolace do DN 30</t>
  </si>
  <si>
    <t>https://podminky.urs.cz/item/CS_URS_2022_02/781495141</t>
  </si>
  <si>
    <t>7+16</t>
  </si>
  <si>
    <t>6+20</t>
  </si>
  <si>
    <t>781495142</t>
  </si>
  <si>
    <t>Průnik obkladem kruhový přes DN 30 do DN 90</t>
  </si>
  <si>
    <t>308846020</t>
  </si>
  <si>
    <t>Obklad - dokončující práce průnik obkladem kruhový, bez izolace přes DN 30 do DN 90</t>
  </si>
  <si>
    <t>https://podminky.urs.cz/item/CS_URS_2022_02/781495142</t>
  </si>
  <si>
    <t>781495143</t>
  </si>
  <si>
    <t>Průnik obkladem kruhový přes DN 90</t>
  </si>
  <si>
    <t>-129764473</t>
  </si>
  <si>
    <t>Obklad - dokončující práce průnik obkladem kruhový, bez izolace přes DN 90</t>
  </si>
  <si>
    <t>https://podminky.urs.cz/item/CS_URS_2022_02/781495143</t>
  </si>
  <si>
    <t>781495211</t>
  </si>
  <si>
    <t>Čištění vnitřních ploch stěn po provedení obkladu chemickými prostředky</t>
  </si>
  <si>
    <t>-397997640</t>
  </si>
  <si>
    <t>Čištění vnitřních ploch po provedení obkladu stěn chemickými prostředky</t>
  </si>
  <si>
    <t>https://podminky.urs.cz/item/CS_URS_2022_02/781495211</t>
  </si>
  <si>
    <t>998781102</t>
  </si>
  <si>
    <t>Přesun hmot tonážní pro obklady keramické v objektech v přes 6 do 12 m</t>
  </si>
  <si>
    <t>1500255235</t>
  </si>
  <si>
    <t>Přesun hmot pro obklady keramické stanovený z hmotnosti přesunovaného materiálu vodorovná dopravní vzdálenost do 50 m v objektech výšky přes 6 do 12 m</t>
  </si>
  <si>
    <t>https://podminky.urs.cz/item/CS_URS_2022_02/998781102</t>
  </si>
  <si>
    <t>998781181</t>
  </si>
  <si>
    <t>Příplatek k přesunu hmot tonážní 781 prováděný bez použití mechanizace</t>
  </si>
  <si>
    <t>-1415730148</t>
  </si>
  <si>
    <t>Přesun hmot pro obklady keramické stanovený z hmotnosti přesunovaného materiálu Příplatek k cenám za přesun prováděný bez použití mechanizace pro jakoukoliv výšku objektu</t>
  </si>
  <si>
    <t>https://podminky.urs.cz/item/CS_URS_2022_02/998781181</t>
  </si>
  <si>
    <t>783301311</t>
  </si>
  <si>
    <t>Odmaštění zámečnických konstrukcí vodou ředitelným odmašťovačem</t>
  </si>
  <si>
    <t>-1690476364</t>
  </si>
  <si>
    <t>Příprava podkladu zámečnických konstrukcí před provedením nátěru odmaštění odmašťovačem vodou ředitelným</t>
  </si>
  <si>
    <t>https://podminky.urs.cz/item/CS_URS_2022_02/783301311</t>
  </si>
  <si>
    <t>-177013912</t>
  </si>
  <si>
    <t>-59762444</t>
  </si>
  <si>
    <t>783315103</t>
  </si>
  <si>
    <t>Mezinátěr jednonásobný syntetický samozákladující zámečnických konstrukcí</t>
  </si>
  <si>
    <t>-928141446</t>
  </si>
  <si>
    <t>Mezinátěr zámečnických konstrukcí jednonásobný syntetický samozákladující</t>
  </si>
  <si>
    <t>https://podminky.urs.cz/item/CS_URS_2022_02/783315103</t>
  </si>
  <si>
    <t>783347101</t>
  </si>
  <si>
    <t>Krycí jednonásobný polyuretanový nátěr zámečnických konstrukcí</t>
  </si>
  <si>
    <t>-1209154094</t>
  </si>
  <si>
    <t>Krycí nátěr (email) zámečnických konstrukcí jednonásobný polyuretanový</t>
  </si>
  <si>
    <t>https://podminky.urs.cz/item/CS_URS_2022_02/783347101</t>
  </si>
  <si>
    <t>nátěr zárubní</t>
  </si>
  <si>
    <t>0,4*(1,4+2,1*2)*3</t>
  </si>
  <si>
    <t>0,25*4,9+0,25*4,7</t>
  </si>
  <si>
    <t>0,15*4,8</t>
  </si>
  <si>
    <t>0,25*4,9</t>
  </si>
  <si>
    <t>0,25*4,7*2</t>
  </si>
  <si>
    <t>0,15*4,7*5</t>
  </si>
  <si>
    <t>0,3*(2+2,1*2)*2</t>
  </si>
  <si>
    <t>0,4*(1,4+2,0*2)*4</t>
  </si>
  <si>
    <t>0,15*4,9</t>
  </si>
  <si>
    <t>0,25*4,7*5</t>
  </si>
  <si>
    <t>784</t>
  </si>
  <si>
    <t>Dokončovací práce - malby a tapety</t>
  </si>
  <si>
    <t>784111003</t>
  </si>
  <si>
    <t>Oprášení (ometení ) podkladu v místnostech v přes 3,80 do 5,00 m</t>
  </si>
  <si>
    <t>1236359286</t>
  </si>
  <si>
    <t>Oprášení (ometení) podkladu v místnostech výšky přes 3,80 do 5,00 m</t>
  </si>
  <si>
    <t>https://podminky.urs.cz/item/CS_URS_2022_02/784111003</t>
  </si>
  <si>
    <t>784181123</t>
  </si>
  <si>
    <t>Hloubková jednonásobná bezbarvá penetrace podkladu v místnostech v přes 3,80 do 5,00 m</t>
  </si>
  <si>
    <t>1566779137</t>
  </si>
  <si>
    <t>Penetrace podkladu jednonásobná hloubková akrylátová bezbarvá v místnostech výšky přes 3,80 do 5,00 m</t>
  </si>
  <si>
    <t>https://podminky.urs.cz/item/CS_URS_2022_02/784181123</t>
  </si>
  <si>
    <t>2195,644</t>
  </si>
  <si>
    <t>5,6</t>
  </si>
  <si>
    <t>784191003</t>
  </si>
  <si>
    <t>Čištění vnitřních ploch oken dvojitých nebo zdvojených po provedení malířských prací</t>
  </si>
  <si>
    <t>2072944079</t>
  </si>
  <si>
    <t>Čištění vnitřních ploch hrubý úklid po provedení malířských prací omytím oken dvojitých nebo zdvojených</t>
  </si>
  <si>
    <t>https://podminky.urs.cz/item/CS_URS_2022_02/784191003</t>
  </si>
  <si>
    <t>2,4*2,4*(8+6)</t>
  </si>
  <si>
    <t>3,6*2,4*2+2,4*2,4*3+1,8*2,4</t>
  </si>
  <si>
    <t>0,9*0,9*7+0,6*0,9</t>
  </si>
  <si>
    <t>784191005</t>
  </si>
  <si>
    <t>Čištění vnitřních ploch dveří nebo vrat po provedení malířských prací</t>
  </si>
  <si>
    <t>1297337189</t>
  </si>
  <si>
    <t>Čištění vnitřních ploch hrubý úklid po provedení malířských prací omytím dveří nebo vrat</t>
  </si>
  <si>
    <t>https://podminky.urs.cz/item/CS_URS_2022_02/784191005</t>
  </si>
  <si>
    <t>2,5*2,4</t>
  </si>
  <si>
    <t>2,1*2,15*2</t>
  </si>
  <si>
    <t>1,4*2</t>
  </si>
  <si>
    <t>784191007</t>
  </si>
  <si>
    <t>Čištění vnitřních ploch podlah po provedení malířských prací</t>
  </si>
  <si>
    <t>1945761630</t>
  </si>
  <si>
    <t>Čištění vnitřních ploch hrubý úklid po provedení malířských prací omytím podlah</t>
  </si>
  <si>
    <t>https://podminky.urs.cz/item/CS_URS_2022_02/784191007</t>
  </si>
  <si>
    <t>784211103</t>
  </si>
  <si>
    <t>Dvojnásobné bílé malby ze směsí za mokra výborně oděruvzdorných v místnostech v přes 3,80 do 5,00 m</t>
  </si>
  <si>
    <t>-499853499</t>
  </si>
  <si>
    <t>Malby z malířských směsí oděruvzdorných za mokra dvojnásobné, bílé za mokra oděruvzdorné výborně v místnostech výšky přes 3,80 do 5,00 m</t>
  </si>
  <si>
    <t>https://podminky.urs.cz/item/CS_URS_2022_02/784211103</t>
  </si>
  <si>
    <t>cca 1/3 výšky</t>
  </si>
  <si>
    <t>1693,940/3</t>
  </si>
  <si>
    <t>784211113</t>
  </si>
  <si>
    <t>Dvojnásobné bílé malby ze směsí za mokra velmi dobře oděruvzdorných v místnostech v přes 3,80 do 5,00 m</t>
  </si>
  <si>
    <t>-672916188</t>
  </si>
  <si>
    <t>Malby z malířských směsí oděruvzdorných za mokra dvojnásobné, bílé za mokra oděruvzdorné velmi dobře v místnostech výšky přes 3,80 do 5,00 m</t>
  </si>
  <si>
    <t>https://podminky.urs.cz/item/CS_URS_2022_02/784211113</t>
  </si>
  <si>
    <t>stropy</t>
  </si>
  <si>
    <t>16,100+491,100+67,4</t>
  </si>
  <si>
    <t>sokly</t>
  </si>
  <si>
    <t>-564,647</t>
  </si>
  <si>
    <t>5,600</t>
  </si>
  <si>
    <t>784211161</t>
  </si>
  <si>
    <t>Příplatek k cenám 2x maleb ze směsí za mokra oděruvzdorných za barevnou malbu v světlém odstínu</t>
  </si>
  <si>
    <t>-61047277</t>
  </si>
  <si>
    <t>Malby z malířských směsí oděruvzdorných za mokra Příplatek k cenám dvojnásobných maleb za provádění barevné malby tónované na tónovacích automatech, v odstínu světlém</t>
  </si>
  <si>
    <t>https://podminky.urs.cz/item/CS_URS_2022_02/784211161</t>
  </si>
  <si>
    <t>786</t>
  </si>
  <si>
    <t>Dokončovací práce - čalounické úpravy</t>
  </si>
  <si>
    <t>786624111</t>
  </si>
  <si>
    <t>Montáž lamelové žaluzie do oken zdvojených dřevěných otevíravých, sklápěcích a vyklápěcích</t>
  </si>
  <si>
    <t>-495246761</t>
  </si>
  <si>
    <t>Montáž zastiňujících žaluzií lamelových do oken zdvojených otevíravých, sklápěcích nebo vyklápěcích dřevěných</t>
  </si>
  <si>
    <t>https://podminky.urs.cz/item/CS_URS_2022_02/786624111</t>
  </si>
  <si>
    <t xml:space="preserve">Poznámka k souboru cen:_x000D_
1. Cenu-3111 lze použít pro jakýkoli rozměr žaluzie._x000D_
</t>
  </si>
  <si>
    <t>2,4*2,4*8+0,9*0,9*5+0,6*0,9</t>
  </si>
  <si>
    <t>3,6*2,42+2,4*2,4</t>
  </si>
  <si>
    <t>2,4*2,4*2+1,8*2,4</t>
  </si>
  <si>
    <t>61124343R</t>
  </si>
  <si>
    <t xml:space="preserve">žaluzie interiérová Al bílá </t>
  </si>
  <si>
    <t>1023477660</t>
  </si>
  <si>
    <t>115,542*1,1 'Přepočtené koeficientem množství</t>
  </si>
  <si>
    <t>998786102</t>
  </si>
  <si>
    <t>Přesun hmot tonážní pro stínění a čalounické úpravy v objektech v přes 6 do 12 m</t>
  </si>
  <si>
    <t>-750181126</t>
  </si>
  <si>
    <t>Přesun hmot pro stínění a čalounické úpravy stanovený z hmotnosti přesunovaného materiálu vodorovná dopravní vzdálenost do 50 m v objektech výšky (hloubky) přes 6 do 12 m</t>
  </si>
  <si>
    <t>https://podminky.urs.cz/item/CS_URS_2022_02/998786102</t>
  </si>
  <si>
    <t>998786181</t>
  </si>
  <si>
    <t>Příplatek k přesunu hmot tonážní 786 prováděný bez použití mechanizace</t>
  </si>
  <si>
    <t>-724262036</t>
  </si>
  <si>
    <t>Přesun hmot pro stínění a čalounické úpravy stanovený z hmotnosti přesunovaného materiálu Příplatek k cenám za přesun prováděný bez použití mechanizace pro jakoukoliv výšku objektu</t>
  </si>
  <si>
    <t>https://podminky.urs.cz/item/CS_URS_2022_02/998786181</t>
  </si>
  <si>
    <t>Práce a dodávky M</t>
  </si>
  <si>
    <t>33-M</t>
  </si>
  <si>
    <t>Montáže dopr.zaříz.,sklad. zař. a váh</t>
  </si>
  <si>
    <t>D+M výtah včetně opláštění šachty</t>
  </si>
  <si>
    <t>-589170908</t>
  </si>
  <si>
    <t>-34033144</t>
  </si>
  <si>
    <t>přípomoci</t>
  </si>
  <si>
    <t>011434000</t>
  </si>
  <si>
    <t>Měření (monitoring) hlukové hladiny</t>
  </si>
  <si>
    <t>-2097531521</t>
  </si>
  <si>
    <t>https://podminky.urs.cz/item/CS_URS_2022_02/011434000</t>
  </si>
  <si>
    <t>měření doby dozvuku dle ČSN 73 0527</t>
  </si>
  <si>
    <t>E15 - Vyrovnání terénu po odstraněném bazénu, okapové chodníčky, ozelenění</t>
  </si>
  <si>
    <t xml:space="preserve">    5 - Komunikace pozemní</t>
  </si>
  <si>
    <t>162251122</t>
  </si>
  <si>
    <t>Vodorovné přemístění přes 20 do 50 m výkopku/sypaniny z horniny třídy těžitelnosti II skupiny 4 a 5</t>
  </si>
  <si>
    <t>13502664</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</si>
  <si>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</si>
  <si>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https://podminky.urs.cz/item/CS_URS_2022_02/162251122</t>
  </si>
  <si>
    <t>-1984971505</t>
  </si>
  <si>
    <t>1575798183</t>
  </si>
  <si>
    <t>60,75*10 'Přepočtené koeficientem množství</t>
  </si>
  <si>
    <t>167151111</t>
  </si>
  <si>
    <t>Nakládání výkopku z hornin třídy těžitelnosti I skupiny 1 až 3 přes 100 m3</t>
  </si>
  <si>
    <t>174068489</t>
  </si>
  <si>
    <t>Nakládání, skládání a překládání neulehlého výkopku nebo sypaniny strojně nakládání, množství přes 100 m3, z hornin třídy těžitelnosti I, skupiny 1 až 3</t>
  </si>
  <si>
    <t>https://podminky.urs.cz/item/CS_URS_2022_02/167151111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</si>
  <si>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</si>
  <si>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405*0,15</t>
  </si>
  <si>
    <t>10321225</t>
  </si>
  <si>
    <t>substrát vegetačních střech extenzivní s nízkým obsahem organické složky</t>
  </si>
  <si>
    <t>1657205678</t>
  </si>
  <si>
    <t>167151112</t>
  </si>
  <si>
    <t>Nakládání výkopku z hornin třídy těžitelnosti II skupiny 4 a 5 přes 100 m3</t>
  </si>
  <si>
    <t>1871434265</t>
  </si>
  <si>
    <t>Nakládání, skládání a překládání neulehlého výkopku nebo sypaniny strojně nakládání, množství přes 100 m3, z hornin třídy těžitelnosti II, skupiny 4 a 5</t>
  </si>
  <si>
    <t>https://podminky.urs.cz/item/CS_URS_2022_02/167151112</t>
  </si>
  <si>
    <t>171151112</t>
  </si>
  <si>
    <t>Uložení sypaniny z hornin nesoudržných kamenitých do násypů zhutněných strojně</t>
  </si>
  <si>
    <t>-1687840994</t>
  </si>
  <si>
    <t>Uložení sypanin do násypů strojně s rozprostřením sypaniny ve vrstvách a s hrubým urovnáním zhutněných z hornin nesoudržných kamenitých</t>
  </si>
  <si>
    <t>https://podminky.urs.cz/item/CS_URS_2022_02/171151112</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</si>
  <si>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</si>
  <si>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zásyp bouraného bazénu</t>
  </si>
  <si>
    <t>1,2*27*15</t>
  </si>
  <si>
    <t>181351103</t>
  </si>
  <si>
    <t>Rozprostření ornice tl vrstvy do 200 mm pl přes 100 do 500 m2 v rovině nebo ve svahu do 1:5 strojně</t>
  </si>
  <si>
    <t>389820374</t>
  </si>
  <si>
    <t>Rozprostření a urovnání ornice v rovině nebo ve svahu sklonu do 1:5 strojně při souvislé ploše přes 100 do 500 m2, tl. vrstvy do 200 mm</t>
  </si>
  <si>
    <t>https://podminky.urs.cz/item/CS_URS_2022_02/181351103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</si>
  <si>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</si>
  <si>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181411131</t>
  </si>
  <si>
    <t>Založení parkového trávníku výsevem pl do 1000 m2 v rovině a ve svahu do 1:5</t>
  </si>
  <si>
    <t>-975795106</t>
  </si>
  <si>
    <t>Založení trávníku na půdě předem připravené plochy do 1000 m2 výsevem včetně utažení parkového v rovině nebo na svahu do 1:5</t>
  </si>
  <si>
    <t>https://podminky.urs.cz/item/CS_URS_2022_02/181411131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</si>
  <si>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</si>
  <si>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</si>
  <si>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</si>
  <si>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-108466373</t>
  </si>
  <si>
    <t>405*0,015 'Přepočtené koeficientem množství</t>
  </si>
  <si>
    <t>181951112</t>
  </si>
  <si>
    <t>Úprava pláně v hornině třídy těžitelnosti I skupiny 1 až 3 se zhutněním strojně</t>
  </si>
  <si>
    <t>1180152236</t>
  </si>
  <si>
    <t>Úprava pláně vyrovnáním výškových rozdílů strojně v hornině třídy těžitelnosti I, skupiny 1 až 3 se zhutněním</t>
  </si>
  <si>
    <t>https://podminky.urs.cz/item/CS_URS_2022_02/181951112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</si>
  <si>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</si>
  <si>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181951114</t>
  </si>
  <si>
    <t>Úprava pláně v hornině třídy těžitelnosti II skupiny 4 a 5 se zhutněním strojně</t>
  </si>
  <si>
    <t>1162614185</t>
  </si>
  <si>
    <t>Úprava pláně vyrovnáním výškových rozdílů strojně v hornině třídy těžitelnosti II, skupiny 4 a 5 se zhutněním</t>
  </si>
  <si>
    <t>https://podminky.urs.cz/item/CS_URS_2022_02/181951114</t>
  </si>
  <si>
    <t>Komunikace pozemní</t>
  </si>
  <si>
    <t>564851111</t>
  </si>
  <si>
    <t>Podklad ze štěrkodrtě ŠD plochy přes 100 m2 tl 150 mm</t>
  </si>
  <si>
    <t>567509673</t>
  </si>
  <si>
    <t>Podklad ze štěrkodrti ŠD s rozprostřením a zhutněním plochy přes 100 m2, po zhutnění tl. 150 mm</t>
  </si>
  <si>
    <t>https://podminky.urs.cz/item/CS_URS_2022_02/564851111</t>
  </si>
  <si>
    <t>564931212</t>
  </si>
  <si>
    <t>Podklad z cihelného recyklátu plochy přes 100 m2 tl 100 mm</t>
  </si>
  <si>
    <t>-777164996</t>
  </si>
  <si>
    <t>Podklad nebo podsyp z cihelného recyklátu s rozprostřením a zhutněním plochy přes 100 m2, po zhutnění tl. 100 mm</t>
  </si>
  <si>
    <t>https://podminky.urs.cz/item/CS_URS_2022_02/564931212</t>
  </si>
  <si>
    <t>27*15</t>
  </si>
  <si>
    <t>564961215</t>
  </si>
  <si>
    <t>Podklad z cihelného recyklátu plochy přes 100 m2 tl 200 mm</t>
  </si>
  <si>
    <t>1833683218</t>
  </si>
  <si>
    <t>Podklad nebo podsyp z cihelného recyklátu s rozprostřením a zhutněním plochy přes 100 m2, po zhutnění tl. 200 mm</t>
  </si>
  <si>
    <t>https://podminky.urs.cz/item/CS_URS_2022_02/564961215</t>
  </si>
  <si>
    <t>637211311</t>
  </si>
  <si>
    <t>Okapový chodník z betonových vymývaných dlaždic do tl 50 mm na MC 10</t>
  </si>
  <si>
    <t>-1333443442</t>
  </si>
  <si>
    <t>Okapový chodník z dlaždic betonových vymývaných s vyplněním spár drobným kamenivem, tl. dlaždic do 50 mm do cementové malty MC-10</t>
  </si>
  <si>
    <t>https://podminky.urs.cz/item/CS_URS_2022_02/637211311</t>
  </si>
  <si>
    <t>0,5*2,0+33,7</t>
  </si>
  <si>
    <t>637211911</t>
  </si>
  <si>
    <t>Příplatek k okapovém chodníku za zalévání spár asfaltem podél budovy</t>
  </si>
  <si>
    <t>-2015138041</t>
  </si>
  <si>
    <t>Okapový chodník z dlaždic Příplatek k cenám za zalévání asfaltem při provádění okapového chodníčku z dlaždic nebo u betonové nové mazaniny podél budovy</t>
  </si>
  <si>
    <t>https://podminky.urs.cz/item/CS_URS_2022_02/637211911</t>
  </si>
  <si>
    <t>637311131</t>
  </si>
  <si>
    <t>Okapový chodník z betonových záhonových obrubníků lože beton</t>
  </si>
  <si>
    <t>-1725019010</t>
  </si>
  <si>
    <t>Okapový chodník z obrubníků betonových zahradních, se zalitím spár cementovou maltou do lože z betonu prostého</t>
  </si>
  <si>
    <t>https://podminky.urs.cz/item/CS_URS_2022_02/637311131</t>
  </si>
  <si>
    <t>45,9+3,9+0,5+2</t>
  </si>
  <si>
    <t>998017001</t>
  </si>
  <si>
    <t>Přesun hmot s omezením mechanizace pro budovy v do 6 m</t>
  </si>
  <si>
    <t>2087628256</t>
  </si>
  <si>
    <t>Přesun hmot pro budovy občanské výstavby, bydlení, výrobu a služby s omezením mechanizace vodorovná dopravní vzdálenost do 100 m pro budovy s jakoukoliv nosnou konstrukcí výšky do 6 m</t>
  </si>
  <si>
    <t>https://podminky.urs.cz/item/CS_URS_2022_02/998017001</t>
  </si>
  <si>
    <t>SO 2 - UT</t>
  </si>
  <si>
    <t xml:space="preserve">    735 - Ústřední vytápění - otopná tělesa</t>
  </si>
  <si>
    <t>735</t>
  </si>
  <si>
    <t>Ústřední vytápění - otopná tělesa</t>
  </si>
  <si>
    <t>vytápění - viz příloha</t>
  </si>
  <si>
    <t>893219345</t>
  </si>
  <si>
    <t>PU</t>
  </si>
  <si>
    <t>požární ucpávky</t>
  </si>
  <si>
    <t>863465541</t>
  </si>
  <si>
    <t>X103</t>
  </si>
  <si>
    <t>otopná tělesa opatřena ochrannými kryty dl. do 1,0m</t>
  </si>
  <si>
    <t>-1756910728</t>
  </si>
  <si>
    <t>X104</t>
  </si>
  <si>
    <t>otopná tělesa opatřena ochrannými kryty dl. do 1,4-2,3m</t>
  </si>
  <si>
    <t>2139307157</t>
  </si>
  <si>
    <t>X105</t>
  </si>
  <si>
    <t>prostupy jádrovým vrtáním</t>
  </si>
  <si>
    <t>1318739440</t>
  </si>
  <si>
    <t>1250478399</t>
  </si>
  <si>
    <t>stavební přípomoci</t>
  </si>
  <si>
    <t>SO 3 - elektroinstalace</t>
  </si>
  <si>
    <t>E</t>
  </si>
  <si>
    <t>elektroinstalace - viz příloha</t>
  </si>
  <si>
    <t>1689086996</t>
  </si>
  <si>
    <t>-357259171</t>
  </si>
  <si>
    <t>14389836</t>
  </si>
  <si>
    <t>1214130011</t>
  </si>
  <si>
    <t>SO 4 - ZTI</t>
  </si>
  <si>
    <t xml:space="preserve">    8 - Trubní vedení</t>
  </si>
  <si>
    <t xml:space="preserve">    726 - Zdravotechnika - předstěnové instalace</t>
  </si>
  <si>
    <t xml:space="preserve">    727 - Zdravotechnika - požární ochrana</t>
  </si>
  <si>
    <t xml:space="preserve">    732 - Ústřední vytápění - strojovny</t>
  </si>
  <si>
    <t>132251101</t>
  </si>
  <si>
    <t>Hloubení rýh nezapažených š do 800 mm v hornině třídy těžitelnosti I skupiny 3 objem do 20 m3 strojně</t>
  </si>
  <si>
    <t>-1156515108</t>
  </si>
  <si>
    <t>Hloubení nezapažených rýh šířky do 800 mm strojně s urovnáním dna do předepsaného profilu a spádu v hornině třídy těžitelnosti I skupiny 3 do 20 m3</t>
  </si>
  <si>
    <t>https://podminky.urs.cz/item/CS_URS_2022_02/132251101</t>
  </si>
  <si>
    <t xml:space="preserve">Poznámka k souboru cen:_x000D_
1. V cenách jsou započteny i náklady na přehození výkopku na přilehlém terénu na vzdálenost do 3 m od podélné osy rýhy nebo naložení na dopravní prostředek._x000D_
</t>
  </si>
  <si>
    <t>-1076298439</t>
  </si>
  <si>
    <t>2038576445</t>
  </si>
  <si>
    <t>2,2*5 'Přepočtené koeficientem množství</t>
  </si>
  <si>
    <t>1523818090</t>
  </si>
  <si>
    <t>2,2*1,8 'Přepočtené koeficientem množství</t>
  </si>
  <si>
    <t>1777795213</t>
  </si>
  <si>
    <t>174151101</t>
  </si>
  <si>
    <t>Zásyp jam, šachet rýh nebo kolem objektů sypaninou se zhutněním</t>
  </si>
  <si>
    <t>-2049051523</t>
  </si>
  <si>
    <t>Zásyp sypaninou z jakékoliv horniny strojně s uložením výkopku ve vrstvách se zhutněním jam, šachet, rýh nebo kolem objektů v těchto vykopávkách</t>
  </si>
  <si>
    <t>https://podminky.urs.cz/item/CS_URS_2022_02/174151101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</si>
  <si>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</si>
  <si>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18-2,2</t>
  </si>
  <si>
    <t>175111101</t>
  </si>
  <si>
    <t>Obsypání potrubí ručně sypaninou bez prohození, uloženou do 3 m</t>
  </si>
  <si>
    <t>2056661554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</si>
  <si>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</si>
  <si>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</si>
  <si>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</si>
  <si>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2,2-1,12</t>
  </si>
  <si>
    <t>58331200</t>
  </si>
  <si>
    <t>štěrkopísek netříděný</t>
  </si>
  <si>
    <t>1353975962</t>
  </si>
  <si>
    <t>štěrkopísek netříděný zásypový</t>
  </si>
  <si>
    <t>1,08*2 'Přepočtené koeficientem množství</t>
  </si>
  <si>
    <t>451573111</t>
  </si>
  <si>
    <t>Lože pod potrubí otevřený výkop ze štěrkopísku</t>
  </si>
  <si>
    <t>-1351548375</t>
  </si>
  <si>
    <t>Lože pod potrubí, stoky a drobné objekty v otevřeném výkopu z písku a štěrkopísku do 63 mm</t>
  </si>
  <si>
    <t>https://podminky.urs.cz/item/CS_URS_2022_02/451573111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</si>
  <si>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</si>
  <si>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0,8*0,1*14</t>
  </si>
  <si>
    <t>Trubní vedení</t>
  </si>
  <si>
    <t>899721111</t>
  </si>
  <si>
    <t>Signalizační vodič DN do 150 mm na potrubí</t>
  </si>
  <si>
    <t>1463901588</t>
  </si>
  <si>
    <t>Signalizační vodič na potrubí DN do 150 mm</t>
  </si>
  <si>
    <t>https://podminky.urs.cz/item/CS_URS_2022_02/899721111</t>
  </si>
  <si>
    <t>899722113</t>
  </si>
  <si>
    <t>Krytí potrubí z plastů výstražnou fólií z PVC 34cm</t>
  </si>
  <si>
    <t>-1778618896</t>
  </si>
  <si>
    <t>Krytí potrubí z plastů výstražnou fólií z PVC šířky 34 cm</t>
  </si>
  <si>
    <t>https://podminky.urs.cz/item/CS_URS_2022_02/899722113</t>
  </si>
  <si>
    <t>953942426</t>
  </si>
  <si>
    <t>Osazování podpěr nástěnných skříněk</t>
  </si>
  <si>
    <t>1208374472</t>
  </si>
  <si>
    <t>Osazování drobných kovových předmětů se zalitím maltou cementovou, do vysekaných kapes nebo připravených otvorů podpěr, pro nástěnné skříňky v kuchyních jakékoliv velikosti</t>
  </si>
  <si>
    <t>https://podminky.urs.cz/item/CS_URS_2022_02/953942426</t>
  </si>
  <si>
    <t>AZP.NZR4INV</t>
  </si>
  <si>
    <t>nerezové sklopné zrcadlo (i pro tělesně postižené), 405 x 625 mm</t>
  </si>
  <si>
    <t>-634501377</t>
  </si>
  <si>
    <t>966668008</t>
  </si>
  <si>
    <t>-106068813</t>
  </si>
  <si>
    <t>721173403</t>
  </si>
  <si>
    <t>Potrubí kanalizační z PVC SN 4 svodné DN 160</t>
  </si>
  <si>
    <t>1320776667</t>
  </si>
  <si>
    <t>Potrubí z trub PVC SN4 svodné (ležaté) DN 160</t>
  </si>
  <si>
    <t>https://podminky.urs.cz/item/CS_URS_2022_02/721173403</t>
  </si>
  <si>
    <t xml:space="preserve">Poznámka k souboru cen:_x000D_
1. Cenami -3315 až -3317 se oceňuje svislé potrubí od střešního vtoku po čisticí kus._x000D_
</t>
  </si>
  <si>
    <t>13,4+1,4</t>
  </si>
  <si>
    <t>721174004</t>
  </si>
  <si>
    <t>Potrubí kanalizační z PP svodné DN 75</t>
  </si>
  <si>
    <t>362980586</t>
  </si>
  <si>
    <t>Potrubí z trub polypropylenových svodné (ležaté) DN 75</t>
  </si>
  <si>
    <t>https://podminky.urs.cz/item/CS_URS_2022_02/721174004</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</si>
  <si>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</si>
  <si>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721174006</t>
  </si>
  <si>
    <t>Potrubí kanalizační z PP svodné DN 125</t>
  </si>
  <si>
    <t>-807441386</t>
  </si>
  <si>
    <t>Potrubí z trub polypropylenových svodné (ležaté) DN 125</t>
  </si>
  <si>
    <t>https://podminky.urs.cz/item/CS_URS_2022_02/721174006</t>
  </si>
  <si>
    <t>721174007</t>
  </si>
  <si>
    <t>Potrubí kanalizační z PP svodné DN 160</t>
  </si>
  <si>
    <t>-183366858</t>
  </si>
  <si>
    <t>Potrubí z trub polypropylenových svodné (ležaté) DN 160</t>
  </si>
  <si>
    <t>https://podminky.urs.cz/item/CS_URS_2022_02/721174007</t>
  </si>
  <si>
    <t>721174024</t>
  </si>
  <si>
    <t>Potrubí kanalizační z PP odpadní DN 75</t>
  </si>
  <si>
    <t>2076018184</t>
  </si>
  <si>
    <t>Potrubí z trub polypropylenových odpadní (svislé) DN 75</t>
  </si>
  <si>
    <t>https://podminky.urs.cz/item/CS_URS_2022_02/721174024</t>
  </si>
  <si>
    <t>721174025</t>
  </si>
  <si>
    <t>Potrubí kanalizační z PP odpadní DN 110</t>
  </si>
  <si>
    <t>1069356242</t>
  </si>
  <si>
    <t>Potrubí z trub polypropylenových odpadní (svislé) DN 110</t>
  </si>
  <si>
    <t>https://podminky.urs.cz/item/CS_URS_2022_02/721174025</t>
  </si>
  <si>
    <t>721174026</t>
  </si>
  <si>
    <t>Potrubí kanalizační z PP odpadní DN 125</t>
  </si>
  <si>
    <t>-85867113</t>
  </si>
  <si>
    <t>Potrubí z trub polypropylenových odpadní (svislé) DN 125</t>
  </si>
  <si>
    <t>https://podminky.urs.cz/item/CS_URS_2022_02/721174026</t>
  </si>
  <si>
    <t>721174042</t>
  </si>
  <si>
    <t>Potrubí kanalizační z PP připojovací DN 40</t>
  </si>
  <si>
    <t>-58867049</t>
  </si>
  <si>
    <t>Potrubí z trub polypropylenových připojovací DN 40</t>
  </si>
  <si>
    <t>https://podminky.urs.cz/item/CS_URS_2022_02/721174042</t>
  </si>
  <si>
    <t>721174043</t>
  </si>
  <si>
    <t>Potrubí kanalizační z PP připojovací DN 50</t>
  </si>
  <si>
    <t>2020567220</t>
  </si>
  <si>
    <t>Potrubí z trub polypropylenových připojovací DN 50</t>
  </si>
  <si>
    <t>https://podminky.urs.cz/item/CS_URS_2022_02/721174043</t>
  </si>
  <si>
    <t>721174045</t>
  </si>
  <si>
    <t>Potrubí kanalizační z PP připojovací DN 110</t>
  </si>
  <si>
    <t>-145866383</t>
  </si>
  <si>
    <t>Potrubí z trub polypropylenových připojovací DN 110</t>
  </si>
  <si>
    <t>https://podminky.urs.cz/item/CS_URS_2022_02/721174045</t>
  </si>
  <si>
    <t>721174055</t>
  </si>
  <si>
    <t>Potrubí kanalizační z PP dešťové DN 110</t>
  </si>
  <si>
    <t>1389655513</t>
  </si>
  <si>
    <t>Potrubí z trub polypropylenových dešťové DN 110</t>
  </si>
  <si>
    <t>https://podminky.urs.cz/item/CS_URS_2022_02/721174055</t>
  </si>
  <si>
    <t>1,0*2+9,6</t>
  </si>
  <si>
    <t>721174057</t>
  </si>
  <si>
    <t>Potrubí kanalizační z PP dešťové DN 160</t>
  </si>
  <si>
    <t>-1996763020</t>
  </si>
  <si>
    <t>Potrubí z trub polypropylenových dešťové DN 160</t>
  </si>
  <si>
    <t>https://podminky.urs.cz/item/CS_URS_2022_02/721174057</t>
  </si>
  <si>
    <t>4,2+2,0+4,45</t>
  </si>
  <si>
    <t>721174062</t>
  </si>
  <si>
    <t>Potrubí kanalizační z PP větrací DN 75</t>
  </si>
  <si>
    <t>-1915520380</t>
  </si>
  <si>
    <t>Potrubí z trub polypropylenových větrací DN 75</t>
  </si>
  <si>
    <t>https://podminky.urs.cz/item/CS_URS_2022_02/721174062</t>
  </si>
  <si>
    <t>721174064</t>
  </si>
  <si>
    <t>Potrubí kanalizační z PP větrací DN 125</t>
  </si>
  <si>
    <t>2669872</t>
  </si>
  <si>
    <t>Potrubí z trub polypropylenových větrací DN 125</t>
  </si>
  <si>
    <t>https://podminky.urs.cz/item/CS_URS_2022_02/721174064</t>
  </si>
  <si>
    <t>721273152</t>
  </si>
  <si>
    <t>Hlavice ventilační polypropylen PP DN 75</t>
  </si>
  <si>
    <t>-488324768</t>
  </si>
  <si>
    <t>Ventilační hlavice z polypropylenu (PP) DN 75</t>
  </si>
  <si>
    <t>https://podminky.urs.cz/item/CS_URS_2022_02/721273152</t>
  </si>
  <si>
    <t>721273153</t>
  </si>
  <si>
    <t>Hlavice ventilační polypropylen PP DN 110</t>
  </si>
  <si>
    <t>169330464</t>
  </si>
  <si>
    <t>Ventilační hlavice z polypropylenu (PP) DN 110</t>
  </si>
  <si>
    <t>https://podminky.urs.cz/item/CS_URS_2022_02/721273153</t>
  </si>
  <si>
    <t>721290111</t>
  </si>
  <si>
    <t>Zkouška těsnosti potrubí kanalizace vodou DN do 125</t>
  </si>
  <si>
    <t>367689786</t>
  </si>
  <si>
    <t>Zkouška těsnosti kanalizace v objektech vodou do DN 125</t>
  </si>
  <si>
    <t>https://podminky.urs.cz/item/CS_URS_2022_02/721290111</t>
  </si>
  <si>
    <t>721290112</t>
  </si>
  <si>
    <t>Zkouška těsnosti potrubí kanalizace vodou DN 150/DN 200</t>
  </si>
  <si>
    <t>316503057</t>
  </si>
  <si>
    <t>Zkouška těsnosti kanalizace v objektech vodou DN 150 nebo DN 200</t>
  </si>
  <si>
    <t>https://podminky.urs.cz/item/CS_URS_2022_02/721290112</t>
  </si>
  <si>
    <t>499792363</t>
  </si>
  <si>
    <t>217136058</t>
  </si>
  <si>
    <t>28615602</t>
  </si>
  <si>
    <t>čistící tvarovka odpadní PP DN 75 pro vysoké teploty</t>
  </si>
  <si>
    <t>295863053</t>
  </si>
  <si>
    <t>28615604</t>
  </si>
  <si>
    <t>čistící tvarovka odpadní PP DN 125 pro vysoké teploty</t>
  </si>
  <si>
    <t>1703169879</t>
  </si>
  <si>
    <t>28615605</t>
  </si>
  <si>
    <t>čistící tvarovka odpadní PP DN 160 pro vysoké teploty</t>
  </si>
  <si>
    <t>-462575102</t>
  </si>
  <si>
    <t>K1</t>
  </si>
  <si>
    <t>kotvení potrubí</t>
  </si>
  <si>
    <t>-1669604267</t>
  </si>
  <si>
    <t>K2</t>
  </si>
  <si>
    <t>-554279712</t>
  </si>
  <si>
    <t>722174002</t>
  </si>
  <si>
    <t>Potrubí vodovodní plastové PPR svar polyfúze PN 16 D 20x2,8 mm</t>
  </si>
  <si>
    <t>1489348057</t>
  </si>
  <si>
    <t>Potrubí z plastových trubek z polypropylenu PPR svařovaných polyfúzně PN 16 (SDR 7,4) D 20 x 2,8</t>
  </si>
  <si>
    <t>https://podminky.urs.cz/item/CS_URS_2022_02/722174002</t>
  </si>
  <si>
    <t>722174003</t>
  </si>
  <si>
    <t>Potrubí vodovodní plastové PPR svar polyfúze PN 16 D 25x3,5 mm</t>
  </si>
  <si>
    <t>609769730</t>
  </si>
  <si>
    <t>Potrubí z plastových trubek z polypropylenu PPR svařovaných polyfúzně PN 16 (SDR 7,4) D 25 x 3,5</t>
  </si>
  <si>
    <t>https://podminky.urs.cz/item/CS_URS_2022_02/722174003</t>
  </si>
  <si>
    <t>722174004</t>
  </si>
  <si>
    <t>Potrubí vodovodní plastové PPR svar polyfúze PN 16 D 32x4,4 mm</t>
  </si>
  <si>
    <t>-898241824</t>
  </si>
  <si>
    <t>Potrubí z plastových trubek z polypropylenu PPR svařovaných polyfúzně PN 16 (SDR 7,4) D 32 x 4,4</t>
  </si>
  <si>
    <t>https://podminky.urs.cz/item/CS_URS_2022_02/722174004</t>
  </si>
  <si>
    <t>722174005</t>
  </si>
  <si>
    <t>Potrubí vodovodní plastové PPR svar polyfúze PN 16 D 40x5,5 mm</t>
  </si>
  <si>
    <t>768299636</t>
  </si>
  <si>
    <t>Potrubí z plastových trubek z polypropylenu PPR svařovaných polyfúzně PN 16 (SDR 7,4) D 40 x 5,5</t>
  </si>
  <si>
    <t>https://podminky.urs.cz/item/CS_URS_2022_02/722174005</t>
  </si>
  <si>
    <t>722174022</t>
  </si>
  <si>
    <t>Potrubí vodovodní plastové PPR svar polyfúze PN 20 D 20x3,4 mm</t>
  </si>
  <si>
    <t>-1807302613</t>
  </si>
  <si>
    <t>Potrubí z plastových trubek z polypropylenu PPR svařovaných polyfúzně PN 20 (SDR 6) D 20 x 3,4</t>
  </si>
  <si>
    <t>https://podminky.urs.cz/item/CS_URS_2022_02/722174022</t>
  </si>
  <si>
    <t>722174023</t>
  </si>
  <si>
    <t>Potrubí vodovodní plastové PPR svar polyfúze PN 20 D 25x4,2 mm</t>
  </si>
  <si>
    <t>-323913822</t>
  </si>
  <si>
    <t>Potrubí z plastových trubek z polypropylenu PPR svařovaných polyfúzně PN 20 (SDR 6) D 25 x 4,2</t>
  </si>
  <si>
    <t>https://podminky.urs.cz/item/CS_URS_2022_02/722174023</t>
  </si>
  <si>
    <t>722174024</t>
  </si>
  <si>
    <t>Potrubí vodovodní plastové PPR svar polyfúze PN 20 D 32x5,4 mm</t>
  </si>
  <si>
    <t>-851684008</t>
  </si>
  <si>
    <t>Potrubí z plastových trubek z polypropylenu PPR svařovaných polyfúzně PN 20 (SDR 6) D 32 x 5,4</t>
  </si>
  <si>
    <t>https://podminky.urs.cz/item/CS_URS_2022_02/722174024</t>
  </si>
  <si>
    <t>722174072</t>
  </si>
  <si>
    <t>Potrubí vodovodní plastové kompenzační smyčka PPR svar polyfúze PN 20 D 20x3,4 mm</t>
  </si>
  <si>
    <t>-1189458707</t>
  </si>
  <si>
    <t>Potrubí z plastových trubek z polypropylenu PPR svařovaných polyfúzně kompenzační smyčky na potrubí (PPR) D 20 x 3,4</t>
  </si>
  <si>
    <t>https://podminky.urs.cz/item/CS_URS_2022_02/722174072</t>
  </si>
  <si>
    <t>722174073</t>
  </si>
  <si>
    <t>Potrubí vodovodní plastové kompenzační smyčka PPR svar polyfúze PN 20 D 25x4,2 mm</t>
  </si>
  <si>
    <t>72915395</t>
  </si>
  <si>
    <t>Potrubí z plastových trubek z polypropylenu PPR svařovaných polyfúzně kompenzační smyčky na potrubí (PPR) D 25 x 4,2</t>
  </si>
  <si>
    <t>https://podminky.urs.cz/item/CS_URS_2022_02/722174073</t>
  </si>
  <si>
    <t>722181211</t>
  </si>
  <si>
    <t>Ochrana vodovodního potrubí přilepenými termoizolačními trubicemi z PE tl do 6 mm DN do 22 mm</t>
  </si>
  <si>
    <t>-1349718919</t>
  </si>
  <si>
    <t>Ochrana potrubí termoizolačními trubicemi z pěnového polyetylenu PE přilepenými v příčných a podélných spojích, tloušťky izolace do 6 mm, vnitřního průměru izolace DN do 22 mm</t>
  </si>
  <si>
    <t>https://podminky.urs.cz/item/CS_URS_2022_02/722181211</t>
  </si>
  <si>
    <t xml:space="preserve">Poznámka k souboru cen:_x000D_
1. V cenách -1211 až -1256 jsou započteny i náklady na dodání tepelně izolačních trubic._x000D_
</t>
  </si>
  <si>
    <t>722181212</t>
  </si>
  <si>
    <t>Ochrana vodovodního potrubí přilepenými termoizolačními trubicemi z PE tl do 6 mm DN přes 22 do 32 mm</t>
  </si>
  <si>
    <t>314109674</t>
  </si>
  <si>
    <t>Ochrana potrubí termoizolačními trubicemi z pěnového polyetylenu PE přilepenými v příčných a podélných spojích, tloušťky izolace do 6 mm, vnitřního průměru izolace DN přes 22 do 32 mm</t>
  </si>
  <si>
    <t>https://podminky.urs.cz/item/CS_URS_2022_02/722181212</t>
  </si>
  <si>
    <t>722181213</t>
  </si>
  <si>
    <t>Ochrana vodovodního potrubí přilepenými termoizolačními trubicemi z PE tl do 6 mm DN přes 32 mm</t>
  </si>
  <si>
    <t>-491825841</t>
  </si>
  <si>
    <t>Ochrana potrubí termoizolačními trubicemi z pěnového polyetylenu PE přilepenými v příčných a podélných spojích, tloušťky izolace do 6 mm, vnitřního průměru izolace DN přes 32 mm</t>
  </si>
  <si>
    <t>https://podminky.urs.cz/item/CS_URS_2022_02/722181213</t>
  </si>
  <si>
    <t>722181241</t>
  </si>
  <si>
    <t>Ochrana vodovodního potrubí přilepenými termoizolačními trubicemi z PE tl přes 13 do 20 mm DN do 22 mm</t>
  </si>
  <si>
    <t>1808446630</t>
  </si>
  <si>
    <t>Ochrana potrubí termoizolačními trubicemi z pěnového polyetylenu PE přilepenými v příčných a podélných spojích, tloušťky izolace přes 13 do 20 mm, vnitřního průměru izolace DN do 22 mm</t>
  </si>
  <si>
    <t>https://podminky.urs.cz/item/CS_URS_2022_02/722181241</t>
  </si>
  <si>
    <t>722181252</t>
  </si>
  <si>
    <t>Ochrana vodovodního potrubí přilepenými termoizolačními trubicemi z PE tl přes 20 do 25 mm DN přes 22 do 45 mm</t>
  </si>
  <si>
    <t>-483880168</t>
  </si>
  <si>
    <t>Ochrana potrubí termoizolačními trubicemi z pěnového polyetylenu PE přilepenými v příčných a podélných spojích, tloušťky izolace přes 20 do 25 mm, vnitřního průměru izolace DN přes 22 do 45 mm</t>
  </si>
  <si>
    <t>https://podminky.urs.cz/item/CS_URS_2022_02/722181252</t>
  </si>
  <si>
    <t>722220231</t>
  </si>
  <si>
    <t>Přechodka dGK PPR PN 20 D 20 x G 1/2" s kovovým vnitřním závitem</t>
  </si>
  <si>
    <t>-1183660122</t>
  </si>
  <si>
    <t>Armatury s jedním závitem přechodové tvarovky PPR, PN 20 (SDR 6) s kovovým závitem vnitřním přechodky dGK D 20 x G 1/2"</t>
  </si>
  <si>
    <t>https://podminky.urs.cz/item/CS_URS_2022_02/722220231</t>
  </si>
  <si>
    <t xml:space="preserve">Poznámka k souboru cen:_x000D_
1. Cenami -9101 až -9108 nelze oceňovat montáž nástěnek._x000D_
2. V cenách –0111 až -0122 je započteno i vyvedení a upevnění výpustek._x000D_
</t>
  </si>
  <si>
    <t>722220234</t>
  </si>
  <si>
    <t>Přechodka dGK PPR PN 20 D 40 x G 5/4" s kovovým vnitřním závitem</t>
  </si>
  <si>
    <t>1202423098</t>
  </si>
  <si>
    <t>Armatury s jedním závitem přechodové tvarovky PPR, PN 20 (SDR 6) s kovovým závitem vnitřním přechodky dGK D 40 x G 5/4"</t>
  </si>
  <si>
    <t>https://podminky.urs.cz/item/CS_URS_2022_02/722220234</t>
  </si>
  <si>
    <t>722232043</t>
  </si>
  <si>
    <t>Kohout kulový přímý G 1/2" PN 42 do 185°C vnitřní závit</t>
  </si>
  <si>
    <t>119056549</t>
  </si>
  <si>
    <t>Armatury se dvěma závity kulové kohouty PN 42 do 185 °C přímé vnitřní závit G 1/2"</t>
  </si>
  <si>
    <t>https://podminky.urs.cz/item/CS_URS_2022_02/722232043</t>
  </si>
  <si>
    <t>722232046</t>
  </si>
  <si>
    <t>Kohout kulový přímý G 5/4" PN 42 do 185°C vnitřní závit</t>
  </si>
  <si>
    <t>517691194</t>
  </si>
  <si>
    <t>Armatury se dvěma závity kulové kohouty PN 42 do 185 °C přímé vnitřní závit G 5/4"</t>
  </si>
  <si>
    <t>https://podminky.urs.cz/item/CS_URS_2022_02/722232046</t>
  </si>
  <si>
    <t>722290226</t>
  </si>
  <si>
    <t>Zkouška těsnosti vodovodního potrubí závitového DN do 50</t>
  </si>
  <si>
    <t>861614127</t>
  </si>
  <si>
    <t>Zkoušky, proplach a desinfekce vodovodního potrubí zkoušky těsnosti vodovodního potrubí závitového do DN 50</t>
  </si>
  <si>
    <t>https://podminky.urs.cz/item/CS_URS_2022_02/722290226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</si>
  <si>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</si>
  <si>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</si>
  <si>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DN do 80</t>
  </si>
  <si>
    <t>455484817</t>
  </si>
  <si>
    <t>Zkoušky, proplach a desinfekce vodovodního potrubí proplach a desinfekce vodovodního potrubí do DN 80</t>
  </si>
  <si>
    <t>https://podminky.urs.cz/item/CS_URS_2022_02/722290234</t>
  </si>
  <si>
    <t>998722102</t>
  </si>
  <si>
    <t>Přesun hmot tonážní pro vnitřní vodovod v objektech v přes 6 do 12 m</t>
  </si>
  <si>
    <t>-1373815671</t>
  </si>
  <si>
    <t>Přesun hmot pro vnitřní vodovod stanovený z hmotnosti přesunovaného materiálu vodorovná dopravní vzdálenost do 50 m v objektech výšky přes 6 do 12 m</t>
  </si>
  <si>
    <t>https://podminky.urs.cz/item/CS_URS_2022_02/998722102</t>
  </si>
  <si>
    <t>998722181</t>
  </si>
  <si>
    <t>Příplatek k přesunu hmot tonážní 722 prováděný bez použití mechanizace</t>
  </si>
  <si>
    <t>-1493498307</t>
  </si>
  <si>
    <t>Přesun hmot pro vnitřní vodovod stanovený z hmotnosti přesunovaného materiálu Příplatek k ceně za přesun prováděný bez použití mechanizace pro jakoukoliv výšku objektu</t>
  </si>
  <si>
    <t>https://podminky.urs.cz/item/CS_URS_2022_02/998722181</t>
  </si>
  <si>
    <t>725112022</t>
  </si>
  <si>
    <t>Klozet keramický závěsný na nosné stěny s hlubokým splachováním odpad vodorovný</t>
  </si>
  <si>
    <t>-1899814994</t>
  </si>
  <si>
    <t>Zařízení záchodů klozety keramické závěsné na nosné stěny s hlubokým splachováním odpad vodorovný</t>
  </si>
  <si>
    <t>https://podminky.urs.cz/item/CS_URS_2022_02/725112022</t>
  </si>
  <si>
    <t xml:space="preserve">Poznámka k souboru cen:_x000D_
1. V cenách -1351, -1361 není započten napájecí zdroj._x000D_
2. V cenách jsou započtená klozetová sedátka._x000D_
</t>
  </si>
  <si>
    <t>1809899930</t>
  </si>
  <si>
    <t>725113913</t>
  </si>
  <si>
    <t>Přetěsnění manžety</t>
  </si>
  <si>
    <t>-1862133741</t>
  </si>
  <si>
    <t>Opravy zařízení záchodů manžeta přetěsnění</t>
  </si>
  <si>
    <t>https://podminky.urs.cz/item/CS_URS_2022_02/725113913</t>
  </si>
  <si>
    <t>725113914</t>
  </si>
  <si>
    <t>Výměna manžety</t>
  </si>
  <si>
    <t>-226263363</t>
  </si>
  <si>
    <t>Opravy zařízení záchodů manžeta výměna</t>
  </si>
  <si>
    <t>https://podminky.urs.cz/item/CS_URS_2022_02/725113914</t>
  </si>
  <si>
    <t>725121527</t>
  </si>
  <si>
    <t>Pisoárový záchodek automatický s integrovaným napájecím zdrojem</t>
  </si>
  <si>
    <t>-862603285</t>
  </si>
  <si>
    <t>Pisoárové záchodky keramické automatické s integrovaným napájecím zdrojem</t>
  </si>
  <si>
    <t>https://podminky.urs.cz/item/CS_URS_2022_02/725121527</t>
  </si>
  <si>
    <t xml:space="preserve">Poznámka k souboru cen:_x000D_
1. V cenách –1001, -1521, -1525, -1529, -2002 není započten napájecí zdroj._x000D_
2. V cenách -1501 a -1502 není započten ventil na oplach pisoáru._x000D_
</t>
  </si>
  <si>
    <t>725211616</t>
  </si>
  <si>
    <t>Umyvadlo keramické bílé šířky 550 mm s krytem na sifon připevněné na stěnu šrouby</t>
  </si>
  <si>
    <t>-79225971</t>
  </si>
  <si>
    <t>Umyvadla keramická bílá bez výtokových armatur připevněná na stěnu šrouby s krytem na sifon (polosloupem), šířka umyvadla 550 mm</t>
  </si>
  <si>
    <t>https://podminky.urs.cz/item/CS_URS_2022_02/725211616</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</si>
  <si>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</si>
  <si>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725211681</t>
  </si>
  <si>
    <t>Umyvadlo keramické bílé zdravotní šířky 640 mm připevněné na stěnu šrouby</t>
  </si>
  <si>
    <t>-1968256960</t>
  </si>
  <si>
    <t>Umyvadla keramická bílá bez výtokových armatur připevněná na stěnu šrouby zdravotní, šířka umyvadla 640 mm</t>
  </si>
  <si>
    <t>https://podminky.urs.cz/item/CS_URS_2022_02/725211681</t>
  </si>
  <si>
    <t>725231203</t>
  </si>
  <si>
    <t>Bidet bez armatur výtokových keramický závěsný se zápachovou uzávěrkou</t>
  </si>
  <si>
    <t>-1738531237</t>
  </si>
  <si>
    <t>Bidety bez výtokových armatur se zápachovou uzávěrkou keramické závěsné</t>
  </si>
  <si>
    <t>https://podminky.urs.cz/item/CS_URS_2022_02/725231203</t>
  </si>
  <si>
    <t>725291703</t>
  </si>
  <si>
    <t>Doplňky zařízení koupelen a záchodů smaltované madlo rovné dl 500 mm</t>
  </si>
  <si>
    <t>-1455776398</t>
  </si>
  <si>
    <t>Doplňky zařízení koupelen a záchodů smaltované madla rovná, délky 500 mm</t>
  </si>
  <si>
    <t>https://podminky.urs.cz/item/CS_URS_2022_02/725291703</t>
  </si>
  <si>
    <t>725291712</t>
  </si>
  <si>
    <t>Doplňky zařízení koupelen a záchodů smaltované madlo krakorcové dl 834 mm</t>
  </si>
  <si>
    <t>-399853532</t>
  </si>
  <si>
    <t>Doplňky zařízení koupelen a záchodů smaltované madla krakorcová, délky 834 mm</t>
  </si>
  <si>
    <t>https://podminky.urs.cz/item/CS_URS_2022_02/725291712</t>
  </si>
  <si>
    <t>725291722</t>
  </si>
  <si>
    <t>Doplňky zařízení koupelen a záchodů smaltované madlo krakorcové sklopné dl 834 mm</t>
  </si>
  <si>
    <t>-406852794</t>
  </si>
  <si>
    <t>Doplňky zařízení koupelen a záchodů smaltované madla krakorcová sklopná, délky 834 mm</t>
  </si>
  <si>
    <t>https://podminky.urs.cz/item/CS_URS_2022_02/725291722</t>
  </si>
  <si>
    <t>725331111</t>
  </si>
  <si>
    <t>Výlevka bez výtokových armatur keramická se sklopnou plastovou mřížkou 500 mm</t>
  </si>
  <si>
    <t>-1223464796</t>
  </si>
  <si>
    <t>Výlevky bez výtokových armatur a splachovací nádrže keramické se sklopnou plastovou mřížkou 425 mm</t>
  </si>
  <si>
    <t>https://podminky.urs.cz/item/CS_URS_2022_02/725331111</t>
  </si>
  <si>
    <t>725811301</t>
  </si>
  <si>
    <t>Ventil tlačný samouzavírací s omezenou dobou výtoku 6 l/min G 1/2"</t>
  </si>
  <si>
    <t>-699892587</t>
  </si>
  <si>
    <t>Ventily nástěnné samouzavírací s omezenou dobou výtoku tlačné G 1/2" (6 l/min)</t>
  </si>
  <si>
    <t>https://podminky.urs.cz/item/CS_URS_2022_02/725811301</t>
  </si>
  <si>
    <t>55190005</t>
  </si>
  <si>
    <t>flexi hadice ohebná k baterii D 8x12mm F 1/2"xM10 500mm</t>
  </si>
  <si>
    <t>1740155228</t>
  </si>
  <si>
    <t>28*0,5</t>
  </si>
  <si>
    <t>725813111</t>
  </si>
  <si>
    <t>Ventil rohový bez připojovací trubičky nebo flexi hadičky G 1/2"</t>
  </si>
  <si>
    <t>1726745506</t>
  </si>
  <si>
    <t>Ventily rohové bez připojovací trubičky nebo flexi hadičky G 1/2"</t>
  </si>
  <si>
    <t>https://podminky.urs.cz/item/CS_URS_2022_02/725813111</t>
  </si>
  <si>
    <t>725822611</t>
  </si>
  <si>
    <t>Baterie umyvadlová stojánková páková bez výpusti</t>
  </si>
  <si>
    <t>173065104</t>
  </si>
  <si>
    <t>Baterie umyvadlové stojánkové pákové bez výpusti</t>
  </si>
  <si>
    <t>https://podminky.urs.cz/item/CS_URS_2022_02/725822611</t>
  </si>
  <si>
    <t xml:space="preserve">Poznámka k souboru cen:_x000D_
1. V cenách –2654, 56, -9101-9202 není započten napájecí zdroj._x000D_
</t>
  </si>
  <si>
    <t>725829121</t>
  </si>
  <si>
    <t>Montáž baterie umyvadlové nástěnné pákové a klasické ostatní typ</t>
  </si>
  <si>
    <t>-53115068</t>
  </si>
  <si>
    <t>Baterie umyvadlové montáž ostatních typů nástěnných pákových nebo klasických</t>
  </si>
  <si>
    <t>https://podminky.urs.cz/item/CS_URS_2022_02/725829121</t>
  </si>
  <si>
    <t>55145692</t>
  </si>
  <si>
    <t>baterie umyvadlová stojánková páková s prodlouženou pákou (lékařská)</t>
  </si>
  <si>
    <t>-1405798458</t>
  </si>
  <si>
    <t>725861102</t>
  </si>
  <si>
    <t>Zápachová uzávěrka pro umyvadla DN 40</t>
  </si>
  <si>
    <t>-1996937241</t>
  </si>
  <si>
    <t>Zápachové uzávěrky zařizovacích předmětů pro umyvadla DN 40</t>
  </si>
  <si>
    <t>https://podminky.urs.cz/item/CS_URS_2022_02/725861102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</si>
  <si>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</si>
  <si>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725865411</t>
  </si>
  <si>
    <t>Zápachová uzávěrka pisoárová DN 32/40</t>
  </si>
  <si>
    <t>851059154</t>
  </si>
  <si>
    <t>Zápachové uzávěrky zařizovacích předmětů pro pisoáry DN 32/40</t>
  </si>
  <si>
    <t>https://podminky.urs.cz/item/CS_URS_2022_02/725865411</t>
  </si>
  <si>
    <t>998725102</t>
  </si>
  <si>
    <t>Přesun hmot tonážní pro zařizovací předměty v objektech v přes 6 do 12 m</t>
  </si>
  <si>
    <t>-815854265</t>
  </si>
  <si>
    <t>Přesun hmot pro zařizovací předměty stanovený z hmotnosti přesunovaného materiálu vodorovná dopravní vzdálenost do 50 m v objektech výšky přes 6 do 12 m</t>
  </si>
  <si>
    <t>https://podminky.urs.cz/item/CS_URS_2022_02/998725102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</si>
  <si>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</si>
  <si>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998725181</t>
  </si>
  <si>
    <t>Příplatek k přesunu hmot tonážní 725 prováděný bez použití mechanizace</t>
  </si>
  <si>
    <t>-270082575</t>
  </si>
  <si>
    <t>Přesun hmot pro zařizovací předměty stanovený z hmotnosti přesunovaného materiálu Příplatek k cenám za přesun prováděný bez použití mechanizace pro jakoukoliv výšku objektu</t>
  </si>
  <si>
    <t>https://podminky.urs.cz/item/CS_URS_2022_02/998725181</t>
  </si>
  <si>
    <t>726</t>
  </si>
  <si>
    <t>Zdravotechnika - předstěnové instalace</t>
  </si>
  <si>
    <t>726131011</t>
  </si>
  <si>
    <t>Instalační předstěna - bidet v 1120 mm do lehkých stěn s kovovou kcí</t>
  </si>
  <si>
    <t>1463730197</t>
  </si>
  <si>
    <t>Předstěnové instalační systémy do lehkých stěn s kovovou konstrukcí pro bidety stavební výška 1120 mm</t>
  </si>
  <si>
    <t>https://podminky.urs.cz/item/CS_URS_2022_02/726131011</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</si>
  <si>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</si>
  <si>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726131041</t>
  </si>
  <si>
    <t>Instalační předstěna - klozet závěsný v 1120 mm s ovládáním zepředu do lehkých stěn s kovovou kcí</t>
  </si>
  <si>
    <t>164145557</t>
  </si>
  <si>
    <t>Předstěnové instalační systémy do lehkých stěn s kovovou konstrukcí pro závěsné klozety ovládání zepředu, stavební výšky 1120 mm</t>
  </si>
  <si>
    <t>https://podminky.urs.cz/item/CS_URS_2022_02/726131041</t>
  </si>
  <si>
    <t>726131043</t>
  </si>
  <si>
    <t>Instalační předstěna - klozet závěsný v 1120 mm s ovládáním zepředu pro postižené do stěn s kov kcí</t>
  </si>
  <si>
    <t>1178628906</t>
  </si>
  <si>
    <t>Předstěnové instalační systémy do lehkých stěn s kovovou konstrukcí pro závěsné klozety ovládání zepředu, stavební výšky 1120 mm pro tělesně postižené</t>
  </si>
  <si>
    <t>https://podminky.urs.cz/item/CS_URS_2022_02/726131043</t>
  </si>
  <si>
    <t>998726112</t>
  </si>
  <si>
    <t>Přesun hmot tonážní pro instalační prefabrikáty v objektech v přes 6 do 12 m</t>
  </si>
  <si>
    <t>1732451411</t>
  </si>
  <si>
    <t>Přesun hmot pro instalační prefabrikáty stanovený z hmotnosti přesunovaného materiálu vodorovná dopravní vzdálenost do 50 m v objektech výšky přes 6 m do 12 m</t>
  </si>
  <si>
    <t>https://podminky.urs.cz/item/CS_URS_2022_02/998726112</t>
  </si>
  <si>
    <t>998726181</t>
  </si>
  <si>
    <t>Příplatek k přesunu hmot tonážní 726 prováděný bez použití mechanizace</t>
  </si>
  <si>
    <t>98640049</t>
  </si>
  <si>
    <t>Přesun hmot pro instalační prefabrikáty stanovený z hmotnosti přesunovaného materiálu Příplatek k cenám za přesun prováděný bez použití mechanizace pro jakoukoliv výšku objektu</t>
  </si>
  <si>
    <t>https://podminky.urs.cz/item/CS_URS_2022_02/998726181</t>
  </si>
  <si>
    <t>727</t>
  </si>
  <si>
    <t>Zdravotechnika - požární ochrana</t>
  </si>
  <si>
    <t>893981012</t>
  </si>
  <si>
    <t>732</t>
  </si>
  <si>
    <t>Ústřední vytápění - strojovny</t>
  </si>
  <si>
    <t>732421406</t>
  </si>
  <si>
    <t>Čerpadlo teplovodní mokroběžné závitové oběhové DN 25 výtlak do 4,0 m průtok 5,7 m3/h pro vytápění</t>
  </si>
  <si>
    <t>1351554258</t>
  </si>
  <si>
    <t>Čerpadla teplovodní závitová mokroběžná oběhová pro teplovodní vytápění (elektronicky řízená) PN 10, do 110°C DN přípojky/dopravní výška H (m) - čerpací výkon Q (m3/h) DN 25 / do 4,0 m / 5,7 m3/h</t>
  </si>
  <si>
    <t>https://podminky.urs.cz/item/CS_URS_2022_02/732421406</t>
  </si>
  <si>
    <t>998732101</t>
  </si>
  <si>
    <t>Přesun hmot tonážní pro strojovny v objektech v do 6 m</t>
  </si>
  <si>
    <t>902963590</t>
  </si>
  <si>
    <t>Přesun hmot pro strojovny stanovený z hmotnosti přesunovaného materiálu vodorovná dopravní vzdálenost do 50 m v objektech výšky do 6 m</t>
  </si>
  <si>
    <t>https://podminky.urs.cz/item/CS_URS_2022_02/998732101</t>
  </si>
  <si>
    <t>998732181</t>
  </si>
  <si>
    <t>Příplatek k přesunu hmot tonážní 732 prováděný bez použití mechanizace</t>
  </si>
  <si>
    <t>-632876602</t>
  </si>
  <si>
    <t>Přesun hmot pro strojovny stanovený z hmotnosti přesunovaného materiálu Příplatek k cenám za přesun prováděný bez použití mechanizace pro jakoukoliv výšku objektu</t>
  </si>
  <si>
    <t>https://podminky.urs.cz/item/CS_URS_2022_02/998732181</t>
  </si>
  <si>
    <t>472287385</t>
  </si>
  <si>
    <t>SO 5 - VZT</t>
  </si>
  <si>
    <t>VZDUCHOTECHNIKA - viz příloha</t>
  </si>
  <si>
    <t>1488480021</t>
  </si>
  <si>
    <t>-631216119</t>
  </si>
  <si>
    <t>1280575210</t>
  </si>
  <si>
    <t>539989210</t>
  </si>
  <si>
    <t>VON - vedlejší a ostatní náklady</t>
  </si>
  <si>
    <t>012303000</t>
  </si>
  <si>
    <t>Geodetické práce po výstavbě</t>
  </si>
  <si>
    <t>255459016</t>
  </si>
  <si>
    <t>https://podminky.urs.cz/item/CS_URS_2022_02/012303000</t>
  </si>
  <si>
    <t>013254000</t>
  </si>
  <si>
    <t>Dokumentace skutečného provedení stavby</t>
  </si>
  <si>
    <t>-1589556110</t>
  </si>
  <si>
    <t>https://podminky.urs.cz/item/CS_URS_2022_02/013254000</t>
  </si>
  <si>
    <t>030001000</t>
  </si>
  <si>
    <t>-235783584</t>
  </si>
  <si>
    <t>https://podminky.urs.cz/item/CS_URS_2022_02/030001000</t>
  </si>
  <si>
    <t>033002000</t>
  </si>
  <si>
    <t>Připojení staveniště na inženýrské sítě</t>
  </si>
  <si>
    <t>1963779650</t>
  </si>
  <si>
    <t>https://podminky.urs.cz/item/CS_URS_2022_02/033002000</t>
  </si>
  <si>
    <t>033203000</t>
  </si>
  <si>
    <t>Energie pro zařízení staveniště</t>
  </si>
  <si>
    <t>1076808898</t>
  </si>
  <si>
    <t>https://podminky.urs.cz/item/CS_URS_2022_02/033203000</t>
  </si>
  <si>
    <t>034503000</t>
  </si>
  <si>
    <t>Informační tabule na staveništi</t>
  </si>
  <si>
    <t>-1036697768</t>
  </si>
  <si>
    <t>https://podminky.urs.cz/item/CS_URS_2022_02/034503000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</si>
  <si>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</si>
  <si>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</si>
  <si>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</si>
  <si>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</si>
  <si>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</si>
  <si>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</si>
  <si>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</si>
  <si>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</si>
  <si>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</si>
  <si>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</si>
  <si>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</si>
  <si>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</si>
  <si>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</si>
  <si>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</si>
  <si>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</si>
  <si>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</si>
  <si>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</si>
  <si>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</si>
  <si>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</si>
  <si>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</si>
  <si>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</si>
  <si>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</si>
  <si>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</si>
  <si>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</si>
  <si>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</si>
  <si>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</si>
  <si>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</si>
  <si>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</si>
  <si>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</si>
  <si>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</si>
  <si>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</si>
  <si>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</si>
  <si>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</si>
  <si>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</si>
  <si>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</si>
  <si>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</si>
  <si>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</si>
  <si>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</si>
  <si>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</si>
  <si>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</si>
  <si>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</si>
  <si>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</si>
  <si>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</si>
  <si>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</si>
  <si>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</si>
  <si>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</si>
  <si>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</si>
  <si>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</si>
  <si>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</si>
  <si>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</si>
  <si>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</si>
  <si>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</si>
  <si>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</si>
  <si>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</si>
  <si>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</si>
  <si>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</si>
  <si>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</si>
  <si>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</si>
  <si>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</si>
  <si>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</si>
  <si>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</si>
  <si>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</si>
  <si>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</si>
  <si>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</si>
  <si>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</si>
  <si>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</si>
  <si>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</si>
  <si>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</si>
  <si>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</si>
  <si>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</si>
  <si>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</si>
  <si>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</si>
  <si>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</si>
  <si>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</si>
  <si>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</si>
  <si>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</si>
  <si>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</si>
  <si>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</si>
  <si>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</si>
  <si>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</si>
  <si>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</si>
  <si>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</si>
  <si>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</si>
  <si>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</si>
  <si>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</si>
  <si>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</si>
  <si>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</si>
  <si>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</si>
  <si>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</si>
  <si>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</si>
  <si>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</si>
  <si>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</si>
  <si>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</si>
  <si>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</si>
  <si>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</si>
  <si>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</si>
  <si>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</si>
  <si>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</si>
  <si>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</si>
  <si>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</si>
  <si>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</si>
  <si>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</si>
  <si>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</si>
  <si>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</si>
  <si>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</si>
  <si>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</si>
  <si>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</si>
  <si>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</si>
  <si>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</si>
  <si>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</si>
  <si>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</si>
  <si>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</si>
  <si>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</si>
  <si>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</si>
  <si>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</si>
  <si>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</si>
  <si>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</si>
  <si>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</si>
  <si>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</si>
  <si>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</si>
  <si>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</si>
  <si>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</si>
  <si>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</si>
  <si>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</si>
  <si>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</si>
  <si>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</si>
  <si>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</si>
  <si>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</si>
  <si>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</si>
  <si>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</si>
  <si>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</si>
  <si>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</si>
  <si>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</si>
  <si>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</si>
  <si>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</si>
  <si>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</si>
  <si>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</si>
  <si>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</si>
  <si>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</si>
  <si>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</si>
  <si>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</si>
  <si>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</si>
  <si>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</si>
  <si>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</si>
  <si>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</si>
  <si>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</si>
  <si>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</si>
  <si>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</si>
  <si>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</si>
  <si>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</si>
  <si>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</si>
  <si>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</si>
  <si>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</si>
  <si>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</si>
  <si>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</si>
  <si>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</si>
  <si>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</si>
  <si>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</si>
  <si>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</si>
  <si>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</si>
  <si>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</si>
  <si>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</si>
  <si>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</si>
  <si>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</si>
  <si>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</si>
  <si>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</si>
  <si>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</si>
  <si>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</si>
  <si>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</si>
  <si>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</si>
  <si>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</si>
  <si>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</si>
  <si>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</si>
  <si>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</si>
  <si>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</si>
  <si>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</si>
  <si>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</si>
  <si>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</si>
  <si>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</si>
  <si>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</si>
  <si>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</si>
  <si>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</si>
  <si>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</si>
  <si>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</si>
  <si>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</si>
  <si>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Stavební rozpočet</t>
  </si>
  <si>
    <t>Název stavby:</t>
  </si>
  <si>
    <t>ZŠ P.Holého, Přestavba plaveckého pavilonu</t>
  </si>
  <si>
    <t>Doba výstavby:</t>
  </si>
  <si>
    <t xml:space="preserve"> </t>
  </si>
  <si>
    <t>Objednatel:</t>
  </si>
  <si>
    <t>Město Louny, Mírové náměstí 35, Louny</t>
  </si>
  <si>
    <t>Druh stavby:</t>
  </si>
  <si>
    <t>VYTÁPĚNÍ</t>
  </si>
  <si>
    <t>Začátek výstavby:</t>
  </si>
  <si>
    <t>Ing. Radek Fokt</t>
  </si>
  <si>
    <t>Lokalita:</t>
  </si>
  <si>
    <t>Louny</t>
  </si>
  <si>
    <t>Konec výstavby:</t>
  </si>
  <si>
    <t>Zhotovitel:</t>
  </si>
  <si>
    <t> </t>
  </si>
  <si>
    <t>JKSO:</t>
  </si>
  <si>
    <t>Zpracováno dne:</t>
  </si>
  <si>
    <t>28.06.2020</t>
  </si>
  <si>
    <t>Zpracoval:</t>
  </si>
  <si>
    <t>Č</t>
  </si>
  <si>
    <t>Zkrácený popis / Varianta</t>
  </si>
  <si>
    <t>Cena/MJ</t>
  </si>
  <si>
    <t>Náklady (Kč)</t>
  </si>
  <si>
    <t>Hmotnost (t)</t>
  </si>
  <si>
    <t>Cenová</t>
  </si>
  <si>
    <t>ISWORK</t>
  </si>
  <si>
    <t>GROUPCODE</t>
  </si>
  <si>
    <t>Rozměry</t>
  </si>
  <si>
    <t>(Kč)</t>
  </si>
  <si>
    <t>Dodávka</t>
  </si>
  <si>
    <t>Montáž</t>
  </si>
  <si>
    <t>Celkem</t>
  </si>
  <si>
    <t>Jednot.</t>
  </si>
  <si>
    <t>soustava</t>
  </si>
  <si>
    <t>Přesuny</t>
  </si>
  <si>
    <t>Typ skupiny</t>
  </si>
  <si>
    <t>HSV mat</t>
  </si>
  <si>
    <t>HSV prac</t>
  </si>
  <si>
    <t>PSV mat</t>
  </si>
  <si>
    <t>PSV prac</t>
  </si>
  <si>
    <t>Mont mat</t>
  </si>
  <si>
    <t>Mont prac</t>
  </si>
  <si>
    <t>Ostatní mat.</t>
  </si>
  <si>
    <t>MAT</t>
  </si>
  <si>
    <t>WORK</t>
  </si>
  <si>
    <t>CELK</t>
  </si>
  <si>
    <t>Vnitřní vodovod</t>
  </si>
  <si>
    <t>722181225RT5</t>
  </si>
  <si>
    <t>Izolace návleková Al.folie tl. stěny 25 mm, D15</t>
  </si>
  <si>
    <t>RTS I / 2022</t>
  </si>
  <si>
    <t>722_</t>
  </si>
  <si>
    <t>72_</t>
  </si>
  <si>
    <t>_</t>
  </si>
  <si>
    <t>Varianta:</t>
  </si>
  <si>
    <t>vnitřní průměr 15 mm</t>
  </si>
  <si>
    <t>722181225RT6</t>
  </si>
  <si>
    <t>Izolace návleková Al.folie tl. stěny 25 mm, D18</t>
  </si>
  <si>
    <t>vnitřní průměr 18 mm</t>
  </si>
  <si>
    <t>722181225RT7</t>
  </si>
  <si>
    <t>Izolace návleková Al.folie tl. stěny 25 mm, D22</t>
  </si>
  <si>
    <t>vnitřní průměr 22 mm</t>
  </si>
  <si>
    <t>722181225RT9</t>
  </si>
  <si>
    <t>Izolace návleková Al.folie tl. stěny 25 mm, D28</t>
  </si>
  <si>
    <t>vnitřní průměr 28 mm</t>
  </si>
  <si>
    <t>722181225RU2</t>
  </si>
  <si>
    <t>Izolace návleková Al.folie tl. stěny 25 mm, D35</t>
  </si>
  <si>
    <t>vnitřní průměr 35 mm</t>
  </si>
  <si>
    <t>722181225RW2</t>
  </si>
  <si>
    <t>Izolace návleková Al.folie tl. stěny 25 mm, D45</t>
  </si>
  <si>
    <t>vnitřní průměr 45 mm</t>
  </si>
  <si>
    <t>722181225RW8</t>
  </si>
  <si>
    <t>Izolace návleková Al.folie tl. stěny 25 mm, D54</t>
  </si>
  <si>
    <t>vnitřní průměr 54 mm</t>
  </si>
  <si>
    <t>998722101R00</t>
  </si>
  <si>
    <t>Přesun hmot pro vnitřní vodovod, výšky do 6 m</t>
  </si>
  <si>
    <t>730</t>
  </si>
  <si>
    <t>Demontáže</t>
  </si>
  <si>
    <t>713400821R00</t>
  </si>
  <si>
    <t>Odstranění izolačních pásů  potrubí</t>
  </si>
  <si>
    <t>730_</t>
  </si>
  <si>
    <t>73_</t>
  </si>
  <si>
    <t>733110806R00</t>
  </si>
  <si>
    <t>Demontáž potrubí ocelového závitového do DN 15-32</t>
  </si>
  <si>
    <t>733110808R00</t>
  </si>
  <si>
    <t>Demontáž potrubí ocelového závitového do DN 32-50</t>
  </si>
  <si>
    <t>733890801R00</t>
  </si>
  <si>
    <t>Přemístění vybouraných hmot - potrubí, H do 6 m</t>
  </si>
  <si>
    <t>735111810R00</t>
  </si>
  <si>
    <t>Demontáž těles otopných litinových článkových</t>
  </si>
  <si>
    <t>735291800R00</t>
  </si>
  <si>
    <t>Demontáž konzol otopných těles do odpadu</t>
  </si>
  <si>
    <t>735890801R00</t>
  </si>
  <si>
    <t>Přemístění demont. hmot - otop. těles, H do 6 m</t>
  </si>
  <si>
    <t>713400821R01</t>
  </si>
  <si>
    <t>Přemístění vybouraných hmot - tepelné izolace, H do 6 m</t>
  </si>
  <si>
    <t>979011111R00</t>
  </si>
  <si>
    <t>Svislá doprava suti a vybour. hmot za 2.NP a 1.PP</t>
  </si>
  <si>
    <t>979081111R00</t>
  </si>
  <si>
    <t>Odvoz suti a vybour. hmot na skládku do 1 km</t>
  </si>
  <si>
    <t>979081121R00</t>
  </si>
  <si>
    <t>Příplatek k odvozu za každý další 1 km</t>
  </si>
  <si>
    <t>979086213R00</t>
  </si>
  <si>
    <t>Nakládání vybouraných hmot na dopravní prostředek</t>
  </si>
  <si>
    <t>979990144R00</t>
  </si>
  <si>
    <t>Poplatek za skládku suti - minerální vata</t>
  </si>
  <si>
    <t>733</t>
  </si>
  <si>
    <t>Rozvod potrubí</t>
  </si>
  <si>
    <t>733163102R00</t>
  </si>
  <si>
    <t>Potrubí z měděných trubek vytápění D 15 x 1,0 mm</t>
  </si>
  <si>
    <t>733_</t>
  </si>
  <si>
    <t>733163103R00</t>
  </si>
  <si>
    <t>Potrubí z měděných trubek vytápění D 18 x 1,0 mm</t>
  </si>
  <si>
    <t>733163104R00</t>
  </si>
  <si>
    <t>Potrubí z měděných trubek vytápění D 22 x 1,0 mm</t>
  </si>
  <si>
    <t>733163105R00</t>
  </si>
  <si>
    <t>Potrubí z měděných trubek vytápění D 28 x 1,5 mm</t>
  </si>
  <si>
    <t>733163106R00</t>
  </si>
  <si>
    <t>Potrubí z měděných trubek vytápění D 35 x 1,5 mm</t>
  </si>
  <si>
    <t>733163107R00</t>
  </si>
  <si>
    <t>Potrubí z měděných trubek vytápění D 42 x 1,5 mm</t>
  </si>
  <si>
    <t>733163108R00</t>
  </si>
  <si>
    <t>Potrubí z měděných trubek vytápění D 54 x 2,0 mm</t>
  </si>
  <si>
    <t>733190306R00</t>
  </si>
  <si>
    <t>Tlaková zkouška Cu potrubí do D 35</t>
  </si>
  <si>
    <t>733190307R00</t>
  </si>
  <si>
    <t>Tlaková zkouška Cu potrubí do D 64</t>
  </si>
  <si>
    <t>733191111R00</t>
  </si>
  <si>
    <t>Manžety prostupové pro trubky do DN 20</t>
  </si>
  <si>
    <t>733191112R00</t>
  </si>
  <si>
    <t>Manžety prostupové pro trubky do DN 32</t>
  </si>
  <si>
    <t>733191113R00</t>
  </si>
  <si>
    <t>Manžety prostupové pro trubky do DN 50</t>
  </si>
  <si>
    <t>998733101R00</t>
  </si>
  <si>
    <t>Přesun hmot pro rozvody potrubí, výšky do 6 m</t>
  </si>
  <si>
    <t>734</t>
  </si>
  <si>
    <t>Armatury</t>
  </si>
  <si>
    <t>734235124R00</t>
  </si>
  <si>
    <t>Kohout kulový,2xvnitřní záv. DN 32</t>
  </si>
  <si>
    <t>734_</t>
  </si>
  <si>
    <t>734235125R00</t>
  </si>
  <si>
    <t>Kohout kulový,2xvnitřní záv. DN 40</t>
  </si>
  <si>
    <t>734295321R00</t>
  </si>
  <si>
    <t>Kohout kul.vypouštěcí,komplet, DN 15</t>
  </si>
  <si>
    <t>734223122RT1</t>
  </si>
  <si>
    <t>Ventil termostatický, přímý, DN 15</t>
  </si>
  <si>
    <t>bez termostatické hlavice</t>
  </si>
  <si>
    <t>734263132R00</t>
  </si>
  <si>
    <t>Šroubení regulační, přímé, DN 15</t>
  </si>
  <si>
    <t>734221672RT3</t>
  </si>
  <si>
    <t>Hlavice ovládání ventilů termostat., pro veřejné budovy</t>
  </si>
  <si>
    <t>998734101R00</t>
  </si>
  <si>
    <t>Přesun hmot pro armatury, výšky do 6 m</t>
  </si>
  <si>
    <t>Otopná tělesa</t>
  </si>
  <si>
    <t>735000912R00</t>
  </si>
  <si>
    <t>Vyregulování ventilů s termost.ovládáním</t>
  </si>
  <si>
    <t>735_</t>
  </si>
  <si>
    <t>735153300R00</t>
  </si>
  <si>
    <t>Příplatek za odvzdušňovací ventil</t>
  </si>
  <si>
    <t>735156560R00</t>
  </si>
  <si>
    <t>Otopná tělesa panelová 21  600/ 400</t>
  </si>
  <si>
    <t>735156561R00</t>
  </si>
  <si>
    <t>Otopná tělesa panelová 21  600/ 500</t>
  </si>
  <si>
    <t>735156563R00</t>
  </si>
  <si>
    <t>Otopná tělesa panelová 21  600/ 700</t>
  </si>
  <si>
    <t>735156564R00</t>
  </si>
  <si>
    <t>Otopná tělesa panelová 21  600/ 800</t>
  </si>
  <si>
    <t>735156664R00</t>
  </si>
  <si>
    <t>Otopná tělesa panelová 22  600/ 800</t>
  </si>
  <si>
    <t>735156668R00</t>
  </si>
  <si>
    <t>Otopná tělesa panelová 22  600/1400</t>
  </si>
  <si>
    <t>735156669R00</t>
  </si>
  <si>
    <t>Otopná tělesa panelová 22  600/1600</t>
  </si>
  <si>
    <t>735156670R00</t>
  </si>
  <si>
    <t>Otopná tělesa panelová 22  600/1800</t>
  </si>
  <si>
    <t>735156671R00</t>
  </si>
  <si>
    <t>Otopná tělesa panelová 22  600/2000</t>
  </si>
  <si>
    <t>735156672R00</t>
  </si>
  <si>
    <t>Otopná tělesa panelová 22  600/2300</t>
  </si>
  <si>
    <t>735156680R00</t>
  </si>
  <si>
    <t>Otopná tělesa panelová 22  900/ 400</t>
  </si>
  <si>
    <t>998735101R00</t>
  </si>
  <si>
    <t>Přesun hmot pro otopná tělesa, výšky do 6 m</t>
  </si>
  <si>
    <t>Hodinové zúčtovací sazby (HZS)</t>
  </si>
  <si>
    <t>904      R02</t>
  </si>
  <si>
    <t>Hzs-zkousky v ramci montaz.praci, dle ČSN 60 0310</t>
  </si>
  <si>
    <t>h</t>
  </si>
  <si>
    <t>90_</t>
  </si>
  <si>
    <t>9_</t>
  </si>
  <si>
    <t>Topné zkoušky</t>
  </si>
  <si>
    <t>900      RT9</t>
  </si>
  <si>
    <t>HZS - přeprogramování stávajícího systému MaR</t>
  </si>
  <si>
    <t>programátor</t>
  </si>
  <si>
    <t>Celkem:</t>
  </si>
  <si>
    <t>akce:</t>
  </si>
  <si>
    <r>
      <t xml:space="preserve">ÚPRAVA ELEKTROINSTALACE - </t>
    </r>
    <r>
      <rPr>
        <b/>
        <sz val="12"/>
        <rFont val="Times New Roman"/>
        <family val="1"/>
        <charset val="238"/>
      </rPr>
      <t>Základní škola Louny, Prokopa Holého 2632, příspěvková organizace, Prokopa Holého 2632, Louny</t>
    </r>
  </si>
  <si>
    <t>rozpočet</t>
  </si>
  <si>
    <t>pavilon bývalého bazénu - technické podlaží 1.PP, chodba 1.NP, učebna 1.NP, sociální zázemí 1.NP, místnost vzduchotechniky 1.NP</t>
  </si>
  <si>
    <t>schodiště, chodba 2.NP, učebna jazyků 2.NP, dílna 1 a dílna 2 ve 2.NP, sociální zázemí 2.NP</t>
  </si>
  <si>
    <t>pozice</t>
  </si>
  <si>
    <t>název</t>
  </si>
  <si>
    <t>specifikace</t>
  </si>
  <si>
    <t>výrobce</t>
  </si>
  <si>
    <t>množství</t>
  </si>
  <si>
    <t>jedn.</t>
  </si>
  <si>
    <t>cena/jedn.</t>
  </si>
  <si>
    <t>cena</t>
  </si>
  <si>
    <t>rozvaděč RP1 (1.NP)</t>
  </si>
  <si>
    <t>dle výkr.č.400604.5-E</t>
  </si>
  <si>
    <t>ks</t>
  </si>
  <si>
    <t>rozvaděč RP2 (2.NP)</t>
  </si>
  <si>
    <t>dle výkr.č.400604.6-E</t>
  </si>
  <si>
    <t>kabel plastový s Cu jádrem</t>
  </si>
  <si>
    <t>CYKY-J 4x25-hlavní přívod</t>
  </si>
  <si>
    <t>NKT Kladno</t>
  </si>
  <si>
    <t>CYKY-J 3x1,5-světla</t>
  </si>
  <si>
    <t>CYKY-O 3x1,5-vypínače</t>
  </si>
  <si>
    <t>CYKY-J 5x6-výtah</t>
  </si>
  <si>
    <t>CYKY-J 5x2,5-VZT</t>
  </si>
  <si>
    <t>kabel plastový s požární odolností  s Cu jádrem</t>
  </si>
  <si>
    <t>CXKH-R 5Jx1,5</t>
  </si>
  <si>
    <t>CXKH-R 3Ox1,5</t>
  </si>
  <si>
    <t>průmyslový záložní zdroj požárního ventilátoru</t>
  </si>
  <si>
    <t>ASTIP STRONG 1000/3f-60min.</t>
  </si>
  <si>
    <t>ASTIP s.r.o.</t>
  </si>
  <si>
    <t>závěs pro kanál drátěný 35x100</t>
  </si>
  <si>
    <t>DZ DZSZ 35x100_S</t>
  </si>
  <si>
    <t>KOPOS KOLÍN</t>
  </si>
  <si>
    <t>kanál drátěný pro kabely 30x50x3000</t>
  </si>
  <si>
    <t>CF 30/50 EZ</t>
  </si>
  <si>
    <t>Cablofil</t>
  </si>
  <si>
    <t>příchytka plast trubky pr.20</t>
  </si>
  <si>
    <t>5320 KB</t>
  </si>
  <si>
    <t>trubka hrdlovaná tuhá pr.20</t>
  </si>
  <si>
    <t>1520 KA</t>
  </si>
  <si>
    <t>lišta vkládací 20x20 bílá</t>
  </si>
  <si>
    <t>LHD 20x20 /2m</t>
  </si>
  <si>
    <t>krabice odbočná IP65</t>
  </si>
  <si>
    <t>A-BOX 025-L</t>
  </si>
  <si>
    <t>SPELSBERG</t>
  </si>
  <si>
    <t>krabice odbočná pod omítku</t>
  </si>
  <si>
    <t>KU68</t>
  </si>
  <si>
    <t>krabice odbočná na omítku se svorkovnicí</t>
  </si>
  <si>
    <t>LK 80/3</t>
  </si>
  <si>
    <t>spínač domovní kompletní (řazení č.1)</t>
  </si>
  <si>
    <t xml:space="preserve">3559-A01345+3558A-A651 B+3901A-B10 B </t>
  </si>
  <si>
    <t>ABB Elektro</t>
  </si>
  <si>
    <t>spínač domovní kompletní (řazení č.5)</t>
  </si>
  <si>
    <t xml:space="preserve">3559-A05345+3558A-A652 B+3901A-B10 B </t>
  </si>
  <si>
    <t>přepínač domovní kompletní (řazení č.6)</t>
  </si>
  <si>
    <t xml:space="preserve">3559-A06345+3558A-A651 B+3901A-B10 B </t>
  </si>
  <si>
    <t>spínač pro povrchovou montáž, řazení č.1, IP44</t>
  </si>
  <si>
    <t xml:space="preserve">3553 25922 B ,,PRAKTIK" </t>
  </si>
  <si>
    <t>zásuvka jednonásobná 230V/16A, IP20</t>
  </si>
  <si>
    <t xml:space="preserve">5517 2389 B1 ,,CLASIC" </t>
  </si>
  <si>
    <t>zásuvka 230V/16A pro povrchovou montáž, IP44</t>
  </si>
  <si>
    <t xml:space="preserve">5518 2929 B ,,PRAKTIK" </t>
  </si>
  <si>
    <t>sada pro nouzové přivolání pomoci postiženým</t>
  </si>
  <si>
    <t>Reflex SI 3280B-C10001 B</t>
  </si>
  <si>
    <t>svítidlo LED 48W přisazené, IP66</t>
  </si>
  <si>
    <t>FUTURA 2,4ft PC AL kat.č.75050</t>
  </si>
  <si>
    <t>TREVOS</t>
  </si>
  <si>
    <t>svítidlo LED 48W přisazené</t>
  </si>
  <si>
    <t>BELTR LED 2,4ft kat.č.54240</t>
  </si>
  <si>
    <t>svítidlo LED 48W + nouz.1h-přisazené</t>
  </si>
  <si>
    <t>BELTR LED 2,4ft M1h kat.č.54244</t>
  </si>
  <si>
    <t>svítidlo LED 32W asymetrické - zavěšené</t>
  </si>
  <si>
    <t>PSP TORINO LED AS kat.č.86110</t>
  </si>
  <si>
    <t>svítidlo LED 32W přisazené, IP44</t>
  </si>
  <si>
    <t>CALA 32 kat.č.ML-411.200.32.0</t>
  </si>
  <si>
    <t>McLED</t>
  </si>
  <si>
    <t>závěs lankový pro asymetrická svítidla</t>
  </si>
  <si>
    <t>ZL2/2+redukce</t>
  </si>
  <si>
    <t>ELKOVO Čepelík</t>
  </si>
  <si>
    <t xml:space="preserve">spojovací materiál. </t>
  </si>
  <si>
    <t>vruty,hmoždinky</t>
  </si>
  <si>
    <t>svorky instalační</t>
  </si>
  <si>
    <t>svorky-2273-204,</t>
  </si>
  <si>
    <t>WAGO</t>
  </si>
  <si>
    <t>ostatní</t>
  </si>
  <si>
    <t>sádra</t>
  </si>
  <si>
    <t>Páska zemnící</t>
  </si>
  <si>
    <t>FeZn 30x4</t>
  </si>
  <si>
    <t>TREMIS</t>
  </si>
  <si>
    <t>Drát zemnící (střecha,svody)</t>
  </si>
  <si>
    <t>8-AlMgSi T/2</t>
  </si>
  <si>
    <t>Drát zemnící (uzemňovací svody)</t>
  </si>
  <si>
    <t>FeZn 10</t>
  </si>
  <si>
    <t>Jímací tyč</t>
  </si>
  <si>
    <t>JR 2,0 AlMgSi</t>
  </si>
  <si>
    <t>podstavec betonový</t>
  </si>
  <si>
    <t>PB19</t>
  </si>
  <si>
    <t>podložka pro podstavec betonový</t>
  </si>
  <si>
    <t>podl SB19</t>
  </si>
  <si>
    <t>svorka diag.tyč/drát</t>
  </si>
  <si>
    <t>SJ1d</t>
  </si>
  <si>
    <t>svorka spojovací</t>
  </si>
  <si>
    <t>SS</t>
  </si>
  <si>
    <t>podpěra vedení</t>
  </si>
  <si>
    <t>PV 21c</t>
  </si>
  <si>
    <t>svorka okapová</t>
  </si>
  <si>
    <t>Soc</t>
  </si>
  <si>
    <t>držák úhelníku</t>
  </si>
  <si>
    <t>DUS</t>
  </si>
  <si>
    <t>ochranný úhelník</t>
  </si>
  <si>
    <t>OU 1,7</t>
  </si>
  <si>
    <t>svorka křížová (drát/páska)</t>
  </si>
  <si>
    <t>SR3b+1a</t>
  </si>
  <si>
    <t>svorka diagonální</t>
  </si>
  <si>
    <t>SKd</t>
  </si>
  <si>
    <t>svorka zkušební</t>
  </si>
  <si>
    <t>Sza</t>
  </si>
  <si>
    <t>tyč zemnící</t>
  </si>
  <si>
    <t>ZT1,5t</t>
  </si>
  <si>
    <t>demontáž</t>
  </si>
  <si>
    <t>likvidace odpadu</t>
  </si>
  <si>
    <t>montáž</t>
  </si>
  <si>
    <t>1/hod</t>
  </si>
  <si>
    <t>doprava</t>
  </si>
  <si>
    <t>výchozí revize elektro</t>
  </si>
  <si>
    <t>měření osvětlení</t>
  </si>
  <si>
    <t>celkem</t>
  </si>
  <si>
    <t>Přestavba plaveckého pavilonu - ZŠ P.Holého</t>
  </si>
  <si>
    <t>VZDUCHOTECHNIKA</t>
  </si>
  <si>
    <t>09.07.2020</t>
  </si>
  <si>
    <t>713411122R00</t>
  </si>
  <si>
    <t>Izolace tepelná potrubí samolepící</t>
  </si>
  <si>
    <t>713_</t>
  </si>
  <si>
    <t>71_</t>
  </si>
  <si>
    <t>283753512</t>
  </si>
  <si>
    <t>izolační pás samolepící, PET tl. 50mm šířka 1000 mm</t>
  </si>
  <si>
    <t>283753509</t>
  </si>
  <si>
    <t>izolační pás samolepící, PET tl. 20mm šířka 1000 mm</t>
  </si>
  <si>
    <t>713491111R00</t>
  </si>
  <si>
    <t>Izolace -  montáž oplechování pevného - potrubí</t>
  </si>
  <si>
    <t>opláštění potrubíé nad střechou</t>
  </si>
  <si>
    <t>42981196</t>
  </si>
  <si>
    <t>Spiro roura hladká d 630, délka 1 m</t>
  </si>
  <si>
    <t>998713101R00</t>
  </si>
  <si>
    <t>Přesun hmot pro izolace tepelné, výšky do 6 m</t>
  </si>
  <si>
    <t>728</t>
  </si>
  <si>
    <t>728611116R00</t>
  </si>
  <si>
    <t>Mtž ventilátoru radiál.nízkotl.potrub. do 0,28 m2</t>
  </si>
  <si>
    <t>728_</t>
  </si>
  <si>
    <t>SP281100220IM</t>
  </si>
  <si>
    <t>(pozice 1.1) radiální ventilátor min4800 m3/h, 200Pa</t>
  </si>
  <si>
    <t>728211416R00</t>
  </si>
  <si>
    <t>Montáž klapky plechové čtyřhranné do 0,28 m2</t>
  </si>
  <si>
    <t>PR360100120IM</t>
  </si>
  <si>
    <t>(pozice 1.2) uzavírací klapka 400x700mm, vč. servopohonu</t>
  </si>
  <si>
    <t>728314113R00</t>
  </si>
  <si>
    <t>Montáž protidešť. žaluzie čtyřhranné do 0,45 m2</t>
  </si>
  <si>
    <t>4295330124</t>
  </si>
  <si>
    <t>(pozice 1.3) Žaluzie protidešťová 400x800</t>
  </si>
  <si>
    <t>728314112R00</t>
  </si>
  <si>
    <t>Montáž krycí mřížky do 0,28 m2</t>
  </si>
  <si>
    <t>42952690</t>
  </si>
  <si>
    <t>(pozice 1.4) Mřížka ochranná 400x700</t>
  </si>
  <si>
    <t>728211217R00</t>
  </si>
  <si>
    <t>Montáž přechodu plechového čtyřhranného do 0,4 m2</t>
  </si>
  <si>
    <t>42982120</t>
  </si>
  <si>
    <t>Tvarovka 4hranná 400x700 - 400x800, Pz plech</t>
  </si>
  <si>
    <t>728111117R00</t>
  </si>
  <si>
    <t>Montáž potrubí plechového čtyřhranného do 0,40 m2</t>
  </si>
  <si>
    <t>4298201033</t>
  </si>
  <si>
    <t>Trouba rovná 4hranná  400 x 800 mm, délka 1 m</t>
  </si>
  <si>
    <t>728211117R00</t>
  </si>
  <si>
    <t>Montáž oblouku plechového čtyřhranného do 0,4 m2</t>
  </si>
  <si>
    <t>42982124</t>
  </si>
  <si>
    <t>Oblouk 4hranný 400x700mm, Pz plech</t>
  </si>
  <si>
    <t>728611611R00</t>
  </si>
  <si>
    <t>Mtž ventilátoru radiál.nízkotl.nástěn. do d 100 mm</t>
  </si>
  <si>
    <t>pozice 2.1</t>
  </si>
  <si>
    <t>SP221300030IM</t>
  </si>
  <si>
    <t>(pozice 2.1) Malý radiální ventilátor nástěnný, d100, 60 m3/h, 120Pa</t>
  </si>
  <si>
    <t>728314121R00</t>
  </si>
  <si>
    <t>Montáž samotížné žaluz. klapky do d 300 mm</t>
  </si>
  <si>
    <t>pozice 2.2</t>
  </si>
  <si>
    <t>SP475100020IM</t>
  </si>
  <si>
    <t>(pozice 2.2) Samotížná žaluzivoá klapka d100, bílá</t>
  </si>
  <si>
    <t>728616212R00</t>
  </si>
  <si>
    <t>Mtž ventilátoru diagon. nízkotl. potrub.do d 200mm</t>
  </si>
  <si>
    <t>pozice 2.3, 2.4</t>
  </si>
  <si>
    <t>SP200100645IM</t>
  </si>
  <si>
    <t>(pozice 2.4) Tichý potrubní ventilátor s doběhem d160 - viz technická zpráva</t>
  </si>
  <si>
    <t>SP200100635IM</t>
  </si>
  <si>
    <t>(pozice 2.3) Tichý potrubní ventilátor s doběhem d125 - viz technická zpráva</t>
  </si>
  <si>
    <t>728212412R00</t>
  </si>
  <si>
    <t>Montáž klapky zpětné s pruižinou, kruhové do d 200 mm</t>
  </si>
  <si>
    <t>pozice 2.5, 2.6</t>
  </si>
  <si>
    <t>PR550100020IM</t>
  </si>
  <si>
    <t>(pozice 2.5) Zpětná klapka d125</t>
  </si>
  <si>
    <t>PR550100040IM</t>
  </si>
  <si>
    <t>(pozice 2.6) Zpětná klapka d160</t>
  </si>
  <si>
    <t>728212712R00</t>
  </si>
  <si>
    <t>Montáž střišky nebo hlavice plech.kruh.do d 200 mm</t>
  </si>
  <si>
    <t>TV170100050IM</t>
  </si>
  <si>
    <t>Výfuková hlavice d160</t>
  </si>
  <si>
    <t>TV170100020IM</t>
  </si>
  <si>
    <t>Výfuková hlavice d125</t>
  </si>
  <si>
    <t>728413522R00</t>
  </si>
  <si>
    <t>Montáž talířového ventilu kruhového do d 200 mm</t>
  </si>
  <si>
    <t>pozice 2.7</t>
  </si>
  <si>
    <t>UCK500200342IM</t>
  </si>
  <si>
    <t>(pozice 2.7) Talířový ventil odvodní, nerez, d125</t>
  </si>
  <si>
    <t>728415111R00</t>
  </si>
  <si>
    <t>Montáž mřížky větrací nebo ventilační protipožární do 0,04 m2</t>
  </si>
  <si>
    <t>pozice 2.8</t>
  </si>
  <si>
    <t>595345420</t>
  </si>
  <si>
    <t>(pozice 2.8.) Větrací zpěňovací tvarovka 93x93 mm, 35cm2, EI 30, tl. 35 mm</t>
  </si>
  <si>
    <t>728112111R00</t>
  </si>
  <si>
    <t>Montáž potrubí plechového kruhového do d 100 mm</t>
  </si>
  <si>
    <t>42981181</t>
  </si>
  <si>
    <t>Spiro roura hladká d 100, délka 1 m</t>
  </si>
  <si>
    <t>728112112R00</t>
  </si>
  <si>
    <t>Montáž potrubí plechového kruhového do d 200 mm</t>
  </si>
  <si>
    <t>42981162</t>
  </si>
  <si>
    <t>Potrubí SPIRO d125, vč. tvarovek</t>
  </si>
  <si>
    <t>42981164</t>
  </si>
  <si>
    <t>Potrubí SPIRO 160, vč. tvarovek</t>
  </si>
  <si>
    <t>Montáž mřížky větrací nebo ventilační dveřní do 0,04 m2</t>
  </si>
  <si>
    <t>RF550100010IM</t>
  </si>
  <si>
    <t>dveřní mřížka 450x80 mm</t>
  </si>
  <si>
    <t>728611124R00</t>
  </si>
  <si>
    <t>Mtž kompaktní VZT jednotky</t>
  </si>
  <si>
    <t>pozice 3.1</t>
  </si>
  <si>
    <t>SU370200020IM</t>
  </si>
  <si>
    <t>(pozice 3.1) Kompaktní vzduchotechnická jednotka s rekuperací tepla - parametry viz technická zpráva</t>
  </si>
  <si>
    <t>728312122R00</t>
  </si>
  <si>
    <t>Montáž tlumiče kruhového do d 200 mm</t>
  </si>
  <si>
    <t>pozice 3.2</t>
  </si>
  <si>
    <t>KR530100050IM</t>
  </si>
  <si>
    <t>(pozice 3.2) tlumič hluku pro kruhová potrubí d160, l=900mm</t>
  </si>
  <si>
    <t>pozice 3.3, 3.4</t>
  </si>
  <si>
    <t>UCK500200341IM</t>
  </si>
  <si>
    <t>(pozice 3.3) talířový ventil odvodní nerez, d160</t>
  </si>
  <si>
    <t>UCK500200353IM</t>
  </si>
  <si>
    <t>(pozice 3.4.) talířový ventil přívodní nerez, d160</t>
  </si>
  <si>
    <t>Montáž žaluziové klapky kruhové do d 300 mm</t>
  </si>
  <si>
    <t>pozice 3.5</t>
  </si>
  <si>
    <t>SP475100050IM</t>
  </si>
  <si>
    <t>(pozice 3.5) žaluziová klapka samotížná bílá. d160</t>
  </si>
  <si>
    <t>Montáž protidešť. žaluzie kruhové do d 300 mm</t>
  </si>
  <si>
    <t>pozice 3.6</t>
  </si>
  <si>
    <t>SP485100010IM</t>
  </si>
  <si>
    <t>(pozice 3.6) protidešťová žaluzie plastová, pevné lamely, d160</t>
  </si>
  <si>
    <t>Montáž klapky požární kruhové do d 200 mm</t>
  </si>
  <si>
    <t>42971270</t>
  </si>
  <si>
    <t>(pozice 3.7) Klapka požární kruhová d160, teplotní čidlo</t>
  </si>
  <si>
    <t>998725101R00</t>
  </si>
  <si>
    <t>Přesun hmot pro vzduchotechniku, výšky do 6 m</t>
  </si>
  <si>
    <t>904      R01</t>
  </si>
  <si>
    <t>Hzs-zkousky v ramci montaz.praci - Komplexni vyzkouseni a zaregulování VZT</t>
  </si>
  <si>
    <t>Komplexni vyzkouseni</t>
  </si>
  <si>
    <t>Vypracování protokolu o zaregulování VZT systému</t>
  </si>
  <si>
    <t>PODROBNÉ PARAMETRY VŠECH ZAŘÍZENÍ, ZEJMÉNA VENTILÁTORŮ, JSOU UVEDENY V TECHNICKÉ ZPRÁÍVĚ!</t>
  </si>
  <si>
    <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</si>
</sst>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numFmt numFmtId="165" formatCode="dd\.mm\.yyyy"/>
    <numFmt numFmtId="166" formatCode="#,##0.00000"/>
    <numFmt numFmtId="167" formatCode="#,##0.000"/>
    <numFmt numFmtId="168" formatCode="#,##0.00\ &quot;Kč&quot;"/>
  </numFmts>
  <fonts count="7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font>
    <font>
      <sz val="18"/>
      <color indexed="8"/>
      <name val="Arial"/>
      <charset val="238"/>
    </font>
    <font>
      <sz val="10"/>
      <color indexed="8"/>
      <name val="Arial"/>
      <charset val="238"/>
    </font>
    <font>
      <b/>
      <sz val="10"/>
      <color indexed="8"/>
      <name val="Arial"/>
      <charset val="238"/>
    </font>
    <font>
      <b/>
      <sz val="10"/>
      <color indexed="56"/>
      <name val="Arial"/>
      <charset val="238"/>
    </font>
    <font>
      <sz val="10"/>
      <color indexed="56"/>
      <name val="Arial"/>
      <charset val="238"/>
    </font>
    <font>
      <sz val="10"/>
      <color indexed="61"/>
      <name val="Arial"/>
      <charset val="238"/>
    </font>
    <font>
      <i/>
      <sz val="10"/>
      <color indexed="58"/>
      <name val="Arial"/>
      <charset val="238"/>
    </font>
    <font>
      <i/>
      <sz val="10"/>
      <color indexed="59"/>
      <name val="Arial"/>
      <charset val="238"/>
    </font>
    <font>
      <i/>
      <sz val="8"/>
      <color indexed="8"/>
      <name val="Arial"/>
      <charset val="238"/>
    </font>
    <font>
      <sz val="10"/>
      <name val="Arial"/>
      <family val="2"/>
      <charset val="238"/>
    </font>
    <font>
      <sz val="10"/>
      <name val="Arial CE"/>
      <charset val="238"/>
    </font>
    <font>
      <b/>
      <sz val="14"/>
      <name val="Times New Roman"/>
      <family val="1"/>
      <charset val="238"/>
    </font>
    <font>
      <b/>
      <sz val="12"/>
      <name val="Times New Roman"/>
      <family val="1"/>
      <charset val="238"/>
    </font>
    <font>
      <b/>
      <sz val="12"/>
      <name val="Arial CE"/>
      <family val="2"/>
      <charset val="238"/>
    </font>
    <font>
      <b/>
      <sz val="10"/>
      <name val="Arial CE"/>
      <family val="2"/>
      <charset val="238"/>
    </font>
    <font>
      <b/>
      <sz val="10"/>
      <name val="Arial CE"/>
      <charset val="238"/>
    </font>
    <font>
      <b/>
      <sz val="9"/>
      <name val="Arial CE"/>
      <charset val="238"/>
    </font>
    <font>
      <sz val="10"/>
      <color indexed="8"/>
      <name val="Arial"/>
      <family val="2"/>
      <charset val="238"/>
    </font>
    <font>
      <sz val="10"/>
      <color indexed="62"/>
      <name val="Arial"/>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57"/>
        <bgColor indexed="9"/>
      </patternFill>
    </fill>
  </fills>
  <borders count="6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50" fillId="0" borderId="0" applyNumberFormat="0" applyFill="0" applyBorder="0" applyAlignment="0" applyProtection="0"/>
    <xf numFmtId="0" fontId="52" fillId="0" borderId="1"/>
    <xf numFmtId="0" fontId="62" fillId="0" borderId="1"/>
    <xf numFmtId="0" fontId="63" fillId="0" borderId="1"/>
  </cellStyleXfs>
  <cellXfs count="4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38"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4" xfId="0" applyFont="1" applyBorder="1" applyAlignment="1">
      <alignment vertical="center"/>
    </xf>
    <xf numFmtId="0" fontId="39" fillId="3" borderId="15"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54" fillId="0" borderId="1" xfId="2" applyFont="1" applyAlignment="1">
      <alignment vertical="center"/>
    </xf>
    <xf numFmtId="0" fontId="54" fillId="0" borderId="27" xfId="2" applyNumberFormat="1" applyFont="1" applyFill="1" applyBorder="1" applyAlignment="1" applyProtection="1">
      <alignment vertical="center"/>
    </xf>
    <xf numFmtId="49" fontId="55" fillId="0" borderId="35" xfId="2" applyNumberFormat="1" applyFont="1" applyFill="1" applyBorder="1" applyAlignment="1" applyProtection="1">
      <alignment horizontal="left" vertical="center"/>
    </xf>
    <xf numFmtId="49" fontId="55" fillId="0" borderId="36" xfId="2" applyNumberFormat="1" applyFont="1" applyFill="1" applyBorder="1" applyAlignment="1" applyProtection="1">
      <alignment horizontal="left" vertical="center"/>
    </xf>
    <xf numFmtId="49" fontId="55" fillId="0" borderId="36" xfId="2" applyNumberFormat="1" applyFont="1" applyFill="1" applyBorder="1" applyAlignment="1" applyProtection="1">
      <alignment horizontal="center" vertical="center"/>
    </xf>
    <xf numFmtId="49" fontId="55" fillId="0" borderId="39" xfId="2" applyNumberFormat="1" applyFont="1" applyFill="1" applyBorder="1" applyAlignment="1" applyProtection="1">
      <alignment horizontal="center" vertical="center"/>
    </xf>
    <xf numFmtId="49" fontId="55" fillId="0" borderId="43" xfId="2" applyNumberFormat="1" applyFont="1" applyFill="1" applyBorder="1" applyAlignment="1" applyProtection="1">
      <alignment horizontal="center" vertical="center"/>
    </xf>
    <xf numFmtId="0" fontId="54" fillId="0" borderId="44" xfId="2" applyNumberFormat="1" applyFont="1" applyFill="1" applyBorder="1" applyAlignment="1" applyProtection="1">
      <alignment vertical="center"/>
    </xf>
    <xf numFmtId="49" fontId="56" fillId="6" borderId="1" xfId="2" applyNumberFormat="1" applyFont="1" applyFill="1" applyBorder="1" applyAlignment="1" applyProtection="1">
      <alignment horizontal="right" vertical="center"/>
    </xf>
    <xf numFmtId="49" fontId="55" fillId="0" borderId="1" xfId="2" applyNumberFormat="1" applyFont="1" applyFill="1" applyBorder="1" applyAlignment="1" applyProtection="1">
      <alignment horizontal="right" vertical="center"/>
    </xf>
    <xf numFmtId="49" fontId="54" fillId="0" borderId="45" xfId="2" applyNumberFormat="1" applyFont="1" applyFill="1" applyBorder="1" applyAlignment="1" applyProtection="1">
      <alignment horizontal="left" vertical="center"/>
    </xf>
    <xf numFmtId="49" fontId="54" fillId="0" borderId="46" xfId="2" applyNumberFormat="1" applyFont="1" applyFill="1" applyBorder="1" applyAlignment="1" applyProtection="1">
      <alignment horizontal="left" vertical="center"/>
    </xf>
    <xf numFmtId="49" fontId="55" fillId="0" borderId="47" xfId="2" applyNumberFormat="1" applyFont="1" applyFill="1" applyBorder="1" applyAlignment="1" applyProtection="1">
      <alignment horizontal="center" vertical="center"/>
    </xf>
    <xf numFmtId="49" fontId="55" fillId="0" borderId="48" xfId="2" applyNumberFormat="1" applyFont="1" applyFill="1" applyBorder="1" applyAlignment="1" applyProtection="1">
      <alignment horizontal="center" vertical="center"/>
    </xf>
    <xf numFmtId="49" fontId="55" fillId="0" borderId="49" xfId="2" applyNumberFormat="1" applyFont="1" applyFill="1" applyBorder="1" applyAlignment="1" applyProtection="1">
      <alignment horizontal="center" vertical="center"/>
    </xf>
    <xf numFmtId="49" fontId="55" fillId="0" borderId="50" xfId="2" applyNumberFormat="1" applyFont="1" applyFill="1" applyBorder="1" applyAlignment="1" applyProtection="1">
      <alignment horizontal="center" vertical="center"/>
    </xf>
    <xf numFmtId="49" fontId="55" fillId="0" borderId="51" xfId="2" applyNumberFormat="1" applyFont="1" applyFill="1" applyBorder="1" applyAlignment="1" applyProtection="1">
      <alignment horizontal="center" vertical="center"/>
    </xf>
    <xf numFmtId="49" fontId="57" fillId="6" borderId="37" xfId="2" applyNumberFormat="1" applyFont="1" applyFill="1" applyBorder="1" applyAlignment="1" applyProtection="1">
      <alignment horizontal="left" vertical="center"/>
    </xf>
    <xf numFmtId="49" fontId="56" fillId="6" borderId="52" xfId="2" applyNumberFormat="1" applyFont="1" applyFill="1" applyBorder="1" applyAlignment="1" applyProtection="1">
      <alignment horizontal="left" vertical="center"/>
    </xf>
    <xf numFmtId="49" fontId="57" fillId="6" borderId="52" xfId="2" applyNumberFormat="1" applyFont="1" applyFill="1" applyBorder="1" applyAlignment="1" applyProtection="1">
      <alignment horizontal="left" vertical="center"/>
    </xf>
    <xf numFmtId="4" fontId="56" fillId="6" borderId="52" xfId="2" applyNumberFormat="1" applyFont="1" applyFill="1" applyBorder="1" applyAlignment="1" applyProtection="1">
      <alignment horizontal="right" vertical="center"/>
    </xf>
    <xf numFmtId="49" fontId="56" fillId="6" borderId="52" xfId="2" applyNumberFormat="1" applyFont="1" applyFill="1" applyBorder="1" applyAlignment="1" applyProtection="1">
      <alignment horizontal="right" vertical="center"/>
    </xf>
    <xf numFmtId="49" fontId="56" fillId="6" borderId="38" xfId="2" applyNumberFormat="1" applyFont="1" applyFill="1" applyBorder="1" applyAlignment="1" applyProtection="1">
      <alignment horizontal="right" vertical="center"/>
    </xf>
    <xf numFmtId="4" fontId="56" fillId="6" borderId="1" xfId="2" applyNumberFormat="1" applyFont="1" applyFill="1" applyBorder="1" applyAlignment="1" applyProtection="1">
      <alignment horizontal="right" vertical="center"/>
    </xf>
    <xf numFmtId="49" fontId="58" fillId="0" borderId="27" xfId="2" applyNumberFormat="1" applyFont="1" applyFill="1" applyBorder="1" applyAlignment="1" applyProtection="1">
      <alignment horizontal="left" vertical="center"/>
    </xf>
    <xf numFmtId="49" fontId="58" fillId="0" borderId="1" xfId="2" applyNumberFormat="1" applyFont="1" applyFill="1" applyBorder="1" applyAlignment="1" applyProtection="1">
      <alignment horizontal="left" vertical="center"/>
    </xf>
    <xf numFmtId="4" fontId="58" fillId="0" borderId="1" xfId="2" applyNumberFormat="1" applyFont="1" applyFill="1" applyBorder="1" applyAlignment="1" applyProtection="1">
      <alignment horizontal="right" vertical="center"/>
    </xf>
    <xf numFmtId="49" fontId="58" fillId="0" borderId="28" xfId="2" applyNumberFormat="1" applyFont="1" applyFill="1" applyBorder="1" applyAlignment="1" applyProtection="1">
      <alignment horizontal="right" vertical="center"/>
    </xf>
    <xf numFmtId="4" fontId="54" fillId="0" borderId="1" xfId="2" applyNumberFormat="1" applyFont="1" applyFill="1" applyBorder="1" applyAlignment="1" applyProtection="1">
      <alignment horizontal="right" vertical="center"/>
    </xf>
    <xf numFmtId="49" fontId="58" fillId="0" borderId="1" xfId="2" applyNumberFormat="1" applyFont="1" applyFill="1" applyBorder="1" applyAlignment="1" applyProtection="1">
      <alignment horizontal="right" vertical="center"/>
    </xf>
    <xf numFmtId="49" fontId="54" fillId="0" borderId="1" xfId="2" applyNumberFormat="1" applyFont="1" applyFill="1" applyBorder="1" applyAlignment="1" applyProtection="1">
      <alignment horizontal="right" vertical="center"/>
    </xf>
    <xf numFmtId="49" fontId="59" fillId="0" borderId="1" xfId="2" applyNumberFormat="1" applyFont="1" applyFill="1" applyBorder="1" applyAlignment="1" applyProtection="1">
      <alignment horizontal="right" vertical="top"/>
    </xf>
    <xf numFmtId="49" fontId="57" fillId="6" borderId="27" xfId="2" applyNumberFormat="1" applyFont="1" applyFill="1" applyBorder="1" applyAlignment="1" applyProtection="1">
      <alignment horizontal="left" vertical="center"/>
    </xf>
    <xf numFmtId="49" fontId="56" fillId="6" borderId="1" xfId="2" applyNumberFormat="1" applyFont="1" applyFill="1" applyBorder="1" applyAlignment="1" applyProtection="1">
      <alignment horizontal="left" vertical="center"/>
    </xf>
    <xf numFmtId="49" fontId="57" fillId="6" borderId="1" xfId="2" applyNumberFormat="1" applyFont="1" applyFill="1" applyBorder="1" applyAlignment="1" applyProtection="1">
      <alignment horizontal="left" vertical="center"/>
    </xf>
    <xf numFmtId="49" fontId="56" fillId="6" borderId="28" xfId="2" applyNumberFormat="1" applyFont="1" applyFill="1" applyBorder="1" applyAlignment="1" applyProtection="1">
      <alignment horizontal="right" vertical="center"/>
    </xf>
    <xf numFmtId="0" fontId="54" fillId="0" borderId="30" xfId="2" applyNumberFormat="1" applyFont="1" applyFill="1" applyBorder="1" applyAlignment="1" applyProtection="1">
      <alignment vertical="center"/>
    </xf>
    <xf numFmtId="0" fontId="54" fillId="0" borderId="29" xfId="2" applyNumberFormat="1" applyFont="1" applyFill="1" applyBorder="1" applyAlignment="1" applyProtection="1">
      <alignment vertical="center"/>
    </xf>
    <xf numFmtId="49" fontId="59" fillId="0" borderId="29" xfId="2" applyNumberFormat="1" applyFont="1" applyFill="1" applyBorder="1" applyAlignment="1" applyProtection="1">
      <alignment horizontal="right" vertical="top"/>
    </xf>
    <xf numFmtId="0" fontId="54" fillId="0" borderId="25" xfId="2" applyNumberFormat="1" applyFont="1" applyFill="1" applyBorder="1" applyAlignment="1" applyProtection="1">
      <alignment vertical="center"/>
    </xf>
    <xf numFmtId="4" fontId="55" fillId="0" borderId="25" xfId="2" applyNumberFormat="1" applyFont="1" applyFill="1" applyBorder="1" applyAlignment="1" applyProtection="1">
      <alignment horizontal="right" vertical="center"/>
    </xf>
    <xf numFmtId="49" fontId="61" fillId="0" borderId="1" xfId="2" applyNumberFormat="1" applyFont="1" applyFill="1" applyBorder="1" applyAlignment="1" applyProtection="1">
      <alignment horizontal="left" vertical="center"/>
    </xf>
    <xf numFmtId="0" fontId="63" fillId="0" borderId="1" xfId="4"/>
    <xf numFmtId="0" fontId="64" fillId="0" borderId="1" xfId="4" applyFont="1"/>
    <xf numFmtId="0" fontId="66" fillId="0" borderId="1" xfId="4" applyFont="1" applyAlignment="1"/>
    <xf numFmtId="0" fontId="66" fillId="0" borderId="1" xfId="4" applyFont="1" applyAlignment="1">
      <alignment horizontal="right"/>
    </xf>
    <xf numFmtId="0" fontId="66" fillId="0" borderId="1" xfId="4" applyFont="1" applyAlignment="1">
      <alignment horizontal="center"/>
    </xf>
    <xf numFmtId="0" fontId="66" fillId="0" borderId="1" xfId="4" applyFont="1"/>
    <xf numFmtId="1" fontId="63" fillId="0" borderId="1" xfId="4" applyNumberFormat="1"/>
    <xf numFmtId="0" fontId="63" fillId="0" borderId="1" xfId="4" applyAlignment="1">
      <alignment horizontal="right"/>
    </xf>
    <xf numFmtId="168" fontId="63" fillId="0" borderId="1" xfId="4" applyNumberFormat="1" applyAlignment="1">
      <alignment horizontal="center"/>
    </xf>
    <xf numFmtId="168" fontId="63" fillId="0" borderId="1" xfId="4" applyNumberFormat="1"/>
    <xf numFmtId="0" fontId="67" fillId="0" borderId="1" xfId="4" applyFont="1"/>
    <xf numFmtId="0" fontId="68" fillId="0" borderId="1" xfId="4" applyFont="1"/>
    <xf numFmtId="0" fontId="69" fillId="0" borderId="1" xfId="4" applyFont="1"/>
    <xf numFmtId="1" fontId="63" fillId="0" borderId="1" xfId="4" applyNumberFormat="1" applyAlignment="1">
      <alignment horizontal="right"/>
    </xf>
    <xf numFmtId="0" fontId="63" fillId="0" borderId="1" xfId="4" applyAlignment="1">
      <alignment horizontal="center"/>
    </xf>
    <xf numFmtId="0" fontId="67" fillId="0" borderId="53" xfId="4" applyFont="1" applyFill="1" applyBorder="1"/>
    <xf numFmtId="0" fontId="67" fillId="0" borderId="54" xfId="4" applyFont="1" applyFill="1" applyBorder="1"/>
    <xf numFmtId="1" fontId="67" fillId="0" borderId="54" xfId="4" applyNumberFormat="1" applyFont="1" applyFill="1" applyBorder="1" applyAlignment="1">
      <alignment horizontal="right"/>
    </xf>
    <xf numFmtId="0" fontId="67" fillId="0" borderId="54" xfId="4" applyFont="1" applyFill="1" applyBorder="1" applyAlignment="1">
      <alignment horizontal="center"/>
    </xf>
    <xf numFmtId="168" fontId="67" fillId="0" borderId="54" xfId="4" applyNumberFormat="1" applyFont="1" applyFill="1" applyBorder="1"/>
    <xf numFmtId="168" fontId="67" fillId="0" borderId="55" xfId="4" applyNumberFormat="1" applyFont="1" applyFill="1" applyBorder="1"/>
    <xf numFmtId="0" fontId="63" fillId="0" borderId="56" xfId="4" applyFill="1" applyBorder="1" applyAlignment="1">
      <alignment horizontal="center"/>
    </xf>
    <xf numFmtId="0" fontId="63" fillId="0" borderId="57" xfId="4" applyFill="1" applyBorder="1"/>
    <xf numFmtId="1" fontId="63" fillId="0" borderId="57" xfId="4" applyNumberFormat="1" applyFill="1" applyBorder="1" applyAlignment="1">
      <alignment horizontal="right"/>
    </xf>
    <xf numFmtId="0" fontId="63" fillId="0" borderId="57" xfId="4" applyFill="1" applyBorder="1" applyAlignment="1">
      <alignment horizontal="center"/>
    </xf>
    <xf numFmtId="168" fontId="63" fillId="0" borderId="57" xfId="4" applyNumberFormat="1" applyFill="1" applyBorder="1"/>
    <xf numFmtId="168" fontId="63" fillId="0" borderId="58" xfId="4" applyNumberFormat="1" applyFill="1" applyBorder="1"/>
    <xf numFmtId="1" fontId="63" fillId="0" borderId="1" xfId="4" applyNumberFormat="1" applyBorder="1"/>
    <xf numFmtId="0" fontId="63" fillId="0" borderId="1" xfId="4" applyBorder="1"/>
    <xf numFmtId="168" fontId="63" fillId="0" borderId="1" xfId="4" applyNumberFormat="1" applyBorder="1"/>
    <xf numFmtId="0" fontId="63" fillId="0" borderId="59" xfId="4" applyFill="1" applyBorder="1" applyAlignment="1">
      <alignment horizontal="center"/>
    </xf>
    <xf numFmtId="0" fontId="63" fillId="0" borderId="60" xfId="4" applyFill="1" applyBorder="1"/>
    <xf numFmtId="1" fontId="63" fillId="0" borderId="60" xfId="4" applyNumberFormat="1" applyFill="1" applyBorder="1" applyAlignment="1">
      <alignment horizontal="right"/>
    </xf>
    <xf numFmtId="0" fontId="63" fillId="0" borderId="60" xfId="4" applyFill="1" applyBorder="1" applyAlignment="1">
      <alignment horizontal="center"/>
    </xf>
    <xf numFmtId="168" fontId="63" fillId="0" borderId="60" xfId="4" applyNumberFormat="1" applyFill="1" applyBorder="1"/>
    <xf numFmtId="168" fontId="63" fillId="0" borderId="61" xfId="4" applyNumberFormat="1" applyFill="1" applyBorder="1"/>
    <xf numFmtId="0" fontId="70" fillId="0" borderId="60" xfId="4" applyFont="1" applyFill="1" applyBorder="1"/>
    <xf numFmtId="0" fontId="63" fillId="0" borderId="60" xfId="4" applyBorder="1"/>
    <xf numFmtId="1" fontId="63" fillId="0" borderId="60" xfId="4" applyNumberFormat="1" applyBorder="1" applyAlignment="1">
      <alignment horizontal="right"/>
    </xf>
    <xf numFmtId="168" fontId="63" fillId="0" borderId="60" xfId="4" applyNumberFormat="1" applyBorder="1"/>
    <xf numFmtId="0" fontId="0" fillId="0" borderId="60" xfId="3" applyFont="1" applyFill="1" applyBorder="1"/>
    <xf numFmtId="0" fontId="0" fillId="0" borderId="60" xfId="3" applyFont="1" applyFill="1" applyBorder="1" applyAlignment="1">
      <alignment horizontal="center"/>
    </xf>
    <xf numFmtId="168" fontId="0" fillId="0" borderId="60" xfId="3" applyNumberFormat="1" applyFont="1" applyFill="1" applyBorder="1"/>
    <xf numFmtId="168" fontId="0" fillId="0" borderId="61" xfId="3" applyNumberFormat="1" applyFont="1" applyFill="1" applyBorder="1"/>
    <xf numFmtId="0" fontId="63" fillId="0" borderId="60" xfId="4" applyFont="1" applyFill="1" applyBorder="1"/>
    <xf numFmtId="168" fontId="63" fillId="0" borderId="60" xfId="4" applyNumberFormat="1" applyFont="1" applyFill="1" applyBorder="1"/>
    <xf numFmtId="168" fontId="63" fillId="0" borderId="61" xfId="4" applyNumberFormat="1" applyFont="1" applyFill="1" applyBorder="1"/>
    <xf numFmtId="0" fontId="63" fillId="0" borderId="48" xfId="4" applyFill="1" applyBorder="1" applyAlignment="1">
      <alignment horizontal="center"/>
    </xf>
    <xf numFmtId="0" fontId="63" fillId="0" borderId="49" xfId="4" applyFill="1" applyBorder="1"/>
    <xf numFmtId="1" fontId="63" fillId="0" borderId="49" xfId="4" applyNumberFormat="1" applyFill="1" applyBorder="1"/>
    <xf numFmtId="0" fontId="63" fillId="0" borderId="49" xfId="4" applyFill="1" applyBorder="1" applyAlignment="1">
      <alignment horizontal="right"/>
    </xf>
    <xf numFmtId="0" fontId="63" fillId="0" borderId="49" xfId="4" applyFill="1" applyBorder="1" applyAlignment="1">
      <alignment horizontal="center"/>
    </xf>
    <xf numFmtId="168" fontId="63" fillId="0" borderId="49" xfId="4" applyNumberFormat="1" applyFill="1" applyBorder="1"/>
    <xf numFmtId="168" fontId="63" fillId="0" borderId="50" xfId="4" applyNumberFormat="1" applyFill="1" applyBorder="1"/>
    <xf numFmtId="0" fontId="63" fillId="0" borderId="62" xfId="4" applyBorder="1"/>
    <xf numFmtId="168" fontId="63" fillId="0" borderId="51" xfId="4" applyNumberFormat="1" applyBorder="1"/>
    <xf numFmtId="49" fontId="71" fillId="0" borderId="27" xfId="2" applyNumberFormat="1" applyFont="1" applyFill="1" applyBorder="1" applyAlignment="1" applyProtection="1">
      <alignment horizontal="left" vertical="center"/>
    </xf>
    <xf numFmtId="49" fontId="71" fillId="0" borderId="1" xfId="2" applyNumberFormat="1" applyFont="1" applyFill="1" applyBorder="1" applyAlignment="1" applyProtection="1">
      <alignment horizontal="left" vertical="center"/>
    </xf>
    <xf numFmtId="4" fontId="71" fillId="0" borderId="1" xfId="2" applyNumberFormat="1" applyFont="1" applyFill="1" applyBorder="1" applyAlignment="1" applyProtection="1">
      <alignment horizontal="right" vertical="center"/>
    </xf>
    <xf numFmtId="49" fontId="71" fillId="0" borderId="28" xfId="2" applyNumberFormat="1" applyFont="1" applyFill="1" applyBorder="1" applyAlignment="1" applyProtection="1">
      <alignment horizontal="right" vertical="center"/>
    </xf>
    <xf numFmtId="49" fontId="71" fillId="0" borderId="1" xfId="2" applyNumberFormat="1" applyFont="1" applyFill="1" applyBorder="1" applyAlignment="1" applyProtection="1">
      <alignment horizontal="right" vertical="center"/>
    </xf>
    <xf numFmtId="49" fontId="58" fillId="0" borderId="30" xfId="2" applyNumberFormat="1" applyFont="1" applyFill="1" applyBorder="1" applyAlignment="1" applyProtection="1">
      <alignment horizontal="left" vertical="center"/>
    </xf>
    <xf numFmtId="49" fontId="58" fillId="0" borderId="29" xfId="2" applyNumberFormat="1" applyFont="1" applyFill="1" applyBorder="1" applyAlignment="1" applyProtection="1">
      <alignment horizontal="left" vertical="center"/>
    </xf>
    <xf numFmtId="4" fontId="58" fillId="0" borderId="29" xfId="2" applyNumberFormat="1" applyFont="1" applyFill="1" applyBorder="1" applyAlignment="1" applyProtection="1">
      <alignment horizontal="right" vertical="center"/>
    </xf>
    <xf numFmtId="49" fontId="58" fillId="0" borderId="31" xfId="2" applyNumberFormat="1" applyFont="1" applyFill="1" applyBorder="1" applyAlignment="1" applyProtection="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5" borderId="8" xfId="0" applyFont="1" applyFill="1" applyBorder="1" applyAlignment="1">
      <alignment horizontal="center"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54" fillId="0" borderId="1" xfId="2" applyNumberFormat="1" applyFont="1" applyFill="1" applyBorder="1" applyAlignment="1" applyProtection="1">
      <alignment horizontal="left" vertical="center" wrapText="1"/>
    </xf>
    <xf numFmtId="0" fontId="54" fillId="0" borderId="1" xfId="2" applyNumberFormat="1" applyFont="1" applyFill="1" applyBorder="1" applyAlignment="1" applyProtection="1">
      <alignment horizontal="left" vertical="center"/>
    </xf>
    <xf numFmtId="49" fontId="56" fillId="6" borderId="1" xfId="2" applyNumberFormat="1" applyFont="1" applyFill="1" applyBorder="1" applyAlignment="1" applyProtection="1">
      <alignment horizontal="left" vertical="center"/>
    </xf>
    <xf numFmtId="0" fontId="56" fillId="6" borderId="1" xfId="2" applyNumberFormat="1" applyFont="1" applyFill="1" applyBorder="1" applyAlignment="1" applyProtection="1">
      <alignment horizontal="left" vertical="center"/>
    </xf>
    <xf numFmtId="49" fontId="58" fillId="0" borderId="1" xfId="2" applyNumberFormat="1" applyFont="1" applyFill="1" applyBorder="1" applyAlignment="1" applyProtection="1">
      <alignment horizontal="left" vertical="center"/>
    </xf>
    <xf numFmtId="0" fontId="58" fillId="0" borderId="1" xfId="2" applyNumberFormat="1" applyFont="1" applyFill="1" applyBorder="1" applyAlignment="1" applyProtection="1">
      <alignment horizontal="left" vertical="center"/>
    </xf>
    <xf numFmtId="0" fontId="60" fillId="0" borderId="1" xfId="2" applyNumberFormat="1" applyFont="1" applyFill="1" applyBorder="1" applyAlignment="1" applyProtection="1">
      <alignment horizontal="left" vertical="center" wrapText="1"/>
    </xf>
    <xf numFmtId="0" fontId="60" fillId="0" borderId="1" xfId="2" applyNumberFormat="1" applyFont="1" applyFill="1" applyBorder="1" applyAlignment="1" applyProtection="1">
      <alignment horizontal="left" vertical="center"/>
    </xf>
    <xf numFmtId="0" fontId="60" fillId="0" borderId="28" xfId="2" applyNumberFormat="1" applyFont="1" applyFill="1" applyBorder="1" applyAlignment="1" applyProtection="1">
      <alignment horizontal="left" vertical="center"/>
    </xf>
    <xf numFmtId="0" fontId="60" fillId="0" borderId="29" xfId="2" applyNumberFormat="1" applyFont="1" applyFill="1" applyBorder="1" applyAlignment="1" applyProtection="1">
      <alignment horizontal="left" vertical="center" wrapText="1"/>
    </xf>
    <xf numFmtId="0" fontId="60" fillId="0" borderId="29" xfId="2" applyNumberFormat="1" applyFont="1" applyFill="1" applyBorder="1" applyAlignment="1" applyProtection="1">
      <alignment horizontal="left" vertical="center"/>
    </xf>
    <xf numFmtId="0" fontId="60" fillId="0" borderId="31" xfId="2" applyNumberFormat="1" applyFont="1" applyFill="1" applyBorder="1" applyAlignment="1" applyProtection="1">
      <alignment horizontal="left" vertical="center"/>
    </xf>
    <xf numFmtId="49" fontId="55" fillId="0" borderId="25" xfId="2" applyNumberFormat="1" applyFont="1" applyFill="1" applyBorder="1" applyAlignment="1" applyProtection="1">
      <alignment horizontal="left" vertical="center"/>
    </xf>
    <xf numFmtId="0" fontId="55" fillId="0" borderId="25" xfId="2" applyNumberFormat="1" applyFont="1" applyFill="1" applyBorder="1" applyAlignment="1" applyProtection="1">
      <alignment horizontal="left" vertical="center"/>
    </xf>
    <xf numFmtId="49" fontId="55" fillId="0" borderId="37" xfId="2" applyNumberFormat="1" applyFont="1" applyFill="1" applyBorder="1" applyAlignment="1" applyProtection="1">
      <alignment horizontal="left" vertical="center"/>
    </xf>
    <xf numFmtId="0" fontId="55" fillId="0" borderId="38" xfId="2" applyNumberFormat="1" applyFont="1" applyFill="1" applyBorder="1" applyAlignment="1" applyProtection="1">
      <alignment horizontal="left" vertical="center"/>
    </xf>
    <xf numFmtId="49" fontId="55" fillId="0" borderId="40" xfId="2" applyNumberFormat="1" applyFont="1" applyFill="1" applyBorder="1" applyAlignment="1" applyProtection="1">
      <alignment horizontal="center" vertical="center"/>
    </xf>
    <xf numFmtId="0" fontId="55" fillId="0" borderId="41" xfId="2" applyNumberFormat="1" applyFont="1" applyFill="1" applyBorder="1" applyAlignment="1" applyProtection="1">
      <alignment horizontal="center" vertical="center"/>
    </xf>
    <xf numFmtId="0" fontId="55" fillId="0" borderId="42" xfId="2" applyNumberFormat="1" applyFont="1" applyFill="1" applyBorder="1" applyAlignment="1" applyProtection="1">
      <alignment horizontal="center" vertical="center"/>
    </xf>
    <xf numFmtId="49" fontId="55" fillId="0" borderId="32" xfId="2" applyNumberFormat="1" applyFont="1" applyFill="1" applyBorder="1" applyAlignment="1" applyProtection="1">
      <alignment horizontal="left" vertical="center"/>
    </xf>
    <xf numFmtId="0" fontId="55" fillId="0" borderId="34" xfId="2" applyNumberFormat="1" applyFont="1" applyFill="1" applyBorder="1" applyAlignment="1" applyProtection="1">
      <alignment horizontal="left" vertical="center"/>
    </xf>
    <xf numFmtId="49" fontId="56" fillId="6" borderId="52" xfId="2" applyNumberFormat="1" applyFont="1" applyFill="1" applyBorder="1" applyAlignment="1" applyProtection="1">
      <alignment horizontal="left" vertical="center"/>
    </xf>
    <xf numFmtId="0" fontId="56" fillId="6" borderId="52" xfId="2" applyNumberFormat="1" applyFont="1" applyFill="1" applyBorder="1" applyAlignment="1" applyProtection="1">
      <alignment horizontal="left" vertical="center"/>
    </xf>
    <xf numFmtId="0" fontId="54" fillId="0" borderId="27" xfId="2" applyNumberFormat="1" applyFont="1" applyFill="1" applyBorder="1" applyAlignment="1" applyProtection="1">
      <alignment horizontal="left" vertical="center" wrapText="1"/>
    </xf>
    <xf numFmtId="0" fontId="54" fillId="0" borderId="32" xfId="2" applyNumberFormat="1" applyFont="1" applyFill="1" applyBorder="1" applyAlignment="1" applyProtection="1">
      <alignment horizontal="left" vertical="center"/>
    </xf>
    <xf numFmtId="0" fontId="54" fillId="0" borderId="33" xfId="2" applyNumberFormat="1" applyFont="1" applyFill="1" applyBorder="1" applyAlignment="1" applyProtection="1">
      <alignment horizontal="left" vertical="center"/>
    </xf>
    <xf numFmtId="49" fontId="54" fillId="0" borderId="1" xfId="2" applyNumberFormat="1" applyFont="1" applyFill="1" applyBorder="1" applyAlignment="1" applyProtection="1">
      <alignment horizontal="left" vertical="center"/>
    </xf>
    <xf numFmtId="0" fontId="54" fillId="0" borderId="28" xfId="2" applyNumberFormat="1" applyFont="1" applyFill="1" applyBorder="1" applyAlignment="1" applyProtection="1">
      <alignment horizontal="left" vertical="center"/>
    </xf>
    <xf numFmtId="0" fontId="54" fillId="0" borderId="34" xfId="2" applyNumberFormat="1" applyFont="1" applyFill="1" applyBorder="1" applyAlignment="1" applyProtection="1">
      <alignment horizontal="left" vertical="center"/>
    </xf>
    <xf numFmtId="49" fontId="53" fillId="0" borderId="29" xfId="2" applyNumberFormat="1" applyFont="1" applyFill="1" applyBorder="1" applyAlignment="1" applyProtection="1">
      <alignment horizontal="center"/>
    </xf>
    <xf numFmtId="0" fontId="53" fillId="0" borderId="29" xfId="2" applyNumberFormat="1" applyFont="1" applyFill="1" applyBorder="1" applyAlignment="1" applyProtection="1">
      <alignment horizontal="center" vertical="center"/>
    </xf>
    <xf numFmtId="0" fontId="54" fillId="0" borderId="24" xfId="2" applyNumberFormat="1" applyFont="1" applyFill="1" applyBorder="1" applyAlignment="1" applyProtection="1">
      <alignment horizontal="left" vertical="center" wrapText="1"/>
    </xf>
    <xf numFmtId="0" fontId="54" fillId="0" borderId="25" xfId="2" applyNumberFormat="1" applyFont="1" applyFill="1" applyBorder="1" applyAlignment="1" applyProtection="1">
      <alignment horizontal="left" vertical="center"/>
    </xf>
    <xf numFmtId="0" fontId="54" fillId="0" borderId="27" xfId="2" applyNumberFormat="1" applyFont="1" applyFill="1" applyBorder="1" applyAlignment="1" applyProtection="1">
      <alignment horizontal="left" vertical="center"/>
    </xf>
    <xf numFmtId="0" fontId="55" fillId="0" borderId="25" xfId="2" applyNumberFormat="1" applyFont="1" applyFill="1" applyBorder="1" applyAlignment="1" applyProtection="1">
      <alignment horizontal="left" vertical="center" wrapText="1"/>
    </xf>
    <xf numFmtId="0" fontId="55" fillId="0" borderId="1" xfId="2" applyNumberFormat="1" applyFont="1" applyFill="1" applyBorder="1" applyAlignment="1" applyProtection="1">
      <alignment horizontal="left" vertical="center"/>
    </xf>
    <xf numFmtId="49" fontId="54" fillId="0" borderId="25" xfId="2" applyNumberFormat="1" applyFont="1" applyFill="1" applyBorder="1" applyAlignment="1" applyProtection="1">
      <alignment horizontal="left" vertical="center"/>
    </xf>
    <xf numFmtId="0" fontId="54" fillId="0" borderId="25" xfId="2" applyNumberFormat="1" applyFont="1" applyFill="1" applyBorder="1" applyAlignment="1" applyProtection="1">
      <alignment horizontal="left" vertical="center" wrapText="1"/>
    </xf>
    <xf numFmtId="0" fontId="54" fillId="0" borderId="26" xfId="2" applyNumberFormat="1" applyFont="1" applyFill="1" applyBorder="1" applyAlignment="1" applyProtection="1">
      <alignment horizontal="left" vertical="center"/>
    </xf>
    <xf numFmtId="49" fontId="58" fillId="0" borderId="29" xfId="2" applyNumberFormat="1" applyFont="1" applyFill="1" applyBorder="1" applyAlignment="1" applyProtection="1">
      <alignment horizontal="left" vertical="center"/>
    </xf>
    <xf numFmtId="0" fontId="58" fillId="0" borderId="29" xfId="2" applyNumberFormat="1" applyFont="1" applyFill="1" applyBorder="1" applyAlignment="1" applyProtection="1">
      <alignment horizontal="left" vertical="center"/>
    </xf>
    <xf numFmtId="49" fontId="71" fillId="0" borderId="1" xfId="2" applyNumberFormat="1" applyFont="1" applyFill="1" applyBorder="1" applyAlignment="1" applyProtection="1">
      <alignment horizontal="left" vertical="center"/>
    </xf>
    <xf numFmtId="0" fontId="71" fillId="0" borderId="1" xfId="2" applyNumberFormat="1" applyFont="1" applyFill="1" applyBorder="1" applyAlignment="1" applyProtection="1">
      <alignment horizontal="left" vertical="center"/>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5">
    <cellStyle name="Excel Built-in Normal" xfId="3"/>
    <cellStyle name="Hypertextový odkaz" xfId="1" builtinId="8"/>
    <cellStyle name="Normální" xfId="0" builtinId="0" customBuiltin="1"/>
    <cellStyle name="normální 2" xfId="4"/>
    <cellStyle name="normální 3"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725210821" TargetMode="External"/><Relationship Id="rId13" Type="http://schemas.openxmlformats.org/officeDocument/2006/relationships/hyperlink" Target="https://podminky.urs.cz/item/CS_URS_2022_02/HZS3211" TargetMode="External"/><Relationship Id="rId3" Type="http://schemas.openxmlformats.org/officeDocument/2006/relationships/hyperlink" Target="https://podminky.urs.cz/item/CS_URS_2022_02/997013501" TargetMode="External"/><Relationship Id="rId7" Type="http://schemas.openxmlformats.org/officeDocument/2006/relationships/hyperlink" Target="https://podminky.urs.cz/item/CS_URS_2022_02/725110814" TargetMode="External"/><Relationship Id="rId12" Type="http://schemas.openxmlformats.org/officeDocument/2006/relationships/hyperlink" Target="https://podminky.urs.cz/item/CS_URS_2022_02/725860811" TargetMode="External"/><Relationship Id="rId2" Type="http://schemas.openxmlformats.org/officeDocument/2006/relationships/hyperlink" Target="https://podminky.urs.cz/item/CS_URS_2022_02/997013219" TargetMode="External"/><Relationship Id="rId16" Type="http://schemas.openxmlformats.org/officeDocument/2006/relationships/drawing" Target="../drawings/drawing2.xml"/><Relationship Id="rId1" Type="http://schemas.openxmlformats.org/officeDocument/2006/relationships/hyperlink" Target="https://podminky.urs.cz/item/CS_URS_2022_02/997013213" TargetMode="External"/><Relationship Id="rId6" Type="http://schemas.openxmlformats.org/officeDocument/2006/relationships/hyperlink" Target="https://podminky.urs.cz/item/CS_URS_2022_02/721210813" TargetMode="External"/><Relationship Id="rId11" Type="http://schemas.openxmlformats.org/officeDocument/2006/relationships/hyperlink" Target="https://podminky.urs.cz/item/CS_URS_2022_02/725840850" TargetMode="External"/><Relationship Id="rId5" Type="http://schemas.openxmlformats.org/officeDocument/2006/relationships/hyperlink" Target="https://podminky.urs.cz/item/CS_URS_2022_02/997013871" TargetMode="External"/><Relationship Id="rId15" Type="http://schemas.openxmlformats.org/officeDocument/2006/relationships/printerSettings" Target="../printerSettings/printerSettings2.bin"/><Relationship Id="rId10" Type="http://schemas.openxmlformats.org/officeDocument/2006/relationships/hyperlink" Target="https://podminky.urs.cz/item/CS_URS_2022_02/725820801" TargetMode="External"/><Relationship Id="rId4" Type="http://schemas.openxmlformats.org/officeDocument/2006/relationships/hyperlink" Target="https://podminky.urs.cz/item/CS_URS_2022_02/997013509" TargetMode="External"/><Relationship Id="rId9" Type="http://schemas.openxmlformats.org/officeDocument/2006/relationships/hyperlink" Target="https://podminky.urs.cz/item/CS_URS_2022_02/725210826" TargetMode="External"/><Relationship Id="rId14" Type="http://schemas.openxmlformats.org/officeDocument/2006/relationships/hyperlink" Target="https://podminky.urs.cz/item/CS_URS_2022_02/HZS129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985121222" TargetMode="External"/><Relationship Id="rId13" Type="http://schemas.openxmlformats.org/officeDocument/2006/relationships/hyperlink" Target="https://podminky.urs.cz/item/CS_URS_2022_02/985311212" TargetMode="External"/><Relationship Id="rId18" Type="http://schemas.openxmlformats.org/officeDocument/2006/relationships/hyperlink" Target="https://podminky.urs.cz/item/CS_URS_2022_02/985321111" TargetMode="External"/><Relationship Id="rId26" Type="http://schemas.openxmlformats.org/officeDocument/2006/relationships/hyperlink" Target="https://podminky.urs.cz/item/CS_URS_2022_02/997013509" TargetMode="External"/><Relationship Id="rId3" Type="http://schemas.openxmlformats.org/officeDocument/2006/relationships/hyperlink" Target="https://podminky.urs.cz/item/CS_URS_2022_02/985112112" TargetMode="External"/><Relationship Id="rId21" Type="http://schemas.openxmlformats.org/officeDocument/2006/relationships/hyperlink" Target="https://podminky.urs.cz/item/CS_URS_2022_02/985331213" TargetMode="External"/><Relationship Id="rId7" Type="http://schemas.openxmlformats.org/officeDocument/2006/relationships/hyperlink" Target="https://podminky.urs.cz/item/CS_URS_2022_02/985121122" TargetMode="External"/><Relationship Id="rId12" Type="http://schemas.openxmlformats.org/officeDocument/2006/relationships/hyperlink" Target="https://podminky.urs.cz/item/CS_URS_2022_02/985311114" TargetMode="External"/><Relationship Id="rId17" Type="http://schemas.openxmlformats.org/officeDocument/2006/relationships/hyperlink" Target="https://podminky.urs.cz/item/CS_URS_2022_02/985312121" TargetMode="External"/><Relationship Id="rId25" Type="http://schemas.openxmlformats.org/officeDocument/2006/relationships/hyperlink" Target="https://podminky.urs.cz/item/CS_URS_2022_02/997013501" TargetMode="External"/><Relationship Id="rId2" Type="http://schemas.openxmlformats.org/officeDocument/2006/relationships/hyperlink" Target="https://podminky.urs.cz/item/CS_URS_2022_02/952901111" TargetMode="External"/><Relationship Id="rId16" Type="http://schemas.openxmlformats.org/officeDocument/2006/relationships/hyperlink" Target="https://podminky.urs.cz/item/CS_URS_2022_02/985312111" TargetMode="External"/><Relationship Id="rId20" Type="http://schemas.openxmlformats.org/officeDocument/2006/relationships/hyperlink" Target="https://podminky.urs.cz/item/CS_URS_2022_02/985324211" TargetMode="External"/><Relationship Id="rId29" Type="http://schemas.openxmlformats.org/officeDocument/2006/relationships/hyperlink" Target="https://podminky.urs.cz/item/CS_URS_2022_02/HZS1292" TargetMode="External"/><Relationship Id="rId1" Type="http://schemas.openxmlformats.org/officeDocument/2006/relationships/hyperlink" Target="https://podminky.urs.cz/item/CS_URS_2022_02/949101112" TargetMode="External"/><Relationship Id="rId6" Type="http://schemas.openxmlformats.org/officeDocument/2006/relationships/hyperlink" Target="https://podminky.urs.cz/item/CS_URS_2022_02/985112123" TargetMode="External"/><Relationship Id="rId11" Type="http://schemas.openxmlformats.org/officeDocument/2006/relationships/hyperlink" Target="https://podminky.urs.cz/item/CS_URS_2022_02/985311112" TargetMode="External"/><Relationship Id="rId24" Type="http://schemas.openxmlformats.org/officeDocument/2006/relationships/hyperlink" Target="https://podminky.urs.cz/item/CS_URS_2022_02/997013219" TargetMode="External"/><Relationship Id="rId32" Type="http://schemas.openxmlformats.org/officeDocument/2006/relationships/drawing" Target="../drawings/drawing3.xml"/><Relationship Id="rId5" Type="http://schemas.openxmlformats.org/officeDocument/2006/relationships/hyperlink" Target="https://podminky.urs.cz/item/CS_URS_2022_02/985112122" TargetMode="External"/><Relationship Id="rId15" Type="http://schemas.openxmlformats.org/officeDocument/2006/relationships/hyperlink" Target="https://podminky.urs.cz/item/CS_URS_2022_02/985311913" TargetMode="External"/><Relationship Id="rId23" Type="http://schemas.openxmlformats.org/officeDocument/2006/relationships/hyperlink" Target="https://podminky.urs.cz/item/CS_URS_2022_02/997013213" TargetMode="External"/><Relationship Id="rId28"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985132311" TargetMode="External"/><Relationship Id="rId19" Type="http://schemas.openxmlformats.org/officeDocument/2006/relationships/hyperlink" Target="https://podminky.urs.cz/item/CS_URS_2022_02/985323111" TargetMode="External"/><Relationship Id="rId31" Type="http://schemas.openxmlformats.org/officeDocument/2006/relationships/printerSettings" Target="../printerSettings/printerSettings3.bin"/><Relationship Id="rId4" Type="http://schemas.openxmlformats.org/officeDocument/2006/relationships/hyperlink" Target="https://podminky.urs.cz/item/CS_URS_2022_02/985112113" TargetMode="External"/><Relationship Id="rId9" Type="http://schemas.openxmlformats.org/officeDocument/2006/relationships/hyperlink" Target="https://podminky.urs.cz/item/CS_URS_2022_02/985131311" TargetMode="External"/><Relationship Id="rId14" Type="http://schemas.openxmlformats.org/officeDocument/2006/relationships/hyperlink" Target="https://podminky.urs.cz/item/CS_URS_2022_02/985311214" TargetMode="External"/><Relationship Id="rId22" Type="http://schemas.openxmlformats.org/officeDocument/2006/relationships/hyperlink" Target="https://podminky.urs.cz/item/CS_URS_2022_02/985331217" TargetMode="External"/><Relationship Id="rId27" Type="http://schemas.openxmlformats.org/officeDocument/2006/relationships/hyperlink" Target="https://podminky.urs.cz/item/CS_URS_2022_02/997013861" TargetMode="External"/><Relationship Id="rId30" Type="http://schemas.openxmlformats.org/officeDocument/2006/relationships/hyperlink" Target="https://podminky.urs.cz/item/CS_URS_2022_02/01151400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612335302" TargetMode="External"/><Relationship Id="rId13" Type="http://schemas.openxmlformats.org/officeDocument/2006/relationships/hyperlink" Target="https://podminky.urs.cz/item/CS_URS_2022_02/941221811" TargetMode="External"/><Relationship Id="rId18" Type="http://schemas.openxmlformats.org/officeDocument/2006/relationships/hyperlink" Target="https://podminky.urs.cz/item/CS_URS_2022_02/952901111" TargetMode="External"/><Relationship Id="rId26" Type="http://schemas.openxmlformats.org/officeDocument/2006/relationships/hyperlink" Target="https://podminky.urs.cz/item/CS_URS_2022_02/711141559" TargetMode="External"/><Relationship Id="rId3" Type="http://schemas.openxmlformats.org/officeDocument/2006/relationships/hyperlink" Target="https://podminky.urs.cz/item/CS_URS_2022_02/311272031" TargetMode="External"/><Relationship Id="rId21" Type="http://schemas.openxmlformats.org/officeDocument/2006/relationships/hyperlink" Target="https://podminky.urs.cz/item/CS_URS_2022_02/975053141" TargetMode="External"/><Relationship Id="rId34" Type="http://schemas.openxmlformats.org/officeDocument/2006/relationships/printerSettings" Target="../printerSettings/printerSettings4.bin"/><Relationship Id="rId7" Type="http://schemas.openxmlformats.org/officeDocument/2006/relationships/hyperlink" Target="https://podminky.urs.cz/item/CS_URS_2022_02/342291143" TargetMode="External"/><Relationship Id="rId12" Type="http://schemas.openxmlformats.org/officeDocument/2006/relationships/hyperlink" Target="https://podminky.urs.cz/item/CS_URS_2022_02/941221211" TargetMode="External"/><Relationship Id="rId17" Type="http://schemas.openxmlformats.org/officeDocument/2006/relationships/hyperlink" Target="https://podminky.urs.cz/item/CS_URS_2022_02/949101111" TargetMode="External"/><Relationship Id="rId25" Type="http://schemas.openxmlformats.org/officeDocument/2006/relationships/hyperlink" Target="https://podminky.urs.cz/item/CS_URS_2022_02/711112002" TargetMode="External"/><Relationship Id="rId33" Type="http://schemas.openxmlformats.org/officeDocument/2006/relationships/hyperlink" Target="https://podminky.urs.cz/item/CS_URS_2022_02/HZS1292" TargetMode="External"/><Relationship Id="rId2" Type="http://schemas.openxmlformats.org/officeDocument/2006/relationships/hyperlink" Target="https://podminky.urs.cz/item/CS_URS_2022_02/311270521" TargetMode="External"/><Relationship Id="rId16" Type="http://schemas.openxmlformats.org/officeDocument/2006/relationships/hyperlink" Target="https://podminky.urs.cz/item/CS_URS_2022_02/944511811" TargetMode="External"/><Relationship Id="rId20" Type="http://schemas.openxmlformats.org/officeDocument/2006/relationships/hyperlink" Target="https://podminky.urs.cz/item/CS_URS_2022_02/952902131" TargetMode="External"/><Relationship Id="rId29" Type="http://schemas.openxmlformats.org/officeDocument/2006/relationships/hyperlink" Target="https://podminky.urs.cz/item/CS_URS_2022_02/998711181" TargetMode="External"/><Relationship Id="rId1" Type="http://schemas.openxmlformats.org/officeDocument/2006/relationships/hyperlink" Target="https://podminky.urs.cz/item/CS_URS_2022_02/279113135" TargetMode="External"/><Relationship Id="rId6" Type="http://schemas.openxmlformats.org/officeDocument/2006/relationships/hyperlink" Target="https://podminky.urs.cz/item/CS_URS_2022_02/342291112" TargetMode="External"/><Relationship Id="rId11" Type="http://schemas.openxmlformats.org/officeDocument/2006/relationships/hyperlink" Target="https://podminky.urs.cz/item/CS_URS_2022_02/941221111" TargetMode="External"/><Relationship Id="rId24" Type="http://schemas.openxmlformats.org/officeDocument/2006/relationships/hyperlink" Target="https://podminky.urs.cz/item/CS_URS_2022_02/711111002" TargetMode="External"/><Relationship Id="rId32" Type="http://schemas.openxmlformats.org/officeDocument/2006/relationships/hyperlink" Target="https://podminky.urs.cz/item/CS_URS_2022_02/998713181" TargetMode="External"/><Relationship Id="rId5" Type="http://schemas.openxmlformats.org/officeDocument/2006/relationships/hyperlink" Target="https://podminky.urs.cz/item/CS_URS_2022_02/317941121" TargetMode="External"/><Relationship Id="rId15" Type="http://schemas.openxmlformats.org/officeDocument/2006/relationships/hyperlink" Target="https://podminky.urs.cz/item/CS_URS_2022_02/944511211" TargetMode="External"/><Relationship Id="rId23" Type="http://schemas.openxmlformats.org/officeDocument/2006/relationships/hyperlink" Target="https://podminky.urs.cz/item/CS_URS_2022_02/998018002" TargetMode="External"/><Relationship Id="rId28" Type="http://schemas.openxmlformats.org/officeDocument/2006/relationships/hyperlink" Target="https://podminky.urs.cz/item/CS_URS_2022_02/998711102" TargetMode="External"/><Relationship Id="rId10" Type="http://schemas.openxmlformats.org/officeDocument/2006/relationships/hyperlink" Target="https://podminky.urs.cz/item/CS_URS_2022_02/632450124" TargetMode="External"/><Relationship Id="rId19" Type="http://schemas.openxmlformats.org/officeDocument/2006/relationships/hyperlink" Target="https://podminky.urs.cz/item/CS_URS_2022_02/952902121" TargetMode="External"/><Relationship Id="rId31" Type="http://schemas.openxmlformats.org/officeDocument/2006/relationships/hyperlink" Target="https://podminky.urs.cz/item/CS_URS_2022_02/998713102" TargetMode="External"/><Relationship Id="rId4" Type="http://schemas.openxmlformats.org/officeDocument/2006/relationships/hyperlink" Target="https://podminky.urs.cz/item/CS_URS_2022_02/311272111" TargetMode="External"/><Relationship Id="rId9" Type="http://schemas.openxmlformats.org/officeDocument/2006/relationships/hyperlink" Target="https://podminky.urs.cz/item/CS_URS_2022_02/615142012" TargetMode="External"/><Relationship Id="rId14" Type="http://schemas.openxmlformats.org/officeDocument/2006/relationships/hyperlink" Target="https://podminky.urs.cz/item/CS_URS_2022_02/944511111" TargetMode="External"/><Relationship Id="rId22" Type="http://schemas.openxmlformats.org/officeDocument/2006/relationships/hyperlink" Target="https://podminky.urs.cz/item/CS_URS_2022_02/975058141" TargetMode="External"/><Relationship Id="rId27" Type="http://schemas.openxmlformats.org/officeDocument/2006/relationships/hyperlink" Target="https://podminky.urs.cz/item/CS_URS_2022_02/711142559" TargetMode="External"/><Relationship Id="rId30" Type="http://schemas.openxmlformats.org/officeDocument/2006/relationships/hyperlink" Target="https://podminky.urs.cz/item/CS_URS_2022_02/713131141" TargetMode="External"/><Relationship Id="rId3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2/997006007" TargetMode="External"/><Relationship Id="rId13" Type="http://schemas.openxmlformats.org/officeDocument/2006/relationships/hyperlink" Target="https://podminky.urs.cz/item/CS_URS_2022_02/997013861" TargetMode="External"/><Relationship Id="rId18" Type="http://schemas.openxmlformats.org/officeDocument/2006/relationships/hyperlink" Target="https://podminky.urs.cz/item/CS_URS_2022_02/034603000" TargetMode="External"/><Relationship Id="rId3" Type="http://schemas.openxmlformats.org/officeDocument/2006/relationships/hyperlink" Target="https://podminky.urs.cz/item/CS_URS_2022_02/975058141" TargetMode="External"/><Relationship Id="rId21" Type="http://schemas.openxmlformats.org/officeDocument/2006/relationships/drawing" Target="../drawings/drawing5.xml"/><Relationship Id="rId7" Type="http://schemas.openxmlformats.org/officeDocument/2006/relationships/hyperlink" Target="https://podminky.urs.cz/item/CS_URS_2022_02/981013715" TargetMode="External"/><Relationship Id="rId12" Type="http://schemas.openxmlformats.org/officeDocument/2006/relationships/hyperlink" Target="https://podminky.urs.cz/item/CS_URS_2022_02/997006551" TargetMode="External"/><Relationship Id="rId17" Type="http://schemas.openxmlformats.org/officeDocument/2006/relationships/hyperlink" Target="https://podminky.urs.cz/item/CS_URS_2022_02/034103000" TargetMode="External"/><Relationship Id="rId2" Type="http://schemas.openxmlformats.org/officeDocument/2006/relationships/hyperlink" Target="https://podminky.urs.cz/item/CS_URS_2022_02/975053141" TargetMode="External"/><Relationship Id="rId16" Type="http://schemas.openxmlformats.org/officeDocument/2006/relationships/hyperlink" Target="https://podminky.urs.cz/item/CS_URS_2022_02/013264000" TargetMode="External"/><Relationship Id="rId20" Type="http://schemas.openxmlformats.org/officeDocument/2006/relationships/printerSettings" Target="../printerSettings/printerSettings5.bin"/><Relationship Id="rId1" Type="http://schemas.openxmlformats.org/officeDocument/2006/relationships/hyperlink" Target="https://podminky.urs.cz/item/CS_URS_2022_02/964053111" TargetMode="External"/><Relationship Id="rId6" Type="http://schemas.openxmlformats.org/officeDocument/2006/relationships/hyperlink" Target="https://podminky.urs.cz/item/CS_URS_2022_02/977211113" TargetMode="External"/><Relationship Id="rId11" Type="http://schemas.openxmlformats.org/officeDocument/2006/relationships/hyperlink" Target="https://podminky.urs.cz/item/CS_URS_2022_02/997006519" TargetMode="External"/><Relationship Id="rId5" Type="http://schemas.openxmlformats.org/officeDocument/2006/relationships/hyperlink" Target="https://podminky.urs.cz/item/CS_URS_2022_02/977211112" TargetMode="External"/><Relationship Id="rId15"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997006512" TargetMode="External"/><Relationship Id="rId19" Type="http://schemas.openxmlformats.org/officeDocument/2006/relationships/hyperlink" Target="https://podminky.urs.cz/item/CS_URS_2022_02/072103011" TargetMode="External"/><Relationship Id="rId4" Type="http://schemas.openxmlformats.org/officeDocument/2006/relationships/hyperlink" Target="https://podminky.urs.cz/item/CS_URS_2022_02/977211111" TargetMode="External"/><Relationship Id="rId9" Type="http://schemas.openxmlformats.org/officeDocument/2006/relationships/hyperlink" Target="https://podminky.urs.cz/item/CS_URS_2022_02/997006511" TargetMode="External"/><Relationship Id="rId14" Type="http://schemas.openxmlformats.org/officeDocument/2006/relationships/hyperlink" Target="https://podminky.urs.cz/item/CS_URS_2022_02/99701387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2/941221811" TargetMode="External"/><Relationship Id="rId18" Type="http://schemas.openxmlformats.org/officeDocument/2006/relationships/hyperlink" Target="https://podminky.urs.cz/item/CS_URS_2022_02/952901111" TargetMode="External"/><Relationship Id="rId26" Type="http://schemas.openxmlformats.org/officeDocument/2006/relationships/hyperlink" Target="https://podminky.urs.cz/item/CS_URS_2022_02/968072456" TargetMode="External"/><Relationship Id="rId39" Type="http://schemas.openxmlformats.org/officeDocument/2006/relationships/hyperlink" Target="https://podminky.urs.cz/item/CS_URS_2022_02/985112132" TargetMode="External"/><Relationship Id="rId21" Type="http://schemas.openxmlformats.org/officeDocument/2006/relationships/hyperlink" Target="https://podminky.urs.cz/item/CS_URS_2022_02/962052211" TargetMode="External"/><Relationship Id="rId34" Type="http://schemas.openxmlformats.org/officeDocument/2006/relationships/hyperlink" Target="https://podminky.urs.cz/item/CS_URS_2022_02/975053141" TargetMode="External"/><Relationship Id="rId42" Type="http://schemas.openxmlformats.org/officeDocument/2006/relationships/hyperlink" Target="https://podminky.urs.cz/item/CS_URS_2022_02/985131311" TargetMode="External"/><Relationship Id="rId47" Type="http://schemas.openxmlformats.org/officeDocument/2006/relationships/hyperlink" Target="https://podminky.urs.cz/item/CS_URS_2022_02/985311314" TargetMode="External"/><Relationship Id="rId50" Type="http://schemas.openxmlformats.org/officeDocument/2006/relationships/hyperlink" Target="https://podminky.urs.cz/item/CS_URS_2022_02/985323111" TargetMode="External"/><Relationship Id="rId55" Type="http://schemas.openxmlformats.org/officeDocument/2006/relationships/hyperlink" Target="https://podminky.urs.cz/item/CS_URS_2022_02/997013509" TargetMode="External"/><Relationship Id="rId63" Type="http://schemas.openxmlformats.org/officeDocument/2006/relationships/hyperlink" Target="https://podminky.urs.cz/item/CS_URS_2022_02/712340833" TargetMode="External"/><Relationship Id="rId68" Type="http://schemas.openxmlformats.org/officeDocument/2006/relationships/hyperlink" Target="https://podminky.urs.cz/item/CS_URS_2022_02/762331813" TargetMode="External"/><Relationship Id="rId76" Type="http://schemas.openxmlformats.org/officeDocument/2006/relationships/hyperlink" Target="https://podminky.urs.cz/item/CS_URS_2022_02/HZS1292" TargetMode="External"/><Relationship Id="rId7" Type="http://schemas.openxmlformats.org/officeDocument/2006/relationships/hyperlink" Target="https://podminky.urs.cz/item/CS_URS_2022_02/349231811" TargetMode="External"/><Relationship Id="rId71" Type="http://schemas.openxmlformats.org/officeDocument/2006/relationships/hyperlink" Target="https://podminky.urs.cz/item/CS_URS_2022_02/764002841" TargetMode="External"/><Relationship Id="rId2" Type="http://schemas.openxmlformats.org/officeDocument/2006/relationships/hyperlink" Target="https://podminky.urs.cz/item/CS_URS_2022_02/311272111" TargetMode="External"/><Relationship Id="rId16" Type="http://schemas.openxmlformats.org/officeDocument/2006/relationships/hyperlink" Target="https://podminky.urs.cz/item/CS_URS_2022_02/944511811" TargetMode="External"/><Relationship Id="rId29" Type="http://schemas.openxmlformats.org/officeDocument/2006/relationships/hyperlink" Target="https://podminky.urs.cz/item/CS_URS_2022_02/968082018" TargetMode="External"/><Relationship Id="rId11" Type="http://schemas.openxmlformats.org/officeDocument/2006/relationships/hyperlink" Target="https://podminky.urs.cz/item/CS_URS_2022_02/941221111" TargetMode="External"/><Relationship Id="rId24" Type="http://schemas.openxmlformats.org/officeDocument/2006/relationships/hyperlink" Target="https://podminky.urs.cz/item/CS_URS_2022_02/968072354" TargetMode="External"/><Relationship Id="rId32" Type="http://schemas.openxmlformats.org/officeDocument/2006/relationships/hyperlink" Target="https://podminky.urs.cz/item/CS_URS_2022_02/971052651" TargetMode="External"/><Relationship Id="rId37" Type="http://schemas.openxmlformats.org/officeDocument/2006/relationships/hyperlink" Target="https://podminky.urs.cz/item/CS_URS_2022_02/985112112" TargetMode="External"/><Relationship Id="rId40" Type="http://schemas.openxmlformats.org/officeDocument/2006/relationships/hyperlink" Target="https://podminky.urs.cz/item/CS_URS_2022_02/985112133" TargetMode="External"/><Relationship Id="rId45" Type="http://schemas.openxmlformats.org/officeDocument/2006/relationships/hyperlink" Target="https://podminky.urs.cz/item/CS_URS_2022_02/985311114" TargetMode="External"/><Relationship Id="rId53" Type="http://schemas.openxmlformats.org/officeDocument/2006/relationships/hyperlink" Target="https://podminky.urs.cz/item/CS_URS_2022_02/997013219" TargetMode="External"/><Relationship Id="rId58" Type="http://schemas.openxmlformats.org/officeDocument/2006/relationships/hyperlink" Target="https://podminky.urs.cz/item/CS_URS_2022_02/997013847" TargetMode="External"/><Relationship Id="rId66" Type="http://schemas.openxmlformats.org/officeDocument/2006/relationships/hyperlink" Target="https://podminky.urs.cz/item/CS_URS_2022_02/713140814" TargetMode="External"/><Relationship Id="rId74" Type="http://schemas.openxmlformats.org/officeDocument/2006/relationships/hyperlink" Target="https://podminky.urs.cz/item/CS_URS_2022_02/767311831" TargetMode="External"/><Relationship Id="rId5" Type="http://schemas.openxmlformats.org/officeDocument/2006/relationships/hyperlink" Target="https://podminky.urs.cz/item/CS_URS_2022_02/317944321" TargetMode="External"/><Relationship Id="rId15" Type="http://schemas.openxmlformats.org/officeDocument/2006/relationships/hyperlink" Target="https://podminky.urs.cz/item/CS_URS_2022_02/944511211" TargetMode="External"/><Relationship Id="rId23" Type="http://schemas.openxmlformats.org/officeDocument/2006/relationships/hyperlink" Target="https://podminky.urs.cz/item/CS_URS_2022_02/965045113" TargetMode="External"/><Relationship Id="rId28" Type="http://schemas.openxmlformats.org/officeDocument/2006/relationships/hyperlink" Target="https://podminky.urs.cz/item/CS_URS_2022_02/968082016" TargetMode="External"/><Relationship Id="rId36" Type="http://schemas.openxmlformats.org/officeDocument/2006/relationships/hyperlink" Target="https://podminky.urs.cz/item/CS_URS_2022_02/978011191" TargetMode="External"/><Relationship Id="rId49" Type="http://schemas.openxmlformats.org/officeDocument/2006/relationships/hyperlink" Target="https://podminky.urs.cz/item/CS_URS_2022_02/985321112" TargetMode="External"/><Relationship Id="rId57" Type="http://schemas.openxmlformats.org/officeDocument/2006/relationships/hyperlink" Target="https://podminky.urs.cz/item/CS_URS_2022_02/997013814" TargetMode="External"/><Relationship Id="rId61" Type="http://schemas.openxmlformats.org/officeDocument/2006/relationships/hyperlink" Target="https://podminky.urs.cz/item/CS_URS_2022_02/997013871" TargetMode="External"/><Relationship Id="rId10" Type="http://schemas.openxmlformats.org/officeDocument/2006/relationships/hyperlink" Target="https://podminky.urs.cz/item/CS_URS_2022_02/629135102" TargetMode="External"/><Relationship Id="rId19" Type="http://schemas.openxmlformats.org/officeDocument/2006/relationships/hyperlink" Target="https://podminky.urs.cz/item/CS_URS_2022_02/961044111" TargetMode="External"/><Relationship Id="rId31" Type="http://schemas.openxmlformats.org/officeDocument/2006/relationships/hyperlink" Target="https://podminky.urs.cz/item/CS_URS_2022_02/971033641" TargetMode="External"/><Relationship Id="rId44" Type="http://schemas.openxmlformats.org/officeDocument/2006/relationships/hyperlink" Target="https://podminky.urs.cz/item/CS_URS_2022_02/985311112" TargetMode="External"/><Relationship Id="rId52" Type="http://schemas.openxmlformats.org/officeDocument/2006/relationships/hyperlink" Target="https://podminky.urs.cz/item/CS_URS_2022_02/997013213" TargetMode="External"/><Relationship Id="rId60" Type="http://schemas.openxmlformats.org/officeDocument/2006/relationships/hyperlink" Target="https://podminky.urs.cz/item/CS_URS_2022_02/997013867" TargetMode="External"/><Relationship Id="rId65" Type="http://schemas.openxmlformats.org/officeDocument/2006/relationships/hyperlink" Target="https://podminky.urs.cz/item/CS_URS_2022_02/712300845" TargetMode="External"/><Relationship Id="rId73" Type="http://schemas.openxmlformats.org/officeDocument/2006/relationships/hyperlink" Target="https://podminky.urs.cz/item/CS_URS_2022_02/764002881" TargetMode="External"/><Relationship Id="rId78" Type="http://schemas.openxmlformats.org/officeDocument/2006/relationships/drawing" Target="../drawings/drawing6.xml"/><Relationship Id="rId4" Type="http://schemas.openxmlformats.org/officeDocument/2006/relationships/hyperlink" Target="https://podminky.urs.cz/item/CS_URS_2022_02/317941121" TargetMode="External"/><Relationship Id="rId9" Type="http://schemas.openxmlformats.org/officeDocument/2006/relationships/hyperlink" Target="https://podminky.urs.cz/item/CS_URS_2022_02/615142012" TargetMode="External"/><Relationship Id="rId14" Type="http://schemas.openxmlformats.org/officeDocument/2006/relationships/hyperlink" Target="https://podminky.urs.cz/item/CS_URS_2022_02/944511111" TargetMode="External"/><Relationship Id="rId22" Type="http://schemas.openxmlformats.org/officeDocument/2006/relationships/hyperlink" Target="https://podminky.urs.cz/item/CS_URS_2022_02/963012510" TargetMode="External"/><Relationship Id="rId27" Type="http://schemas.openxmlformats.org/officeDocument/2006/relationships/hyperlink" Target="https://podminky.urs.cz/item/CS_URS_2022_02/968082015" TargetMode="External"/><Relationship Id="rId30" Type="http://schemas.openxmlformats.org/officeDocument/2006/relationships/hyperlink" Target="https://podminky.urs.cz/item/CS_URS_2022_02/971033631" TargetMode="External"/><Relationship Id="rId35" Type="http://schemas.openxmlformats.org/officeDocument/2006/relationships/hyperlink" Target="https://podminky.urs.cz/item/CS_URS_2022_02/975058141" TargetMode="External"/><Relationship Id="rId43" Type="http://schemas.openxmlformats.org/officeDocument/2006/relationships/hyperlink" Target="https://podminky.urs.cz/item/CS_URS_2022_02/985139112" TargetMode="External"/><Relationship Id="rId48" Type="http://schemas.openxmlformats.org/officeDocument/2006/relationships/hyperlink" Target="https://podminky.urs.cz/item/CS_URS_2022_02/985321111" TargetMode="External"/><Relationship Id="rId56" Type="http://schemas.openxmlformats.org/officeDocument/2006/relationships/hyperlink" Target="https://podminky.urs.cz/item/CS_URS_2022_02/997013813" TargetMode="External"/><Relationship Id="rId64" Type="http://schemas.openxmlformats.org/officeDocument/2006/relationships/hyperlink" Target="https://podminky.urs.cz/item/CS_URS_2022_02/712340834" TargetMode="External"/><Relationship Id="rId69" Type="http://schemas.openxmlformats.org/officeDocument/2006/relationships/hyperlink" Target="https://podminky.urs.cz/item/CS_URS_2022_02/762341832" TargetMode="External"/><Relationship Id="rId77" Type="http://schemas.openxmlformats.org/officeDocument/2006/relationships/printerSettings" Target="../printerSettings/printerSettings6.bin"/><Relationship Id="rId8" Type="http://schemas.openxmlformats.org/officeDocument/2006/relationships/hyperlink" Target="https://podminky.urs.cz/item/CS_URS_2022_02/612335302" TargetMode="External"/><Relationship Id="rId51" Type="http://schemas.openxmlformats.org/officeDocument/2006/relationships/hyperlink" Target="https://podminky.urs.cz/item/CS_URS_2022_02/985331213" TargetMode="External"/><Relationship Id="rId72" Type="http://schemas.openxmlformats.org/officeDocument/2006/relationships/hyperlink" Target="https://podminky.urs.cz/item/CS_URS_2022_02/764002851" TargetMode="External"/><Relationship Id="rId3" Type="http://schemas.openxmlformats.org/officeDocument/2006/relationships/hyperlink" Target="https://podminky.urs.cz/item/CS_URS_2022_02/311272211" TargetMode="External"/><Relationship Id="rId12" Type="http://schemas.openxmlformats.org/officeDocument/2006/relationships/hyperlink" Target="https://podminky.urs.cz/item/CS_URS_2022_02/941221211" TargetMode="External"/><Relationship Id="rId17" Type="http://schemas.openxmlformats.org/officeDocument/2006/relationships/hyperlink" Target="https://podminky.urs.cz/item/CS_URS_2022_02/949101112" TargetMode="External"/><Relationship Id="rId25" Type="http://schemas.openxmlformats.org/officeDocument/2006/relationships/hyperlink" Target="https://podminky.urs.cz/item/CS_URS_2022_02/968072455" TargetMode="External"/><Relationship Id="rId33" Type="http://schemas.openxmlformats.org/officeDocument/2006/relationships/hyperlink" Target="https://podminky.urs.cz/item/CS_URS_2022_02/973031335" TargetMode="External"/><Relationship Id="rId38" Type="http://schemas.openxmlformats.org/officeDocument/2006/relationships/hyperlink" Target="https://podminky.urs.cz/item/CS_URS_2022_02/985112113" TargetMode="External"/><Relationship Id="rId46" Type="http://schemas.openxmlformats.org/officeDocument/2006/relationships/hyperlink" Target="https://podminky.urs.cz/item/CS_URS_2022_02/985311312" TargetMode="External"/><Relationship Id="rId59" Type="http://schemas.openxmlformats.org/officeDocument/2006/relationships/hyperlink" Target="https://podminky.urs.cz/item/CS_URS_2022_02/997013862" TargetMode="External"/><Relationship Id="rId67" Type="http://schemas.openxmlformats.org/officeDocument/2006/relationships/hyperlink" Target="https://podminky.urs.cz/item/CS_URS_2022_02/713140823" TargetMode="External"/><Relationship Id="rId20" Type="http://schemas.openxmlformats.org/officeDocument/2006/relationships/hyperlink" Target="https://podminky.urs.cz/item/CS_URS_2022_02/962042521" TargetMode="External"/><Relationship Id="rId41" Type="http://schemas.openxmlformats.org/officeDocument/2006/relationships/hyperlink" Target="https://podminky.urs.cz/item/CS_URS_2022_02/985121122" TargetMode="External"/><Relationship Id="rId54" Type="http://schemas.openxmlformats.org/officeDocument/2006/relationships/hyperlink" Target="https://podminky.urs.cz/item/CS_URS_2022_02/997013501" TargetMode="External"/><Relationship Id="rId62" Type="http://schemas.openxmlformats.org/officeDocument/2006/relationships/hyperlink" Target="https://podminky.urs.cz/item/CS_URS_2022_02/998018002" TargetMode="External"/><Relationship Id="rId70" Type="http://schemas.openxmlformats.org/officeDocument/2006/relationships/hyperlink" Target="https://podminky.urs.cz/item/CS_URS_2022_02/764002821" TargetMode="External"/><Relationship Id="rId75" Type="http://schemas.openxmlformats.org/officeDocument/2006/relationships/hyperlink" Target="https://podminky.urs.cz/item/CS_URS_2022_02/767321810" TargetMode="External"/><Relationship Id="rId1" Type="http://schemas.openxmlformats.org/officeDocument/2006/relationships/hyperlink" Target="https://podminky.urs.cz/item/CS_URS_2022_02/311272031" TargetMode="External"/><Relationship Id="rId6" Type="http://schemas.openxmlformats.org/officeDocument/2006/relationships/hyperlink" Target="https://podminky.urs.cz/item/CS_URS_2022_02/34229114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952901111" TargetMode="External"/><Relationship Id="rId13" Type="http://schemas.openxmlformats.org/officeDocument/2006/relationships/hyperlink" Target="https://podminky.urs.cz/item/CS_URS_2022_02/977151123" TargetMode="External"/><Relationship Id="rId18" Type="http://schemas.openxmlformats.org/officeDocument/2006/relationships/hyperlink" Target="https://podminky.urs.cz/item/CS_URS_2022_02/997013871" TargetMode="External"/><Relationship Id="rId26" Type="http://schemas.openxmlformats.org/officeDocument/2006/relationships/hyperlink" Target="https://podminky.urs.cz/item/CS_URS_2022_02/998762181" TargetMode="External"/><Relationship Id="rId3" Type="http://schemas.openxmlformats.org/officeDocument/2006/relationships/hyperlink" Target="https://podminky.urs.cz/item/CS_URS_2022_02/631319185" TargetMode="External"/><Relationship Id="rId21" Type="http://schemas.openxmlformats.org/officeDocument/2006/relationships/hyperlink" Target="https://podminky.urs.cz/item/CS_URS_2022_02/712341559" TargetMode="External"/><Relationship Id="rId7" Type="http://schemas.openxmlformats.org/officeDocument/2006/relationships/hyperlink" Target="https://podminky.urs.cz/item/CS_URS_2022_02/949101111" TargetMode="External"/><Relationship Id="rId12" Type="http://schemas.openxmlformats.org/officeDocument/2006/relationships/hyperlink" Target="https://podminky.urs.cz/item/CS_URS_2022_02/977151119"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998762102" TargetMode="External"/><Relationship Id="rId2" Type="http://schemas.openxmlformats.org/officeDocument/2006/relationships/hyperlink" Target="https://podminky.urs.cz/item/CS_URS_2022_02/631319013" TargetMode="External"/><Relationship Id="rId16" Type="http://schemas.openxmlformats.org/officeDocument/2006/relationships/hyperlink" Target="https://podminky.urs.cz/item/CS_URS_2022_02/997013501" TargetMode="External"/><Relationship Id="rId20" Type="http://schemas.openxmlformats.org/officeDocument/2006/relationships/hyperlink" Target="https://podminky.urs.cz/item/CS_URS_2022_02/712311101" TargetMode="External"/><Relationship Id="rId29" Type="http://schemas.openxmlformats.org/officeDocument/2006/relationships/printerSettings" Target="../printerSettings/printerSettings7.bin"/><Relationship Id="rId1" Type="http://schemas.openxmlformats.org/officeDocument/2006/relationships/hyperlink" Target="https://podminky.urs.cz/item/CS_URS_2022_02/311272031" TargetMode="External"/><Relationship Id="rId6" Type="http://schemas.openxmlformats.org/officeDocument/2006/relationships/hyperlink" Target="https://podminky.urs.cz/item/CS_URS_2022_02/634911112" TargetMode="External"/><Relationship Id="rId11" Type="http://schemas.openxmlformats.org/officeDocument/2006/relationships/hyperlink" Target="https://podminky.urs.cz/item/CS_URS_2022_02/977151117" TargetMode="External"/><Relationship Id="rId24" Type="http://schemas.openxmlformats.org/officeDocument/2006/relationships/hyperlink" Target="https://podminky.urs.cz/item/CS_URS_2022_02/762523963" TargetMode="External"/><Relationship Id="rId5" Type="http://schemas.openxmlformats.org/officeDocument/2006/relationships/hyperlink" Target="https://podminky.urs.cz/item/CS_URS_2022_02/634661111" TargetMode="External"/><Relationship Id="rId15" Type="http://schemas.openxmlformats.org/officeDocument/2006/relationships/hyperlink" Target="https://podminky.urs.cz/item/CS_URS_2022_02/997013219" TargetMode="External"/><Relationship Id="rId23" Type="http://schemas.openxmlformats.org/officeDocument/2006/relationships/hyperlink" Target="https://podminky.urs.cz/item/CS_URS_2022_02/998712181" TargetMode="External"/><Relationship Id="rId28" Type="http://schemas.openxmlformats.org/officeDocument/2006/relationships/hyperlink" Target="https://podminky.urs.cz/item/CS_URS_2022_02/013244000" TargetMode="External"/><Relationship Id="rId10" Type="http://schemas.openxmlformats.org/officeDocument/2006/relationships/hyperlink" Target="https://podminky.urs.cz/item/CS_URS_2022_02/952902131" TargetMode="External"/><Relationship Id="rId19" Type="http://schemas.openxmlformats.org/officeDocument/2006/relationships/hyperlink" Target="https://podminky.urs.cz/item/CS_URS_2022_02/998018002" TargetMode="External"/><Relationship Id="rId4" Type="http://schemas.openxmlformats.org/officeDocument/2006/relationships/hyperlink" Target="https://podminky.urs.cz/item/CS_URS_2022_02/631342132" TargetMode="External"/><Relationship Id="rId9" Type="http://schemas.openxmlformats.org/officeDocument/2006/relationships/hyperlink" Target="https://podminky.urs.cz/item/CS_URS_2022_02/952902121" TargetMode="External"/><Relationship Id="rId14" Type="http://schemas.openxmlformats.org/officeDocument/2006/relationships/hyperlink" Target="https://podminky.urs.cz/item/CS_URS_2022_02/997013213" TargetMode="External"/><Relationship Id="rId22" Type="http://schemas.openxmlformats.org/officeDocument/2006/relationships/hyperlink" Target="https://podminky.urs.cz/item/CS_URS_2022_02/998712102" TargetMode="External"/><Relationship Id="rId27" Type="http://schemas.openxmlformats.org/officeDocument/2006/relationships/hyperlink" Target="https://podminky.urs.cz/item/CS_URS_2022_02/HZS1292" TargetMode="External"/><Relationship Id="rId30"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2/968072455" TargetMode="External"/><Relationship Id="rId13" Type="http://schemas.openxmlformats.org/officeDocument/2006/relationships/hyperlink" Target="https://podminky.urs.cz/item/CS_URS_2022_02/985131311" TargetMode="External"/><Relationship Id="rId18" Type="http://schemas.openxmlformats.org/officeDocument/2006/relationships/hyperlink" Target="https://podminky.urs.cz/item/CS_URS_2022_02/985323111" TargetMode="External"/><Relationship Id="rId26" Type="http://schemas.openxmlformats.org/officeDocument/2006/relationships/hyperlink" Target="https://podminky.urs.cz/item/CS_URS_2022_02/998018002" TargetMode="External"/><Relationship Id="rId3" Type="http://schemas.openxmlformats.org/officeDocument/2006/relationships/hyperlink" Target="https://podminky.urs.cz/item/CS_URS_2022_02/962031133" TargetMode="External"/><Relationship Id="rId21" Type="http://schemas.openxmlformats.org/officeDocument/2006/relationships/hyperlink" Target="https://podminky.urs.cz/item/CS_URS_2022_02/997013213" TargetMode="External"/><Relationship Id="rId7" Type="http://schemas.openxmlformats.org/officeDocument/2006/relationships/hyperlink" Target="https://podminky.urs.cz/item/CS_URS_2022_02/965081223" TargetMode="External"/><Relationship Id="rId12" Type="http://schemas.openxmlformats.org/officeDocument/2006/relationships/hyperlink" Target="https://podminky.urs.cz/item/CS_URS_2022_02/985121122" TargetMode="External"/><Relationship Id="rId17" Type="http://schemas.openxmlformats.org/officeDocument/2006/relationships/hyperlink" Target="https://podminky.urs.cz/item/CS_URS_2022_02/985321112" TargetMode="External"/><Relationship Id="rId25" Type="http://schemas.openxmlformats.org/officeDocument/2006/relationships/hyperlink" Target="https://podminky.urs.cz/item/CS_URS_2022_02/997013871" TargetMode="External"/><Relationship Id="rId2" Type="http://schemas.openxmlformats.org/officeDocument/2006/relationships/hyperlink" Target="https://podminky.urs.cz/item/CS_URS_2022_02/952901111" TargetMode="External"/><Relationship Id="rId16" Type="http://schemas.openxmlformats.org/officeDocument/2006/relationships/hyperlink" Target="https://podminky.urs.cz/item/CS_URS_2022_02/985312131" TargetMode="External"/><Relationship Id="rId20" Type="http://schemas.openxmlformats.org/officeDocument/2006/relationships/hyperlink" Target="https://podminky.urs.cz/item/CS_URS_2022_02/985331217" TargetMode="External"/><Relationship Id="rId29" Type="http://schemas.openxmlformats.org/officeDocument/2006/relationships/printerSettings" Target="../printerSettings/printerSettings8.bin"/><Relationship Id="rId1" Type="http://schemas.openxmlformats.org/officeDocument/2006/relationships/hyperlink" Target="https://podminky.urs.cz/item/CS_URS_2022_02/949101111" TargetMode="External"/><Relationship Id="rId6" Type="http://schemas.openxmlformats.org/officeDocument/2006/relationships/hyperlink" Target="https://podminky.urs.cz/item/CS_URS_2022_02/965049111" TargetMode="External"/><Relationship Id="rId11" Type="http://schemas.openxmlformats.org/officeDocument/2006/relationships/hyperlink" Target="https://podminky.urs.cz/item/CS_URS_2022_02/985112133" TargetMode="External"/><Relationship Id="rId24" Type="http://schemas.openxmlformats.org/officeDocument/2006/relationships/hyperlink" Target="https://podminky.urs.cz/item/CS_URS_2022_02/997013509" TargetMode="External"/><Relationship Id="rId5" Type="http://schemas.openxmlformats.org/officeDocument/2006/relationships/hyperlink" Target="https://podminky.urs.cz/item/CS_URS_2022_02/965042141" TargetMode="External"/><Relationship Id="rId15" Type="http://schemas.openxmlformats.org/officeDocument/2006/relationships/hyperlink" Target="https://podminky.urs.cz/item/CS_URS_2022_02/985311314" TargetMode="External"/><Relationship Id="rId23" Type="http://schemas.openxmlformats.org/officeDocument/2006/relationships/hyperlink" Target="https://podminky.urs.cz/item/CS_URS_2022_02/997013501" TargetMode="External"/><Relationship Id="rId28" Type="http://schemas.openxmlformats.org/officeDocument/2006/relationships/hyperlink" Target="https://podminky.urs.cz/item/CS_URS_2022_02/HZS1292" TargetMode="External"/><Relationship Id="rId10" Type="http://schemas.openxmlformats.org/officeDocument/2006/relationships/hyperlink" Target="https://podminky.urs.cz/item/CS_URS_2022_02/985112132" TargetMode="External"/><Relationship Id="rId19" Type="http://schemas.openxmlformats.org/officeDocument/2006/relationships/hyperlink" Target="https://podminky.urs.cz/item/CS_URS_2022_02/985331213" TargetMode="External"/><Relationship Id="rId4" Type="http://schemas.openxmlformats.org/officeDocument/2006/relationships/hyperlink" Target="https://podminky.urs.cz/item/CS_URS_2022_02/962084121" TargetMode="External"/><Relationship Id="rId9" Type="http://schemas.openxmlformats.org/officeDocument/2006/relationships/hyperlink" Target="https://podminky.urs.cz/item/CS_URS_2022_02/978013191" TargetMode="External"/><Relationship Id="rId14" Type="http://schemas.openxmlformats.org/officeDocument/2006/relationships/hyperlink" Target="https://podminky.urs.cz/item/CS_URS_2022_02/985311312" TargetMode="External"/><Relationship Id="rId22" Type="http://schemas.openxmlformats.org/officeDocument/2006/relationships/hyperlink" Target="https://podminky.urs.cz/item/CS_URS_2022_02/997013219" TargetMode="External"/><Relationship Id="rId27" Type="http://schemas.openxmlformats.org/officeDocument/2006/relationships/hyperlink" Target="https://podminky.urs.cz/item/CS_URS_2022_02/766691914" TargetMode="External"/><Relationship Id="rId30"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963051113" TargetMode="External"/><Relationship Id="rId13" Type="http://schemas.openxmlformats.org/officeDocument/2006/relationships/hyperlink" Target="https://podminky.urs.cz/item/CS_URS_2022_02/997013219" TargetMode="External"/><Relationship Id="rId18" Type="http://schemas.openxmlformats.org/officeDocument/2006/relationships/hyperlink" Target="https://podminky.urs.cz/item/CS_URS_2022_02/767995116" TargetMode="External"/><Relationship Id="rId26" Type="http://schemas.openxmlformats.org/officeDocument/2006/relationships/printerSettings" Target="../printerSettings/printerSettings9.bin"/><Relationship Id="rId3" Type="http://schemas.openxmlformats.org/officeDocument/2006/relationships/hyperlink" Target="https://podminky.urs.cz/item/CS_URS_2022_02/411354313" TargetMode="External"/><Relationship Id="rId21" Type="http://schemas.openxmlformats.org/officeDocument/2006/relationships/hyperlink" Target="https://podminky.urs.cz/item/CS_URS_2022_02/783301303" TargetMode="External"/><Relationship Id="rId7" Type="http://schemas.openxmlformats.org/officeDocument/2006/relationships/hyperlink" Target="https://podminky.urs.cz/item/CS_URS_2022_02/962031133" TargetMode="External"/><Relationship Id="rId12" Type="http://schemas.openxmlformats.org/officeDocument/2006/relationships/hyperlink" Target="https://podminky.urs.cz/item/CS_URS_2022_02/997013213" TargetMode="External"/><Relationship Id="rId17" Type="http://schemas.openxmlformats.org/officeDocument/2006/relationships/hyperlink" Target="https://podminky.urs.cz/item/CS_URS_2022_02/998018002" TargetMode="External"/><Relationship Id="rId25" Type="http://schemas.openxmlformats.org/officeDocument/2006/relationships/hyperlink" Target="https://podminky.urs.cz/item/CS_URS_2022_02/HZS1292" TargetMode="External"/><Relationship Id="rId2" Type="http://schemas.openxmlformats.org/officeDocument/2006/relationships/hyperlink" Target="https://podminky.urs.cz/item/CS_URS_2022_02/411351012" TargetMode="External"/><Relationship Id="rId16" Type="http://schemas.openxmlformats.org/officeDocument/2006/relationships/hyperlink" Target="https://podminky.urs.cz/item/CS_URS_2022_02/997013871" TargetMode="External"/><Relationship Id="rId20" Type="http://schemas.openxmlformats.org/officeDocument/2006/relationships/hyperlink" Target="https://podminky.urs.cz/item/CS_URS_2022_02/998767181" TargetMode="External"/><Relationship Id="rId1" Type="http://schemas.openxmlformats.org/officeDocument/2006/relationships/hyperlink" Target="https://podminky.urs.cz/item/CS_URS_2022_02/411351011" TargetMode="External"/><Relationship Id="rId6"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977211112" TargetMode="External"/><Relationship Id="rId24" Type="http://schemas.openxmlformats.org/officeDocument/2006/relationships/hyperlink" Target="https://podminky.urs.cz/item/CS_URS_2022_02/783314203" TargetMode="External"/><Relationship Id="rId5" Type="http://schemas.openxmlformats.org/officeDocument/2006/relationships/hyperlink" Target="https://podminky.urs.cz/item/CS_URS_2022_02/949101111" TargetMode="External"/><Relationship Id="rId15" Type="http://schemas.openxmlformats.org/officeDocument/2006/relationships/hyperlink" Target="https://podminky.urs.cz/item/CS_URS_2022_02/997013509" TargetMode="External"/><Relationship Id="rId23" Type="http://schemas.openxmlformats.org/officeDocument/2006/relationships/hyperlink" Target="https://podminky.urs.cz/item/CS_URS_2022_02/783301401" TargetMode="External"/><Relationship Id="rId10" Type="http://schemas.openxmlformats.org/officeDocument/2006/relationships/hyperlink" Target="https://podminky.urs.cz/item/CS_URS_2022_02/975058141" TargetMode="External"/><Relationship Id="rId19" Type="http://schemas.openxmlformats.org/officeDocument/2006/relationships/hyperlink" Target="https://podminky.urs.cz/item/CS_URS_2022_02/998767102" TargetMode="External"/><Relationship Id="rId4" Type="http://schemas.openxmlformats.org/officeDocument/2006/relationships/hyperlink" Target="https://podminky.urs.cz/item/CS_URS_2022_02/411354314" TargetMode="External"/><Relationship Id="rId9" Type="http://schemas.openxmlformats.org/officeDocument/2006/relationships/hyperlink" Target="https://podminky.urs.cz/item/CS_URS_2022_02/975053141" TargetMode="External"/><Relationship Id="rId14" Type="http://schemas.openxmlformats.org/officeDocument/2006/relationships/hyperlink" Target="https://podminky.urs.cz/item/CS_URS_2022_02/997013501" TargetMode="External"/><Relationship Id="rId22" Type="http://schemas.openxmlformats.org/officeDocument/2006/relationships/hyperlink" Target="https://podminky.urs.cz/item/CS_URS_2022_02/783301313" TargetMode="External"/><Relationship Id="rId2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2_02/631319221" TargetMode="External"/><Relationship Id="rId13" Type="http://schemas.openxmlformats.org/officeDocument/2006/relationships/hyperlink" Target="https://podminky.urs.cz/item/CS_URS_2022_02/642945112" TargetMode="External"/><Relationship Id="rId18" Type="http://schemas.openxmlformats.org/officeDocument/2006/relationships/printerSettings" Target="../printerSettings/printerSettings10.bin"/><Relationship Id="rId3" Type="http://schemas.openxmlformats.org/officeDocument/2006/relationships/hyperlink" Target="https://podminky.urs.cz/item/CS_URS_2022_02/317142412" TargetMode="External"/><Relationship Id="rId7" Type="http://schemas.openxmlformats.org/officeDocument/2006/relationships/hyperlink" Target="https://podminky.urs.cz/item/CS_URS_2022_02/342272245" TargetMode="External"/><Relationship Id="rId12" Type="http://schemas.openxmlformats.org/officeDocument/2006/relationships/hyperlink" Target="https://podminky.urs.cz/item/CS_URS_2022_02/642945111" TargetMode="External"/><Relationship Id="rId17" Type="http://schemas.openxmlformats.org/officeDocument/2006/relationships/hyperlink" Target="https://podminky.urs.cz/item/CS_URS_2022_02/HZS1292" TargetMode="External"/><Relationship Id="rId2" Type="http://schemas.openxmlformats.org/officeDocument/2006/relationships/hyperlink" Target="https://podminky.urs.cz/item/CS_URS_2022_02/317142410" TargetMode="External"/><Relationship Id="rId16" Type="http://schemas.openxmlformats.org/officeDocument/2006/relationships/hyperlink" Target="https://podminky.urs.cz/item/CS_URS_2022_02/998018002" TargetMode="External"/><Relationship Id="rId1" Type="http://schemas.openxmlformats.org/officeDocument/2006/relationships/hyperlink" Target="https://podminky.urs.cz/item/CS_URS_2022_02/311272227" TargetMode="External"/><Relationship Id="rId6" Type="http://schemas.openxmlformats.org/officeDocument/2006/relationships/hyperlink" Target="https://podminky.urs.cz/item/CS_URS_2022_02/342272215" TargetMode="External"/><Relationship Id="rId11" Type="http://schemas.openxmlformats.org/officeDocument/2006/relationships/hyperlink" Target="https://podminky.urs.cz/item/CS_URS_2022_02/642942611" TargetMode="External"/><Relationship Id="rId5" Type="http://schemas.openxmlformats.org/officeDocument/2006/relationships/hyperlink" Target="https://podminky.urs.cz/item/CS_URS_2022_02/317143453" TargetMode="External"/><Relationship Id="rId15" Type="http://schemas.openxmlformats.org/officeDocument/2006/relationships/hyperlink" Target="https://podminky.urs.cz/item/CS_URS_2022_02/952901111" TargetMode="External"/><Relationship Id="rId10" Type="http://schemas.openxmlformats.org/officeDocument/2006/relationships/hyperlink" Target="https://podminky.urs.cz/item/CS_URS_2022_02/634112113" TargetMode="External"/><Relationship Id="rId19" Type="http://schemas.openxmlformats.org/officeDocument/2006/relationships/drawing" Target="../drawings/drawing10.xml"/><Relationship Id="rId4" Type="http://schemas.openxmlformats.org/officeDocument/2006/relationships/hyperlink" Target="https://podminky.urs.cz/item/CS_URS_2022_02/317142442" TargetMode="External"/><Relationship Id="rId9" Type="http://schemas.openxmlformats.org/officeDocument/2006/relationships/hyperlink" Target="https://podminky.urs.cz/item/CS_URS_2022_02/632451107" TargetMode="External"/><Relationship Id="rId14" Type="http://schemas.openxmlformats.org/officeDocument/2006/relationships/hyperlink" Target="https://podminky.urs.cz/item/CS_URS_2022_02/9491011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2_02/962032241" TargetMode="External"/><Relationship Id="rId13" Type="http://schemas.openxmlformats.org/officeDocument/2006/relationships/hyperlink" Target="https://podminky.urs.cz/item/CS_URS_2022_02/968072455" TargetMode="External"/><Relationship Id="rId18" Type="http://schemas.openxmlformats.org/officeDocument/2006/relationships/hyperlink" Target="https://podminky.urs.cz/item/CS_URS_2022_02/978013191" TargetMode="External"/><Relationship Id="rId26" Type="http://schemas.openxmlformats.org/officeDocument/2006/relationships/hyperlink" Target="https://podminky.urs.cz/item/CS_URS_2022_02/985321112" TargetMode="External"/><Relationship Id="rId39" Type="http://schemas.openxmlformats.org/officeDocument/2006/relationships/printerSettings" Target="../printerSettings/printerSettings11.bin"/><Relationship Id="rId3" Type="http://schemas.openxmlformats.org/officeDocument/2006/relationships/hyperlink" Target="https://podminky.urs.cz/item/CS_URS_2022_02/411354313" TargetMode="External"/><Relationship Id="rId21" Type="http://schemas.openxmlformats.org/officeDocument/2006/relationships/hyperlink" Target="https://podminky.urs.cz/item/CS_URS_2022_02/985121122" TargetMode="External"/><Relationship Id="rId34" Type="http://schemas.openxmlformats.org/officeDocument/2006/relationships/hyperlink" Target="https://podminky.urs.cz/item/CS_URS_2022_02/997013871" TargetMode="External"/><Relationship Id="rId7" Type="http://schemas.openxmlformats.org/officeDocument/2006/relationships/hyperlink" Target="https://podminky.urs.cz/item/CS_URS_2022_02/962031133" TargetMode="External"/><Relationship Id="rId12" Type="http://schemas.openxmlformats.org/officeDocument/2006/relationships/hyperlink" Target="https://podminky.urs.cz/item/CS_URS_2022_02/965081223" TargetMode="External"/><Relationship Id="rId17" Type="http://schemas.openxmlformats.org/officeDocument/2006/relationships/hyperlink" Target="https://podminky.urs.cz/item/CS_URS_2022_02/977211112" TargetMode="External"/><Relationship Id="rId25" Type="http://schemas.openxmlformats.org/officeDocument/2006/relationships/hyperlink" Target="https://podminky.urs.cz/item/CS_URS_2022_02/985312131" TargetMode="External"/><Relationship Id="rId33" Type="http://schemas.openxmlformats.org/officeDocument/2006/relationships/hyperlink" Target="https://podminky.urs.cz/item/CS_URS_2022_02/997013509" TargetMode="External"/><Relationship Id="rId38" Type="http://schemas.openxmlformats.org/officeDocument/2006/relationships/hyperlink" Target="https://podminky.urs.cz/item/CS_URS_2022_02/HZS1292" TargetMode="External"/><Relationship Id="rId2" Type="http://schemas.openxmlformats.org/officeDocument/2006/relationships/hyperlink" Target="https://podminky.urs.cz/item/CS_URS_2022_02/411351012" TargetMode="External"/><Relationship Id="rId16" Type="http://schemas.openxmlformats.org/officeDocument/2006/relationships/hyperlink" Target="https://podminky.urs.cz/item/CS_URS_2022_02/968082022" TargetMode="External"/><Relationship Id="rId20" Type="http://schemas.openxmlformats.org/officeDocument/2006/relationships/hyperlink" Target="https://podminky.urs.cz/item/CS_URS_2022_02/985112133" TargetMode="External"/><Relationship Id="rId29" Type="http://schemas.openxmlformats.org/officeDocument/2006/relationships/hyperlink" Target="https://podminky.urs.cz/item/CS_URS_2022_02/985331217" TargetMode="External"/><Relationship Id="rId1" Type="http://schemas.openxmlformats.org/officeDocument/2006/relationships/hyperlink" Target="https://podminky.urs.cz/item/CS_URS_2022_02/411351011" TargetMode="External"/><Relationship Id="rId6"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965049111" TargetMode="External"/><Relationship Id="rId24" Type="http://schemas.openxmlformats.org/officeDocument/2006/relationships/hyperlink" Target="https://podminky.urs.cz/item/CS_URS_2022_02/985311314" TargetMode="External"/><Relationship Id="rId32" Type="http://schemas.openxmlformats.org/officeDocument/2006/relationships/hyperlink" Target="https://podminky.urs.cz/item/CS_URS_2022_02/997013501" TargetMode="External"/><Relationship Id="rId37" Type="http://schemas.openxmlformats.org/officeDocument/2006/relationships/hyperlink" Target="https://podminky.urs.cz/item/CS_URS_2022_02/766691915" TargetMode="External"/><Relationship Id="rId40" Type="http://schemas.openxmlformats.org/officeDocument/2006/relationships/drawing" Target="../drawings/drawing11.xml"/><Relationship Id="rId5" Type="http://schemas.openxmlformats.org/officeDocument/2006/relationships/hyperlink" Target="https://podminky.urs.cz/item/CS_URS_2022_02/949101111" TargetMode="External"/><Relationship Id="rId15" Type="http://schemas.openxmlformats.org/officeDocument/2006/relationships/hyperlink" Target="https://podminky.urs.cz/item/CS_URS_2022_02/968082015" TargetMode="External"/><Relationship Id="rId23" Type="http://schemas.openxmlformats.org/officeDocument/2006/relationships/hyperlink" Target="https://podminky.urs.cz/item/CS_URS_2022_02/985311312" TargetMode="External"/><Relationship Id="rId28" Type="http://schemas.openxmlformats.org/officeDocument/2006/relationships/hyperlink" Target="https://podminky.urs.cz/item/CS_URS_2022_02/985331213" TargetMode="External"/><Relationship Id="rId36" Type="http://schemas.openxmlformats.org/officeDocument/2006/relationships/hyperlink" Target="https://podminky.urs.cz/item/CS_URS_2022_02/766691914" TargetMode="External"/><Relationship Id="rId10" Type="http://schemas.openxmlformats.org/officeDocument/2006/relationships/hyperlink" Target="https://podminky.urs.cz/item/CS_URS_2022_02/965042141" TargetMode="External"/><Relationship Id="rId19" Type="http://schemas.openxmlformats.org/officeDocument/2006/relationships/hyperlink" Target="https://podminky.urs.cz/item/CS_URS_2022_02/985112132" TargetMode="External"/><Relationship Id="rId31" Type="http://schemas.openxmlformats.org/officeDocument/2006/relationships/hyperlink" Target="https://podminky.urs.cz/item/CS_URS_2022_02/997013219" TargetMode="External"/><Relationship Id="rId4" Type="http://schemas.openxmlformats.org/officeDocument/2006/relationships/hyperlink" Target="https://podminky.urs.cz/item/CS_URS_2022_02/411354314" TargetMode="External"/><Relationship Id="rId9" Type="http://schemas.openxmlformats.org/officeDocument/2006/relationships/hyperlink" Target="https://podminky.urs.cz/item/CS_URS_2022_02/963051113" TargetMode="External"/><Relationship Id="rId14" Type="http://schemas.openxmlformats.org/officeDocument/2006/relationships/hyperlink" Target="https://podminky.urs.cz/item/CS_URS_2022_02/968072456" TargetMode="External"/><Relationship Id="rId22" Type="http://schemas.openxmlformats.org/officeDocument/2006/relationships/hyperlink" Target="https://podminky.urs.cz/item/CS_URS_2022_02/985131311" TargetMode="External"/><Relationship Id="rId27" Type="http://schemas.openxmlformats.org/officeDocument/2006/relationships/hyperlink" Target="https://podminky.urs.cz/item/CS_URS_2022_02/985323111" TargetMode="External"/><Relationship Id="rId30" Type="http://schemas.openxmlformats.org/officeDocument/2006/relationships/hyperlink" Target="https://podminky.urs.cz/item/CS_URS_2022_02/997013213" TargetMode="External"/><Relationship Id="rId35" Type="http://schemas.openxmlformats.org/officeDocument/2006/relationships/hyperlink" Target="https://podminky.urs.cz/item/CS_URS_2022_02/998018002"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2_02/411362021" TargetMode="External"/><Relationship Id="rId18" Type="http://schemas.openxmlformats.org/officeDocument/2006/relationships/hyperlink" Target="https://podminky.urs.cz/item/CS_URS_2022_02/431351122" TargetMode="External"/><Relationship Id="rId26" Type="http://schemas.openxmlformats.org/officeDocument/2006/relationships/hyperlink" Target="https://podminky.urs.cz/item/CS_URS_2022_02/642942611" TargetMode="External"/><Relationship Id="rId39" Type="http://schemas.openxmlformats.org/officeDocument/2006/relationships/hyperlink" Target="https://podminky.urs.cz/item/CS_URS_2022_02/997013871" TargetMode="External"/><Relationship Id="rId3" Type="http://schemas.openxmlformats.org/officeDocument/2006/relationships/hyperlink" Target="https://podminky.urs.cz/item/CS_URS_2022_02/317142442" TargetMode="External"/><Relationship Id="rId21" Type="http://schemas.openxmlformats.org/officeDocument/2006/relationships/hyperlink" Target="https://podminky.urs.cz/item/CS_URS_2022_02/434351141" TargetMode="External"/><Relationship Id="rId34" Type="http://schemas.openxmlformats.org/officeDocument/2006/relationships/hyperlink" Target="https://podminky.urs.cz/item/CS_URS_2022_02/974042564" TargetMode="External"/><Relationship Id="rId42" Type="http://schemas.openxmlformats.org/officeDocument/2006/relationships/hyperlink" Target="https://podminky.urs.cz/item/CS_URS_2022_02/998711102" TargetMode="External"/><Relationship Id="rId47" Type="http://schemas.openxmlformats.org/officeDocument/2006/relationships/hyperlink" Target="https://podminky.urs.cz/item/CS_URS_2022_02/HZS1292" TargetMode="External"/><Relationship Id="rId7" Type="http://schemas.openxmlformats.org/officeDocument/2006/relationships/hyperlink" Target="https://podminky.urs.cz/item/CS_URS_2022_02/342272245" TargetMode="External"/><Relationship Id="rId12" Type="http://schemas.openxmlformats.org/officeDocument/2006/relationships/hyperlink" Target="https://podminky.urs.cz/item/CS_URS_2022_02/411354312" TargetMode="External"/><Relationship Id="rId17" Type="http://schemas.openxmlformats.org/officeDocument/2006/relationships/hyperlink" Target="https://podminky.urs.cz/item/CS_URS_2022_02/431351121" TargetMode="External"/><Relationship Id="rId25" Type="http://schemas.openxmlformats.org/officeDocument/2006/relationships/hyperlink" Target="https://podminky.urs.cz/item/CS_URS_2022_02/634112113" TargetMode="External"/><Relationship Id="rId33" Type="http://schemas.openxmlformats.org/officeDocument/2006/relationships/hyperlink" Target="https://podminky.urs.cz/item/CS_URS_2022_02/953965122" TargetMode="External"/><Relationship Id="rId38" Type="http://schemas.openxmlformats.org/officeDocument/2006/relationships/hyperlink" Target="https://podminky.urs.cz/item/CS_URS_2022_02/997013509" TargetMode="External"/><Relationship Id="rId46" Type="http://schemas.openxmlformats.org/officeDocument/2006/relationships/hyperlink" Target="https://podminky.urs.cz/item/CS_URS_2022_02/998767181" TargetMode="External"/><Relationship Id="rId2" Type="http://schemas.openxmlformats.org/officeDocument/2006/relationships/hyperlink" Target="https://podminky.urs.cz/item/CS_URS_2022_02/317142412" TargetMode="External"/><Relationship Id="rId16" Type="http://schemas.openxmlformats.org/officeDocument/2006/relationships/hyperlink" Target="https://podminky.urs.cz/item/CS_URS_2022_02/430362021" TargetMode="External"/><Relationship Id="rId20" Type="http://schemas.openxmlformats.org/officeDocument/2006/relationships/hyperlink" Target="https://podminky.urs.cz/item/CS_URS_2022_02/431351129" TargetMode="External"/><Relationship Id="rId29" Type="http://schemas.openxmlformats.org/officeDocument/2006/relationships/hyperlink" Target="https://podminky.urs.cz/item/CS_URS_2022_02/642945112" TargetMode="External"/><Relationship Id="rId41" Type="http://schemas.openxmlformats.org/officeDocument/2006/relationships/hyperlink" Target="https://podminky.urs.cz/item/CS_URS_2022_02/711141559" TargetMode="External"/><Relationship Id="rId1" Type="http://schemas.openxmlformats.org/officeDocument/2006/relationships/hyperlink" Target="https://podminky.urs.cz/item/CS_URS_2022_02/311272227" TargetMode="External"/><Relationship Id="rId6" Type="http://schemas.openxmlformats.org/officeDocument/2006/relationships/hyperlink" Target="https://podminky.urs.cz/item/CS_URS_2022_02/342272215" TargetMode="External"/><Relationship Id="rId11" Type="http://schemas.openxmlformats.org/officeDocument/2006/relationships/hyperlink" Target="https://podminky.urs.cz/item/CS_URS_2022_02/411354311" TargetMode="External"/><Relationship Id="rId24" Type="http://schemas.openxmlformats.org/officeDocument/2006/relationships/hyperlink" Target="https://podminky.urs.cz/item/CS_URS_2022_02/632451107" TargetMode="External"/><Relationship Id="rId32" Type="http://schemas.openxmlformats.org/officeDocument/2006/relationships/hyperlink" Target="https://podminky.urs.cz/item/CS_URS_2022_02/953961213" TargetMode="External"/><Relationship Id="rId37" Type="http://schemas.openxmlformats.org/officeDocument/2006/relationships/hyperlink" Target="https://podminky.urs.cz/item/CS_URS_2022_02/997013501" TargetMode="External"/><Relationship Id="rId40" Type="http://schemas.openxmlformats.org/officeDocument/2006/relationships/hyperlink" Target="https://podminky.urs.cz/item/CS_URS_2022_02/998018002" TargetMode="External"/><Relationship Id="rId45" Type="http://schemas.openxmlformats.org/officeDocument/2006/relationships/hyperlink" Target="https://podminky.urs.cz/item/CS_URS_2022_02/998767102" TargetMode="External"/><Relationship Id="rId5" Type="http://schemas.openxmlformats.org/officeDocument/2006/relationships/hyperlink" Target="https://podminky.urs.cz/item/CS_URS_2022_02/342271531" TargetMode="External"/><Relationship Id="rId15" Type="http://schemas.openxmlformats.org/officeDocument/2006/relationships/hyperlink" Target="https://podminky.urs.cz/item/CS_URS_2022_02/430361821" TargetMode="External"/><Relationship Id="rId23" Type="http://schemas.openxmlformats.org/officeDocument/2006/relationships/hyperlink" Target="https://podminky.urs.cz/item/CS_URS_2022_02/631319221" TargetMode="External"/><Relationship Id="rId28" Type="http://schemas.openxmlformats.org/officeDocument/2006/relationships/hyperlink" Target="https://podminky.urs.cz/item/CS_URS_2022_02/642945111" TargetMode="External"/><Relationship Id="rId36" Type="http://schemas.openxmlformats.org/officeDocument/2006/relationships/hyperlink" Target="https://podminky.urs.cz/item/CS_URS_2022_02/997013219" TargetMode="External"/><Relationship Id="rId49" Type="http://schemas.openxmlformats.org/officeDocument/2006/relationships/drawing" Target="../drawings/drawing12.xml"/><Relationship Id="rId10" Type="http://schemas.openxmlformats.org/officeDocument/2006/relationships/hyperlink" Target="https://podminky.urs.cz/item/CS_URS_2022_02/411351012" TargetMode="External"/><Relationship Id="rId19" Type="http://schemas.openxmlformats.org/officeDocument/2006/relationships/hyperlink" Target="https://podminky.urs.cz/item/CS_URS_2022_02/431351128" TargetMode="External"/><Relationship Id="rId31" Type="http://schemas.openxmlformats.org/officeDocument/2006/relationships/hyperlink" Target="https://podminky.urs.cz/item/CS_URS_2022_02/952901111" TargetMode="External"/><Relationship Id="rId44" Type="http://schemas.openxmlformats.org/officeDocument/2006/relationships/hyperlink" Target="https://podminky.urs.cz/item/CS_URS_2022_02/767995114" TargetMode="External"/><Relationship Id="rId4" Type="http://schemas.openxmlformats.org/officeDocument/2006/relationships/hyperlink" Target="https://podminky.urs.cz/item/CS_URS_2022_02/317143453" TargetMode="External"/><Relationship Id="rId9" Type="http://schemas.openxmlformats.org/officeDocument/2006/relationships/hyperlink" Target="https://podminky.urs.cz/item/CS_URS_2022_02/411351011" TargetMode="External"/><Relationship Id="rId14" Type="http://schemas.openxmlformats.org/officeDocument/2006/relationships/hyperlink" Target="https://podminky.urs.cz/item/CS_URS_2022_02/430321616" TargetMode="External"/><Relationship Id="rId22" Type="http://schemas.openxmlformats.org/officeDocument/2006/relationships/hyperlink" Target="https://podminky.urs.cz/item/CS_URS_2022_02/434351142" TargetMode="External"/><Relationship Id="rId27" Type="http://schemas.openxmlformats.org/officeDocument/2006/relationships/hyperlink" Target="https://podminky.urs.cz/item/CS_URS_2022_02/642942721" TargetMode="External"/><Relationship Id="rId30" Type="http://schemas.openxmlformats.org/officeDocument/2006/relationships/hyperlink" Target="https://podminky.urs.cz/item/CS_URS_2022_02/949101111" TargetMode="External"/><Relationship Id="rId35" Type="http://schemas.openxmlformats.org/officeDocument/2006/relationships/hyperlink" Target="https://podminky.urs.cz/item/CS_URS_2022_02/997013213" TargetMode="External"/><Relationship Id="rId43" Type="http://schemas.openxmlformats.org/officeDocument/2006/relationships/hyperlink" Target="https://podminky.urs.cz/item/CS_URS_2022_02/998711181" TargetMode="External"/><Relationship Id="rId48" Type="http://schemas.openxmlformats.org/officeDocument/2006/relationships/printerSettings" Target="../printerSettings/printerSettings12.bin"/><Relationship Id="rId8" Type="http://schemas.openxmlformats.org/officeDocument/2006/relationships/hyperlink" Target="https://podminky.urs.cz/item/CS_URS_2022_02/411321616"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2_02/612381006" TargetMode="External"/><Relationship Id="rId13" Type="http://schemas.openxmlformats.org/officeDocument/2006/relationships/hyperlink" Target="https://podminky.urs.cz/item/CS_URS_2022_02/632441223" TargetMode="External"/><Relationship Id="rId18" Type="http://schemas.openxmlformats.org/officeDocument/2006/relationships/hyperlink" Target="https://podminky.urs.cz/item/CS_URS_2022_02/949101111" TargetMode="External"/><Relationship Id="rId26" Type="http://schemas.openxmlformats.org/officeDocument/2006/relationships/hyperlink" Target="https://podminky.urs.cz/item/CS_URS_2022_02/997013509" TargetMode="External"/><Relationship Id="rId39" Type="http://schemas.openxmlformats.org/officeDocument/2006/relationships/printerSettings" Target="../printerSettings/printerSettings13.bin"/><Relationship Id="rId3" Type="http://schemas.openxmlformats.org/officeDocument/2006/relationships/hyperlink" Target="https://podminky.urs.cz/item/CS_URS_2022_02/612131121" TargetMode="External"/><Relationship Id="rId21" Type="http://schemas.openxmlformats.org/officeDocument/2006/relationships/hyperlink" Target="https://podminky.urs.cz/item/CS_URS_2022_02/974031153" TargetMode="External"/><Relationship Id="rId34" Type="http://schemas.openxmlformats.org/officeDocument/2006/relationships/hyperlink" Target="https://podminky.urs.cz/item/CS_URS_2022_02/766660411" TargetMode="External"/><Relationship Id="rId7" Type="http://schemas.openxmlformats.org/officeDocument/2006/relationships/hyperlink" Target="https://podminky.urs.cz/item/CS_URS_2022_02/612325111" TargetMode="External"/><Relationship Id="rId12" Type="http://schemas.openxmlformats.org/officeDocument/2006/relationships/hyperlink" Target="https://podminky.urs.cz/item/CS_URS_2022_02/613381006" TargetMode="External"/><Relationship Id="rId17" Type="http://schemas.openxmlformats.org/officeDocument/2006/relationships/hyperlink" Target="https://podminky.urs.cz/item/CS_URS_2022_02/634112112" TargetMode="External"/><Relationship Id="rId25" Type="http://schemas.openxmlformats.org/officeDocument/2006/relationships/hyperlink" Target="https://podminky.urs.cz/item/CS_URS_2022_02/997013501" TargetMode="External"/><Relationship Id="rId33" Type="http://schemas.openxmlformats.org/officeDocument/2006/relationships/hyperlink" Target="https://podminky.urs.cz/item/CS_URS_2022_02/766622216" TargetMode="External"/><Relationship Id="rId38" Type="http://schemas.openxmlformats.org/officeDocument/2006/relationships/hyperlink" Target="https://podminky.urs.cz/item/CS_URS_2022_02/HZS1292" TargetMode="External"/><Relationship Id="rId2" Type="http://schemas.openxmlformats.org/officeDocument/2006/relationships/hyperlink" Target="https://podminky.urs.cz/item/CS_URS_2022_02/612131121" TargetMode="External"/><Relationship Id="rId16" Type="http://schemas.openxmlformats.org/officeDocument/2006/relationships/hyperlink" Target="https://podminky.urs.cz/item/CS_URS_2022_02/632481213" TargetMode="External"/><Relationship Id="rId20" Type="http://schemas.openxmlformats.org/officeDocument/2006/relationships/hyperlink" Target="https://podminky.urs.cz/item/CS_URS_2022_02/974031143" TargetMode="External"/><Relationship Id="rId29" Type="http://schemas.openxmlformats.org/officeDocument/2006/relationships/hyperlink" Target="https://podminky.urs.cz/item/CS_URS_2022_02/713121111" TargetMode="External"/><Relationship Id="rId1" Type="http://schemas.openxmlformats.org/officeDocument/2006/relationships/hyperlink" Target="https://podminky.urs.cz/item/CS_URS_2022_02/612131101" TargetMode="External"/><Relationship Id="rId6" Type="http://schemas.openxmlformats.org/officeDocument/2006/relationships/hyperlink" Target="https://podminky.urs.cz/item/CS_URS_2022_02/612321191" TargetMode="External"/><Relationship Id="rId11" Type="http://schemas.openxmlformats.org/officeDocument/2006/relationships/hyperlink" Target="https://podminky.urs.cz/item/CS_URS_2022_02/613142001" TargetMode="External"/><Relationship Id="rId24" Type="http://schemas.openxmlformats.org/officeDocument/2006/relationships/hyperlink" Target="https://podminky.urs.cz/item/CS_URS_2022_02/997013219" TargetMode="External"/><Relationship Id="rId32" Type="http://schemas.openxmlformats.org/officeDocument/2006/relationships/hyperlink" Target="https://podminky.urs.cz/item/CS_URS_2022_02/766622132" TargetMode="External"/><Relationship Id="rId37" Type="http://schemas.openxmlformats.org/officeDocument/2006/relationships/hyperlink" Target="https://podminky.urs.cz/item/CS_URS_2022_02/998766181" TargetMode="External"/><Relationship Id="rId40" Type="http://schemas.openxmlformats.org/officeDocument/2006/relationships/drawing" Target="../drawings/drawing13.xml"/><Relationship Id="rId5" Type="http://schemas.openxmlformats.org/officeDocument/2006/relationships/hyperlink" Target="https://podminky.urs.cz/item/CS_URS_2022_02/612321121" TargetMode="External"/><Relationship Id="rId15" Type="http://schemas.openxmlformats.org/officeDocument/2006/relationships/hyperlink" Target="https://podminky.urs.cz/item/CS_URS_2022_02/632441293" TargetMode="External"/><Relationship Id="rId23" Type="http://schemas.openxmlformats.org/officeDocument/2006/relationships/hyperlink" Target="https://podminky.urs.cz/item/CS_URS_2022_02/997013213" TargetMode="External"/><Relationship Id="rId28" Type="http://schemas.openxmlformats.org/officeDocument/2006/relationships/hyperlink" Target="https://podminky.urs.cz/item/CS_URS_2022_02/998018002" TargetMode="External"/><Relationship Id="rId36" Type="http://schemas.openxmlformats.org/officeDocument/2006/relationships/hyperlink" Target="https://podminky.urs.cz/item/CS_URS_2022_02/998766102" TargetMode="External"/><Relationship Id="rId10" Type="http://schemas.openxmlformats.org/officeDocument/2006/relationships/hyperlink" Target="https://podminky.urs.cz/item/CS_URS_2022_02/613131121" TargetMode="External"/><Relationship Id="rId19" Type="http://schemas.openxmlformats.org/officeDocument/2006/relationships/hyperlink" Target="https://podminky.urs.cz/item/CS_URS_2022_02/952901111" TargetMode="External"/><Relationship Id="rId31" Type="http://schemas.openxmlformats.org/officeDocument/2006/relationships/hyperlink" Target="https://podminky.urs.cz/item/CS_URS_2022_02/998713181" TargetMode="External"/><Relationship Id="rId4" Type="http://schemas.openxmlformats.org/officeDocument/2006/relationships/hyperlink" Target="https://podminky.urs.cz/item/CS_URS_2022_02/612142001" TargetMode="External"/><Relationship Id="rId9" Type="http://schemas.openxmlformats.org/officeDocument/2006/relationships/hyperlink" Target="https://podminky.urs.cz/item/CS_URS_2022_02/613131121" TargetMode="External"/><Relationship Id="rId14" Type="http://schemas.openxmlformats.org/officeDocument/2006/relationships/hyperlink" Target="https://podminky.urs.cz/item/CS_URS_2022_02/632441225" TargetMode="External"/><Relationship Id="rId22" Type="http://schemas.openxmlformats.org/officeDocument/2006/relationships/hyperlink" Target="https://podminky.urs.cz/item/CS_URS_2022_02/974031164" TargetMode="External"/><Relationship Id="rId27" Type="http://schemas.openxmlformats.org/officeDocument/2006/relationships/hyperlink" Target="https://podminky.urs.cz/item/CS_URS_2022_02/997013871" TargetMode="External"/><Relationship Id="rId30" Type="http://schemas.openxmlformats.org/officeDocument/2006/relationships/hyperlink" Target="https://podminky.urs.cz/item/CS_URS_2022_02/998713102" TargetMode="External"/><Relationship Id="rId35" Type="http://schemas.openxmlformats.org/officeDocument/2006/relationships/hyperlink" Target="https://podminky.urs.cz/item/CS_URS_2022_02/76666045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2_02/622251105" TargetMode="External"/><Relationship Id="rId117" Type="http://schemas.openxmlformats.org/officeDocument/2006/relationships/printerSettings" Target="../printerSettings/printerSettings14.bin"/><Relationship Id="rId21" Type="http://schemas.openxmlformats.org/officeDocument/2006/relationships/hyperlink" Target="https://podminky.urs.cz/item/CS_URS_2022_02/622211041" TargetMode="External"/><Relationship Id="rId42" Type="http://schemas.openxmlformats.org/officeDocument/2006/relationships/hyperlink" Target="https://podminky.urs.cz/item/CS_URS_2022_02/949101111" TargetMode="External"/><Relationship Id="rId47" Type="http://schemas.openxmlformats.org/officeDocument/2006/relationships/hyperlink" Target="https://podminky.urs.cz/item/CS_URS_2022_02/965042141" TargetMode="External"/><Relationship Id="rId63" Type="http://schemas.openxmlformats.org/officeDocument/2006/relationships/hyperlink" Target="https://podminky.urs.cz/item/CS_URS_2022_02/997013501" TargetMode="External"/><Relationship Id="rId68" Type="http://schemas.openxmlformats.org/officeDocument/2006/relationships/hyperlink" Target="https://podminky.urs.cz/item/CS_URS_2022_02/998711102" TargetMode="External"/><Relationship Id="rId84" Type="http://schemas.openxmlformats.org/officeDocument/2006/relationships/hyperlink" Target="https://podminky.urs.cz/item/CS_URS_2022_02/998713181" TargetMode="External"/><Relationship Id="rId89" Type="http://schemas.openxmlformats.org/officeDocument/2006/relationships/hyperlink" Target="https://podminky.urs.cz/item/CS_URS_2022_02/998762102" TargetMode="External"/><Relationship Id="rId112" Type="http://schemas.openxmlformats.org/officeDocument/2006/relationships/hyperlink" Target="https://podminky.urs.cz/item/CS_URS_2022_02/771591242" TargetMode="External"/><Relationship Id="rId16" Type="http://schemas.openxmlformats.org/officeDocument/2006/relationships/hyperlink" Target="https://podminky.urs.cz/item/CS_URS_2022_02/434351142" TargetMode="External"/><Relationship Id="rId107" Type="http://schemas.openxmlformats.org/officeDocument/2006/relationships/hyperlink" Target="https://podminky.urs.cz/item/CS_URS_2022_02/771274241" TargetMode="External"/><Relationship Id="rId11" Type="http://schemas.openxmlformats.org/officeDocument/2006/relationships/hyperlink" Target="https://podminky.urs.cz/item/CS_URS_2022_02/430321616" TargetMode="External"/><Relationship Id="rId24" Type="http://schemas.openxmlformats.org/officeDocument/2006/relationships/hyperlink" Target="https://podminky.urs.cz/item/CS_URS_2022_02/622222051" TargetMode="External"/><Relationship Id="rId32" Type="http://schemas.openxmlformats.org/officeDocument/2006/relationships/hyperlink" Target="https://podminky.urs.cz/item/CS_URS_2022_02/622531022" TargetMode="External"/><Relationship Id="rId37" Type="http://schemas.openxmlformats.org/officeDocument/2006/relationships/hyperlink" Target="https://podminky.urs.cz/item/CS_URS_2022_02/941221211" TargetMode="External"/><Relationship Id="rId40" Type="http://schemas.openxmlformats.org/officeDocument/2006/relationships/hyperlink" Target="https://podminky.urs.cz/item/CS_URS_2022_02/944511211" TargetMode="External"/><Relationship Id="rId45" Type="http://schemas.openxmlformats.org/officeDocument/2006/relationships/hyperlink" Target="https://podminky.urs.cz/item/CS_URS_2022_02/953965117" TargetMode="External"/><Relationship Id="rId53" Type="http://schemas.openxmlformats.org/officeDocument/2006/relationships/hyperlink" Target="https://podminky.urs.cz/item/CS_URS_2022_02/985112133" TargetMode="External"/><Relationship Id="rId58" Type="http://schemas.openxmlformats.org/officeDocument/2006/relationships/hyperlink" Target="https://podminky.urs.cz/item/CS_URS_2022_02/985321112" TargetMode="External"/><Relationship Id="rId66" Type="http://schemas.openxmlformats.org/officeDocument/2006/relationships/hyperlink" Target="https://podminky.urs.cz/item/CS_URS_2022_02/998018002" TargetMode="External"/><Relationship Id="rId74" Type="http://schemas.openxmlformats.org/officeDocument/2006/relationships/hyperlink" Target="https://podminky.urs.cz/item/CS_URS_2022_02/712363604" TargetMode="External"/><Relationship Id="rId79" Type="http://schemas.openxmlformats.org/officeDocument/2006/relationships/hyperlink" Target="https://podminky.urs.cz/item/CS_URS_2022_02/713141131" TargetMode="External"/><Relationship Id="rId87" Type="http://schemas.openxmlformats.org/officeDocument/2006/relationships/hyperlink" Target="https://podminky.urs.cz/item/CS_URS_2022_02/998721181" TargetMode="External"/><Relationship Id="rId102" Type="http://schemas.openxmlformats.org/officeDocument/2006/relationships/hyperlink" Target="https://podminky.urs.cz/item/CS_URS_2022_02/998767181" TargetMode="External"/><Relationship Id="rId110" Type="http://schemas.openxmlformats.org/officeDocument/2006/relationships/hyperlink" Target="https://podminky.urs.cz/item/CS_URS_2022_02/771577114" TargetMode="External"/><Relationship Id="rId115" Type="http://schemas.openxmlformats.org/officeDocument/2006/relationships/hyperlink" Target="https://podminky.urs.cz/item/CS_URS_2022_02/998771181" TargetMode="External"/><Relationship Id="rId5" Type="http://schemas.openxmlformats.org/officeDocument/2006/relationships/hyperlink" Target="https://podminky.urs.cz/item/CS_URS_2022_02/162751119" TargetMode="External"/><Relationship Id="rId61" Type="http://schemas.openxmlformats.org/officeDocument/2006/relationships/hyperlink" Target="https://podminky.urs.cz/item/CS_URS_2022_02/997013213" TargetMode="External"/><Relationship Id="rId82" Type="http://schemas.openxmlformats.org/officeDocument/2006/relationships/hyperlink" Target="https://podminky.urs.cz/item/CS_URS_2022_02/713141391" TargetMode="External"/><Relationship Id="rId90" Type="http://schemas.openxmlformats.org/officeDocument/2006/relationships/hyperlink" Target="https://podminky.urs.cz/item/CS_URS_2022_02/998762181" TargetMode="External"/><Relationship Id="rId95" Type="http://schemas.openxmlformats.org/officeDocument/2006/relationships/hyperlink" Target="https://podminky.urs.cz/item/CS_URS_2022_02/998764102" TargetMode="External"/><Relationship Id="rId19" Type="http://schemas.openxmlformats.org/officeDocument/2006/relationships/hyperlink" Target="https://podminky.urs.cz/item/CS_URS_2022_02/622151021" TargetMode="External"/><Relationship Id="rId14" Type="http://schemas.openxmlformats.org/officeDocument/2006/relationships/hyperlink" Target="https://podminky.urs.cz/item/CS_URS_2022_02/431351122" TargetMode="External"/><Relationship Id="rId22" Type="http://schemas.openxmlformats.org/officeDocument/2006/relationships/hyperlink" Target="https://podminky.urs.cz/item/CS_URS_2022_02/622221131" TargetMode="External"/><Relationship Id="rId27" Type="http://schemas.openxmlformats.org/officeDocument/2006/relationships/hyperlink" Target="https://podminky.urs.cz/item/CS_URS_2022_02/622252001" TargetMode="External"/><Relationship Id="rId30" Type="http://schemas.openxmlformats.org/officeDocument/2006/relationships/hyperlink" Target="https://podminky.urs.cz/item/CS_URS_2022_02/622321191" TargetMode="External"/><Relationship Id="rId35" Type="http://schemas.openxmlformats.org/officeDocument/2006/relationships/hyperlink" Target="https://podminky.urs.cz/item/CS_URS_2022_02/635111115" TargetMode="External"/><Relationship Id="rId43" Type="http://schemas.openxmlformats.org/officeDocument/2006/relationships/hyperlink" Target="https://podminky.urs.cz/item/CS_URS_2022_02/952901111" TargetMode="External"/><Relationship Id="rId48" Type="http://schemas.openxmlformats.org/officeDocument/2006/relationships/hyperlink" Target="https://podminky.urs.cz/item/CS_URS_2022_02/965081223" TargetMode="External"/><Relationship Id="rId56" Type="http://schemas.openxmlformats.org/officeDocument/2006/relationships/hyperlink" Target="https://podminky.urs.cz/item/CS_URS_2022_02/985311312" TargetMode="External"/><Relationship Id="rId64" Type="http://schemas.openxmlformats.org/officeDocument/2006/relationships/hyperlink" Target="https://podminky.urs.cz/item/CS_URS_2022_02/997013509" TargetMode="External"/><Relationship Id="rId69" Type="http://schemas.openxmlformats.org/officeDocument/2006/relationships/hyperlink" Target="https://podminky.urs.cz/item/CS_URS_2022_02/998711181" TargetMode="External"/><Relationship Id="rId77" Type="http://schemas.openxmlformats.org/officeDocument/2006/relationships/hyperlink" Target="https://podminky.urs.cz/item/CS_URS_2022_02/998712102" TargetMode="External"/><Relationship Id="rId100" Type="http://schemas.openxmlformats.org/officeDocument/2006/relationships/hyperlink" Target="https://podminky.urs.cz/item/CS_URS_2022_02/767316311" TargetMode="External"/><Relationship Id="rId105" Type="http://schemas.openxmlformats.org/officeDocument/2006/relationships/hyperlink" Target="https://podminky.urs.cz/item/CS_URS_2022_02/771161023" TargetMode="External"/><Relationship Id="rId113" Type="http://schemas.openxmlformats.org/officeDocument/2006/relationships/hyperlink" Target="https://podminky.urs.cz/item/CS_URS_2022_02/771591264" TargetMode="External"/><Relationship Id="rId118" Type="http://schemas.openxmlformats.org/officeDocument/2006/relationships/drawing" Target="../drawings/drawing14.xml"/><Relationship Id="rId8" Type="http://schemas.openxmlformats.org/officeDocument/2006/relationships/hyperlink" Target="https://podminky.urs.cz/item/CS_URS_2022_02/274313711" TargetMode="External"/><Relationship Id="rId51" Type="http://schemas.openxmlformats.org/officeDocument/2006/relationships/hyperlink" Target="https://podminky.urs.cz/item/CS_URS_2022_02/976071111" TargetMode="External"/><Relationship Id="rId72" Type="http://schemas.openxmlformats.org/officeDocument/2006/relationships/hyperlink" Target="https://podminky.urs.cz/item/CS_URS_2022_02/712341715" TargetMode="External"/><Relationship Id="rId80" Type="http://schemas.openxmlformats.org/officeDocument/2006/relationships/hyperlink" Target="https://podminky.urs.cz/item/CS_URS_2022_02/713141131" TargetMode="External"/><Relationship Id="rId85" Type="http://schemas.openxmlformats.org/officeDocument/2006/relationships/hyperlink" Target="https://podminky.urs.cz/item/CS_URS_2022_02/721233213" TargetMode="External"/><Relationship Id="rId93" Type="http://schemas.openxmlformats.org/officeDocument/2006/relationships/hyperlink" Target="https://podminky.urs.cz/item/CS_URS_2022_02/764226465" TargetMode="External"/><Relationship Id="rId98" Type="http://schemas.openxmlformats.org/officeDocument/2006/relationships/hyperlink" Target="https://podminky.urs.cz/item/CS_URS_2022_02/767211311" TargetMode="External"/><Relationship Id="rId3" Type="http://schemas.openxmlformats.org/officeDocument/2006/relationships/hyperlink" Target="https://podminky.urs.cz/item/CS_URS_2022_02/132212131" TargetMode="External"/><Relationship Id="rId12" Type="http://schemas.openxmlformats.org/officeDocument/2006/relationships/hyperlink" Target="https://podminky.urs.cz/item/CS_URS_2022_02/430362021" TargetMode="External"/><Relationship Id="rId17" Type="http://schemas.openxmlformats.org/officeDocument/2006/relationships/hyperlink" Target="https://podminky.urs.cz/item/CS_URS_2022_02/621211041" TargetMode="External"/><Relationship Id="rId25" Type="http://schemas.openxmlformats.org/officeDocument/2006/relationships/hyperlink" Target="https://podminky.urs.cz/item/CS_URS_2022_02/622251101" TargetMode="External"/><Relationship Id="rId33" Type="http://schemas.openxmlformats.org/officeDocument/2006/relationships/hyperlink" Target="https://podminky.urs.cz/item/CS_URS_2022_02/632451457" TargetMode="External"/><Relationship Id="rId38" Type="http://schemas.openxmlformats.org/officeDocument/2006/relationships/hyperlink" Target="https://podminky.urs.cz/item/CS_URS_2022_02/941221811" TargetMode="External"/><Relationship Id="rId46" Type="http://schemas.openxmlformats.org/officeDocument/2006/relationships/hyperlink" Target="https://podminky.urs.cz/item/CS_URS_2022_02/961055111" TargetMode="External"/><Relationship Id="rId59" Type="http://schemas.openxmlformats.org/officeDocument/2006/relationships/hyperlink" Target="https://podminky.urs.cz/item/CS_URS_2022_02/985323111" TargetMode="External"/><Relationship Id="rId67" Type="http://schemas.openxmlformats.org/officeDocument/2006/relationships/hyperlink" Target="https://podminky.urs.cz/item/CS_URS_2022_02/711191201" TargetMode="External"/><Relationship Id="rId103" Type="http://schemas.openxmlformats.org/officeDocument/2006/relationships/hyperlink" Target="https://podminky.urs.cz/item/CS_URS_2022_02/771111011" TargetMode="External"/><Relationship Id="rId108" Type="http://schemas.openxmlformats.org/officeDocument/2006/relationships/hyperlink" Target="https://podminky.urs.cz/item/CS_URS_2022_02/771474113" TargetMode="External"/><Relationship Id="rId116" Type="http://schemas.openxmlformats.org/officeDocument/2006/relationships/hyperlink" Target="https://podminky.urs.cz/item/CS_URS_2022_02/HZS1292" TargetMode="External"/><Relationship Id="rId20" Type="http://schemas.openxmlformats.org/officeDocument/2006/relationships/hyperlink" Target="https://podminky.urs.cz/item/CS_URS_2022_02/622211041" TargetMode="External"/><Relationship Id="rId41" Type="http://schemas.openxmlformats.org/officeDocument/2006/relationships/hyperlink" Target="https://podminky.urs.cz/item/CS_URS_2022_02/944511811" TargetMode="External"/><Relationship Id="rId54" Type="http://schemas.openxmlformats.org/officeDocument/2006/relationships/hyperlink" Target="https://podminky.urs.cz/item/CS_URS_2022_02/985121122" TargetMode="External"/><Relationship Id="rId62" Type="http://schemas.openxmlformats.org/officeDocument/2006/relationships/hyperlink" Target="https://podminky.urs.cz/item/CS_URS_2022_02/997013219" TargetMode="External"/><Relationship Id="rId70" Type="http://schemas.openxmlformats.org/officeDocument/2006/relationships/hyperlink" Target="https://podminky.urs.cz/item/CS_URS_2022_02/712331111" TargetMode="External"/><Relationship Id="rId75" Type="http://schemas.openxmlformats.org/officeDocument/2006/relationships/hyperlink" Target="https://podminky.urs.cz/item/CS_URS_2022_02/712363605" TargetMode="External"/><Relationship Id="rId83" Type="http://schemas.openxmlformats.org/officeDocument/2006/relationships/hyperlink" Target="https://podminky.urs.cz/item/CS_URS_2022_02/998713102" TargetMode="External"/><Relationship Id="rId88" Type="http://schemas.openxmlformats.org/officeDocument/2006/relationships/hyperlink" Target="https://podminky.urs.cz/item/CS_URS_2022_02/762361312" TargetMode="External"/><Relationship Id="rId91" Type="http://schemas.openxmlformats.org/officeDocument/2006/relationships/hyperlink" Target="https://podminky.urs.cz/item/CS_URS_2022_02/764212637" TargetMode="External"/><Relationship Id="rId96" Type="http://schemas.openxmlformats.org/officeDocument/2006/relationships/hyperlink" Target="https://podminky.urs.cz/item/CS_URS_2022_02/998764181" TargetMode="External"/><Relationship Id="rId111" Type="http://schemas.openxmlformats.org/officeDocument/2006/relationships/hyperlink" Target="https://podminky.urs.cz/item/CS_URS_2022_02/771591241" TargetMode="External"/><Relationship Id="rId1" Type="http://schemas.openxmlformats.org/officeDocument/2006/relationships/hyperlink" Target="https://podminky.urs.cz/item/CS_URS_2022_02/113107142" TargetMode="External"/><Relationship Id="rId6" Type="http://schemas.openxmlformats.org/officeDocument/2006/relationships/hyperlink" Target="https://podminky.urs.cz/item/CS_URS_2022_02/171201231" TargetMode="External"/><Relationship Id="rId15" Type="http://schemas.openxmlformats.org/officeDocument/2006/relationships/hyperlink" Target="https://podminky.urs.cz/item/CS_URS_2022_02/434351141" TargetMode="External"/><Relationship Id="rId23" Type="http://schemas.openxmlformats.org/officeDocument/2006/relationships/hyperlink" Target="https://podminky.urs.cz/item/CS_URS_2022_02/622221141" TargetMode="External"/><Relationship Id="rId28" Type="http://schemas.openxmlformats.org/officeDocument/2006/relationships/hyperlink" Target="https://podminky.urs.cz/item/CS_URS_2022_02/622252002" TargetMode="External"/><Relationship Id="rId36" Type="http://schemas.openxmlformats.org/officeDocument/2006/relationships/hyperlink" Target="https://podminky.urs.cz/item/CS_URS_2022_02/941221111" TargetMode="External"/><Relationship Id="rId49" Type="http://schemas.openxmlformats.org/officeDocument/2006/relationships/hyperlink" Target="https://podminky.urs.cz/item/CS_URS_2022_02/965081343" TargetMode="External"/><Relationship Id="rId57" Type="http://schemas.openxmlformats.org/officeDocument/2006/relationships/hyperlink" Target="https://podminky.urs.cz/item/CS_URS_2022_02/985311314" TargetMode="External"/><Relationship Id="rId106" Type="http://schemas.openxmlformats.org/officeDocument/2006/relationships/hyperlink" Target="https://podminky.urs.cz/item/CS_URS_2022_02/771274123" TargetMode="External"/><Relationship Id="rId114" Type="http://schemas.openxmlformats.org/officeDocument/2006/relationships/hyperlink" Target="https://podminky.urs.cz/item/CS_URS_2022_02/998771102" TargetMode="External"/><Relationship Id="rId10" Type="http://schemas.openxmlformats.org/officeDocument/2006/relationships/hyperlink" Target="https://podminky.urs.cz/item/CS_URS_2022_02/311270731" TargetMode="External"/><Relationship Id="rId31" Type="http://schemas.openxmlformats.org/officeDocument/2006/relationships/hyperlink" Target="https://podminky.urs.cz/item/CS_URS_2022_02/622511112" TargetMode="External"/><Relationship Id="rId44" Type="http://schemas.openxmlformats.org/officeDocument/2006/relationships/hyperlink" Target="https://podminky.urs.cz/item/CS_URS_2022_02/953961112" TargetMode="External"/><Relationship Id="rId52" Type="http://schemas.openxmlformats.org/officeDocument/2006/relationships/hyperlink" Target="https://podminky.urs.cz/item/CS_URS_2022_02/985112132" TargetMode="External"/><Relationship Id="rId60" Type="http://schemas.openxmlformats.org/officeDocument/2006/relationships/hyperlink" Target="https://podminky.urs.cz/item/CS_URS_2022_02/985331213" TargetMode="External"/><Relationship Id="rId65" Type="http://schemas.openxmlformats.org/officeDocument/2006/relationships/hyperlink" Target="https://podminky.urs.cz/item/CS_URS_2022_02/997013871" TargetMode="External"/><Relationship Id="rId73" Type="http://schemas.openxmlformats.org/officeDocument/2006/relationships/hyperlink" Target="https://podminky.urs.cz/item/CS_URS_2022_02/712341716" TargetMode="External"/><Relationship Id="rId78" Type="http://schemas.openxmlformats.org/officeDocument/2006/relationships/hyperlink" Target="https://podminky.urs.cz/item/CS_URS_2022_02/998712181" TargetMode="External"/><Relationship Id="rId81" Type="http://schemas.openxmlformats.org/officeDocument/2006/relationships/hyperlink" Target="https://podminky.urs.cz/item/CS_URS_2022_02/713141263" TargetMode="External"/><Relationship Id="rId86" Type="http://schemas.openxmlformats.org/officeDocument/2006/relationships/hyperlink" Target="https://podminky.urs.cz/item/CS_URS_2022_02/998721102" TargetMode="External"/><Relationship Id="rId94" Type="http://schemas.openxmlformats.org/officeDocument/2006/relationships/hyperlink" Target="https://podminky.urs.cz/item/CS_URS_2022_02/764311606" TargetMode="External"/><Relationship Id="rId99" Type="http://schemas.openxmlformats.org/officeDocument/2006/relationships/hyperlink" Target="https://podminky.urs.cz/item/CS_URS_2022_02/767220420" TargetMode="External"/><Relationship Id="rId101" Type="http://schemas.openxmlformats.org/officeDocument/2006/relationships/hyperlink" Target="https://podminky.urs.cz/item/CS_URS_2022_02/998767102"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275313711" TargetMode="External"/><Relationship Id="rId13" Type="http://schemas.openxmlformats.org/officeDocument/2006/relationships/hyperlink" Target="https://podminky.urs.cz/item/CS_URS_2022_02/431351121" TargetMode="External"/><Relationship Id="rId18" Type="http://schemas.openxmlformats.org/officeDocument/2006/relationships/hyperlink" Target="https://podminky.urs.cz/item/CS_URS_2022_02/622151011" TargetMode="External"/><Relationship Id="rId39" Type="http://schemas.openxmlformats.org/officeDocument/2006/relationships/hyperlink" Target="https://podminky.urs.cz/item/CS_URS_2022_02/944511111" TargetMode="External"/><Relationship Id="rId109" Type="http://schemas.openxmlformats.org/officeDocument/2006/relationships/hyperlink" Target="https://podminky.urs.cz/item/CS_URS_2022_02/771574266" TargetMode="External"/><Relationship Id="rId34" Type="http://schemas.openxmlformats.org/officeDocument/2006/relationships/hyperlink" Target="https://podminky.urs.cz/item/CS_URS_2022_02/632451491" TargetMode="External"/><Relationship Id="rId50" Type="http://schemas.openxmlformats.org/officeDocument/2006/relationships/hyperlink" Target="https://podminky.urs.cz/item/CS_URS_2022_02/966080105" TargetMode="External"/><Relationship Id="rId55" Type="http://schemas.openxmlformats.org/officeDocument/2006/relationships/hyperlink" Target="https://podminky.urs.cz/item/CS_URS_2022_02/985131311" TargetMode="External"/><Relationship Id="rId76" Type="http://schemas.openxmlformats.org/officeDocument/2006/relationships/hyperlink" Target="https://podminky.urs.cz/item/CS_URS_2022_02/712363606" TargetMode="External"/><Relationship Id="rId97" Type="http://schemas.openxmlformats.org/officeDocument/2006/relationships/hyperlink" Target="https://podminky.urs.cz/item/CS_URS_2022_02/767210151" TargetMode="External"/><Relationship Id="rId104" Type="http://schemas.openxmlformats.org/officeDocument/2006/relationships/hyperlink" Target="https://podminky.urs.cz/item/CS_URS_2022_02/771121011" TargetMode="External"/><Relationship Id="rId7" Type="http://schemas.openxmlformats.org/officeDocument/2006/relationships/hyperlink" Target="https://podminky.urs.cz/item/CS_URS_2022_02/171251201" TargetMode="External"/><Relationship Id="rId71" Type="http://schemas.openxmlformats.org/officeDocument/2006/relationships/hyperlink" Target="https://podminky.urs.cz/item/CS_URS_2022_02/712341559" TargetMode="External"/><Relationship Id="rId92" Type="http://schemas.openxmlformats.org/officeDocument/2006/relationships/hyperlink" Target="https://podminky.urs.cz/item/CS_URS_2022_02/764226444" TargetMode="External"/><Relationship Id="rId2" Type="http://schemas.openxmlformats.org/officeDocument/2006/relationships/hyperlink" Target="https://podminky.urs.cz/item/CS_URS_2022_02/131213701" TargetMode="External"/><Relationship Id="rId29" Type="http://schemas.openxmlformats.org/officeDocument/2006/relationships/hyperlink" Target="https://podminky.urs.cz/item/CS_URS_2022_02/62232112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2_02/763121551" TargetMode="External"/><Relationship Id="rId18" Type="http://schemas.openxmlformats.org/officeDocument/2006/relationships/hyperlink" Target="https://podminky.urs.cz/item/CS_URS_2022_02/763131771" TargetMode="External"/><Relationship Id="rId26" Type="http://schemas.openxmlformats.org/officeDocument/2006/relationships/hyperlink" Target="https://podminky.urs.cz/item/CS_URS_2022_02/766660717" TargetMode="External"/><Relationship Id="rId39" Type="http://schemas.openxmlformats.org/officeDocument/2006/relationships/hyperlink" Target="https://podminky.urs.cz/item/CS_URS_2022_02/771151021" TargetMode="External"/><Relationship Id="rId21" Type="http://schemas.openxmlformats.org/officeDocument/2006/relationships/hyperlink" Target="https://podminky.urs.cz/item/CS_URS_2022_02/766660001" TargetMode="External"/><Relationship Id="rId34" Type="http://schemas.openxmlformats.org/officeDocument/2006/relationships/hyperlink" Target="https://podminky.urs.cz/item/CS_URS_2022_02/767220420" TargetMode="External"/><Relationship Id="rId42" Type="http://schemas.openxmlformats.org/officeDocument/2006/relationships/hyperlink" Target="https://podminky.urs.cz/item/CS_URS_2022_02/771474113" TargetMode="External"/><Relationship Id="rId47" Type="http://schemas.openxmlformats.org/officeDocument/2006/relationships/hyperlink" Target="https://podminky.urs.cz/item/CS_URS_2022_02/998771102" TargetMode="External"/><Relationship Id="rId50" Type="http://schemas.openxmlformats.org/officeDocument/2006/relationships/hyperlink" Target="https://podminky.urs.cz/item/CS_URS_2022_02/776111311" TargetMode="External"/><Relationship Id="rId55" Type="http://schemas.openxmlformats.org/officeDocument/2006/relationships/hyperlink" Target="https://podminky.urs.cz/item/CS_URS_2022_02/776411111" TargetMode="External"/><Relationship Id="rId63" Type="http://schemas.openxmlformats.org/officeDocument/2006/relationships/hyperlink" Target="https://podminky.urs.cz/item/CS_URS_2022_02/781477112" TargetMode="External"/><Relationship Id="rId68" Type="http://schemas.openxmlformats.org/officeDocument/2006/relationships/hyperlink" Target="https://podminky.urs.cz/item/CS_URS_2022_02/781495142" TargetMode="External"/><Relationship Id="rId76" Type="http://schemas.openxmlformats.org/officeDocument/2006/relationships/hyperlink" Target="https://podminky.urs.cz/item/CS_URS_2022_02/783315103" TargetMode="External"/><Relationship Id="rId84" Type="http://schemas.openxmlformats.org/officeDocument/2006/relationships/hyperlink" Target="https://podminky.urs.cz/item/CS_URS_2022_02/784211113" TargetMode="External"/><Relationship Id="rId89" Type="http://schemas.openxmlformats.org/officeDocument/2006/relationships/hyperlink" Target="https://podminky.urs.cz/item/CS_URS_2022_02/HZS1292" TargetMode="External"/><Relationship Id="rId7" Type="http://schemas.openxmlformats.org/officeDocument/2006/relationships/hyperlink" Target="https://podminky.urs.cz/item/CS_URS_2022_02/953943211" TargetMode="External"/><Relationship Id="rId71" Type="http://schemas.openxmlformats.org/officeDocument/2006/relationships/hyperlink" Target="https://podminky.urs.cz/item/CS_URS_2022_02/998781102" TargetMode="External"/><Relationship Id="rId92" Type="http://schemas.openxmlformats.org/officeDocument/2006/relationships/drawing" Target="../drawings/drawing15.xml"/><Relationship Id="rId2" Type="http://schemas.openxmlformats.org/officeDocument/2006/relationships/hyperlink" Target="https://podminky.urs.cz/item/CS_URS_2022_02/611142001" TargetMode="External"/><Relationship Id="rId16" Type="http://schemas.openxmlformats.org/officeDocument/2006/relationships/hyperlink" Target="https://podminky.urs.cz/item/CS_URS_2022_02/763131451" TargetMode="External"/><Relationship Id="rId29" Type="http://schemas.openxmlformats.org/officeDocument/2006/relationships/hyperlink" Target="https://podminky.urs.cz/item/CS_URS_2022_02/766694111" TargetMode="External"/><Relationship Id="rId11" Type="http://schemas.openxmlformats.org/officeDocument/2006/relationships/hyperlink" Target="https://podminky.urs.cz/item/CS_URS_2022_02/998714102" TargetMode="External"/><Relationship Id="rId24" Type="http://schemas.openxmlformats.org/officeDocument/2006/relationships/hyperlink" Target="https://podminky.urs.cz/item/CS_URS_2022_02/766660022" TargetMode="External"/><Relationship Id="rId32" Type="http://schemas.openxmlformats.org/officeDocument/2006/relationships/hyperlink" Target="https://podminky.urs.cz/item/CS_URS_2022_02/998766102" TargetMode="External"/><Relationship Id="rId37" Type="http://schemas.openxmlformats.org/officeDocument/2006/relationships/hyperlink" Target="https://podminky.urs.cz/item/CS_URS_2022_02/771111011" TargetMode="External"/><Relationship Id="rId40" Type="http://schemas.openxmlformats.org/officeDocument/2006/relationships/hyperlink" Target="https://podminky.urs.cz/item/CS_URS_2022_02/771274123" TargetMode="External"/><Relationship Id="rId45" Type="http://schemas.openxmlformats.org/officeDocument/2006/relationships/hyperlink" Target="https://podminky.urs.cz/item/CS_URS_2022_02/771591115" TargetMode="External"/><Relationship Id="rId53" Type="http://schemas.openxmlformats.org/officeDocument/2006/relationships/hyperlink" Target="https://podminky.urs.cz/item/CS_URS_2022_02/776251111" TargetMode="External"/><Relationship Id="rId58" Type="http://schemas.openxmlformats.org/officeDocument/2006/relationships/hyperlink" Target="https://podminky.urs.cz/item/CS_URS_2022_02/998776181" TargetMode="External"/><Relationship Id="rId66" Type="http://schemas.openxmlformats.org/officeDocument/2006/relationships/hyperlink" Target="https://podminky.urs.cz/item/CS_URS_2022_02/781494511" TargetMode="External"/><Relationship Id="rId74" Type="http://schemas.openxmlformats.org/officeDocument/2006/relationships/hyperlink" Target="https://podminky.urs.cz/item/CS_URS_2022_02/783301401" TargetMode="External"/><Relationship Id="rId79" Type="http://schemas.openxmlformats.org/officeDocument/2006/relationships/hyperlink" Target="https://podminky.urs.cz/item/CS_URS_2022_02/784181123" TargetMode="External"/><Relationship Id="rId87" Type="http://schemas.openxmlformats.org/officeDocument/2006/relationships/hyperlink" Target="https://podminky.urs.cz/item/CS_URS_2022_02/998786102" TargetMode="External"/><Relationship Id="rId5" Type="http://schemas.openxmlformats.org/officeDocument/2006/relationships/hyperlink" Target="https://podminky.urs.cz/item/CS_URS_2022_02/949101111" TargetMode="External"/><Relationship Id="rId61" Type="http://schemas.openxmlformats.org/officeDocument/2006/relationships/hyperlink" Target="https://podminky.urs.cz/item/CS_URS_2022_02/781474112" TargetMode="External"/><Relationship Id="rId82" Type="http://schemas.openxmlformats.org/officeDocument/2006/relationships/hyperlink" Target="https://podminky.urs.cz/item/CS_URS_2022_02/784191007" TargetMode="External"/><Relationship Id="rId90" Type="http://schemas.openxmlformats.org/officeDocument/2006/relationships/hyperlink" Target="https://podminky.urs.cz/item/CS_URS_2022_02/011434000" TargetMode="External"/><Relationship Id="rId19" Type="http://schemas.openxmlformats.org/officeDocument/2006/relationships/hyperlink" Target="https://podminky.urs.cz/item/CS_URS_2022_02/998763302" TargetMode="External"/><Relationship Id="rId14" Type="http://schemas.openxmlformats.org/officeDocument/2006/relationships/hyperlink" Target="https://podminky.urs.cz/item/CS_URS_2022_02/763121714" TargetMode="External"/><Relationship Id="rId22" Type="http://schemas.openxmlformats.org/officeDocument/2006/relationships/hyperlink" Target="https://podminky.urs.cz/item/CS_URS_2022_02/766660002" TargetMode="External"/><Relationship Id="rId27" Type="http://schemas.openxmlformats.org/officeDocument/2006/relationships/hyperlink" Target="https://podminky.urs.cz/item/CS_URS_2022_02/766660728" TargetMode="External"/><Relationship Id="rId30" Type="http://schemas.openxmlformats.org/officeDocument/2006/relationships/hyperlink" Target="https://podminky.urs.cz/item/CS_URS_2022_02/766694113" TargetMode="External"/><Relationship Id="rId35" Type="http://schemas.openxmlformats.org/officeDocument/2006/relationships/hyperlink" Target="https://podminky.urs.cz/item/CS_URS_2022_02/998767102" TargetMode="External"/><Relationship Id="rId43" Type="http://schemas.openxmlformats.org/officeDocument/2006/relationships/hyperlink" Target="https://podminky.urs.cz/item/CS_URS_2022_02/771574240" TargetMode="External"/><Relationship Id="rId48" Type="http://schemas.openxmlformats.org/officeDocument/2006/relationships/hyperlink" Target="https://podminky.urs.cz/item/CS_URS_2022_02/998771181" TargetMode="External"/><Relationship Id="rId56" Type="http://schemas.openxmlformats.org/officeDocument/2006/relationships/hyperlink" Target="https://podminky.urs.cz/item/CS_URS_2022_02/776991121" TargetMode="External"/><Relationship Id="rId64" Type="http://schemas.openxmlformats.org/officeDocument/2006/relationships/hyperlink" Target="https://podminky.urs.cz/item/CS_URS_2022_02/781477114" TargetMode="External"/><Relationship Id="rId69" Type="http://schemas.openxmlformats.org/officeDocument/2006/relationships/hyperlink" Target="https://podminky.urs.cz/item/CS_URS_2022_02/781495143" TargetMode="External"/><Relationship Id="rId77" Type="http://schemas.openxmlformats.org/officeDocument/2006/relationships/hyperlink" Target="https://podminky.urs.cz/item/CS_URS_2022_02/783347101" TargetMode="External"/><Relationship Id="rId8" Type="http://schemas.openxmlformats.org/officeDocument/2006/relationships/hyperlink" Target="https://podminky.urs.cz/item/CS_URS_2022_02/953943212" TargetMode="External"/><Relationship Id="rId51" Type="http://schemas.openxmlformats.org/officeDocument/2006/relationships/hyperlink" Target="https://podminky.urs.cz/item/CS_URS_2022_02/776121311" TargetMode="External"/><Relationship Id="rId72" Type="http://schemas.openxmlformats.org/officeDocument/2006/relationships/hyperlink" Target="https://podminky.urs.cz/item/CS_URS_2022_02/998781181" TargetMode="External"/><Relationship Id="rId80" Type="http://schemas.openxmlformats.org/officeDocument/2006/relationships/hyperlink" Target="https://podminky.urs.cz/item/CS_URS_2022_02/784191003" TargetMode="External"/><Relationship Id="rId85" Type="http://schemas.openxmlformats.org/officeDocument/2006/relationships/hyperlink" Target="https://podminky.urs.cz/item/CS_URS_2022_02/784211161" TargetMode="External"/><Relationship Id="rId3" Type="http://schemas.openxmlformats.org/officeDocument/2006/relationships/hyperlink" Target="https://podminky.urs.cz/item/CS_URS_2022_02/611321141" TargetMode="External"/><Relationship Id="rId12" Type="http://schemas.openxmlformats.org/officeDocument/2006/relationships/hyperlink" Target="https://podminky.urs.cz/item/CS_URS_2022_02/998714181" TargetMode="External"/><Relationship Id="rId17" Type="http://schemas.openxmlformats.org/officeDocument/2006/relationships/hyperlink" Target="https://podminky.urs.cz/item/CS_URS_2022_02/763131714" TargetMode="External"/><Relationship Id="rId25" Type="http://schemas.openxmlformats.org/officeDocument/2006/relationships/hyperlink" Target="https://podminky.urs.cz/item/CS_URS_2022_02/766660031" TargetMode="External"/><Relationship Id="rId33" Type="http://schemas.openxmlformats.org/officeDocument/2006/relationships/hyperlink" Target="https://podminky.urs.cz/item/CS_URS_2022_02/998766181" TargetMode="External"/><Relationship Id="rId38" Type="http://schemas.openxmlformats.org/officeDocument/2006/relationships/hyperlink" Target="https://podminky.urs.cz/item/CS_URS_2022_02/771121011" TargetMode="External"/><Relationship Id="rId46" Type="http://schemas.openxmlformats.org/officeDocument/2006/relationships/hyperlink" Target="https://podminky.urs.cz/item/CS_URS_2022_02/771592011" TargetMode="External"/><Relationship Id="rId59" Type="http://schemas.openxmlformats.org/officeDocument/2006/relationships/hyperlink" Target="https://podminky.urs.cz/item/CS_URS_2022_02/781111011" TargetMode="External"/><Relationship Id="rId67" Type="http://schemas.openxmlformats.org/officeDocument/2006/relationships/hyperlink" Target="https://podminky.urs.cz/item/CS_URS_2022_02/781495141" TargetMode="External"/><Relationship Id="rId20" Type="http://schemas.openxmlformats.org/officeDocument/2006/relationships/hyperlink" Target="https://podminky.urs.cz/item/CS_URS_2022_02/998763381" TargetMode="External"/><Relationship Id="rId41" Type="http://schemas.openxmlformats.org/officeDocument/2006/relationships/hyperlink" Target="https://podminky.urs.cz/item/CS_URS_2022_02/771274241" TargetMode="External"/><Relationship Id="rId54" Type="http://schemas.openxmlformats.org/officeDocument/2006/relationships/hyperlink" Target="https://podminky.urs.cz/item/CS_URS_2022_02/776251411" TargetMode="External"/><Relationship Id="rId62" Type="http://schemas.openxmlformats.org/officeDocument/2006/relationships/hyperlink" Target="https://podminky.urs.cz/item/CS_URS_2022_02/781477111" TargetMode="External"/><Relationship Id="rId70" Type="http://schemas.openxmlformats.org/officeDocument/2006/relationships/hyperlink" Target="https://podminky.urs.cz/item/CS_URS_2022_02/781495211" TargetMode="External"/><Relationship Id="rId75" Type="http://schemas.openxmlformats.org/officeDocument/2006/relationships/hyperlink" Target="https://podminky.urs.cz/item/CS_URS_2022_02/783314203" TargetMode="External"/><Relationship Id="rId83" Type="http://schemas.openxmlformats.org/officeDocument/2006/relationships/hyperlink" Target="https://podminky.urs.cz/item/CS_URS_2022_02/784211103" TargetMode="External"/><Relationship Id="rId88" Type="http://schemas.openxmlformats.org/officeDocument/2006/relationships/hyperlink" Target="https://podminky.urs.cz/item/CS_URS_2022_02/998786181" TargetMode="External"/><Relationship Id="rId91" Type="http://schemas.openxmlformats.org/officeDocument/2006/relationships/printerSettings" Target="../printerSettings/printerSettings15.bin"/><Relationship Id="rId1" Type="http://schemas.openxmlformats.org/officeDocument/2006/relationships/hyperlink" Target="https://podminky.urs.cz/item/CS_URS_2022_02/611131101" TargetMode="External"/><Relationship Id="rId6" Type="http://schemas.openxmlformats.org/officeDocument/2006/relationships/hyperlink" Target="https://podminky.urs.cz/item/CS_URS_2022_02/952901111" TargetMode="External"/><Relationship Id="rId15" Type="http://schemas.openxmlformats.org/officeDocument/2006/relationships/hyperlink" Target="https://podminky.urs.cz/item/CS_URS_2022_02/763131411" TargetMode="External"/><Relationship Id="rId23" Type="http://schemas.openxmlformats.org/officeDocument/2006/relationships/hyperlink" Target="https://podminky.urs.cz/item/CS_URS_2022_02/766660021" TargetMode="External"/><Relationship Id="rId28" Type="http://schemas.openxmlformats.org/officeDocument/2006/relationships/hyperlink" Target="https://podminky.urs.cz/item/CS_URS_2022_02/766660729" TargetMode="External"/><Relationship Id="rId36" Type="http://schemas.openxmlformats.org/officeDocument/2006/relationships/hyperlink" Target="https://podminky.urs.cz/item/CS_URS_2022_02/998767181" TargetMode="External"/><Relationship Id="rId49" Type="http://schemas.openxmlformats.org/officeDocument/2006/relationships/hyperlink" Target="https://podminky.urs.cz/item/CS_URS_2022_02/776111111" TargetMode="External"/><Relationship Id="rId57" Type="http://schemas.openxmlformats.org/officeDocument/2006/relationships/hyperlink" Target="https://podminky.urs.cz/item/CS_URS_2022_02/998776102" TargetMode="External"/><Relationship Id="rId10" Type="http://schemas.openxmlformats.org/officeDocument/2006/relationships/hyperlink" Target="https://podminky.urs.cz/item/CS_URS_2022_02/714121013" TargetMode="External"/><Relationship Id="rId31" Type="http://schemas.openxmlformats.org/officeDocument/2006/relationships/hyperlink" Target="https://podminky.urs.cz/item/CS_URS_2022_02/766694114" TargetMode="External"/><Relationship Id="rId44" Type="http://schemas.openxmlformats.org/officeDocument/2006/relationships/hyperlink" Target="https://podminky.urs.cz/item/CS_URS_2022_02/771591112" TargetMode="External"/><Relationship Id="rId52" Type="http://schemas.openxmlformats.org/officeDocument/2006/relationships/hyperlink" Target="https://podminky.urs.cz/item/CS_URS_2022_02/776141121" TargetMode="External"/><Relationship Id="rId60" Type="http://schemas.openxmlformats.org/officeDocument/2006/relationships/hyperlink" Target="https://podminky.urs.cz/item/CS_URS_2022_02/781121011" TargetMode="External"/><Relationship Id="rId65" Type="http://schemas.openxmlformats.org/officeDocument/2006/relationships/hyperlink" Target="https://podminky.urs.cz/item/CS_URS_2022_02/781494111" TargetMode="External"/><Relationship Id="rId73" Type="http://schemas.openxmlformats.org/officeDocument/2006/relationships/hyperlink" Target="https://podminky.urs.cz/item/CS_URS_2022_02/783301311" TargetMode="External"/><Relationship Id="rId78" Type="http://schemas.openxmlformats.org/officeDocument/2006/relationships/hyperlink" Target="https://podminky.urs.cz/item/CS_URS_2022_02/784111003" TargetMode="External"/><Relationship Id="rId81" Type="http://schemas.openxmlformats.org/officeDocument/2006/relationships/hyperlink" Target="https://podminky.urs.cz/item/CS_URS_2022_02/784191005" TargetMode="External"/><Relationship Id="rId86" Type="http://schemas.openxmlformats.org/officeDocument/2006/relationships/hyperlink" Target="https://podminky.urs.cz/item/CS_URS_2022_02/786624111" TargetMode="External"/><Relationship Id="rId4" Type="http://schemas.openxmlformats.org/officeDocument/2006/relationships/hyperlink" Target="https://podminky.urs.cz/item/CS_URS_2022_02/611321191" TargetMode="External"/><Relationship Id="rId9" Type="http://schemas.openxmlformats.org/officeDocument/2006/relationships/hyperlink" Target="https://podminky.urs.cz/item/CS_URS_2022_02/99801800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2_02/181411131" TargetMode="External"/><Relationship Id="rId13" Type="http://schemas.openxmlformats.org/officeDocument/2006/relationships/hyperlink" Target="https://podminky.urs.cz/item/CS_URS_2022_02/564961215" TargetMode="External"/><Relationship Id="rId18" Type="http://schemas.openxmlformats.org/officeDocument/2006/relationships/printerSettings" Target="../printerSettings/printerSettings16.bin"/><Relationship Id="rId3" Type="http://schemas.openxmlformats.org/officeDocument/2006/relationships/hyperlink" Target="https://podminky.urs.cz/item/CS_URS_2022_02/162751119" TargetMode="External"/><Relationship Id="rId7" Type="http://schemas.openxmlformats.org/officeDocument/2006/relationships/hyperlink" Target="https://podminky.urs.cz/item/CS_URS_2022_02/181351103" TargetMode="External"/><Relationship Id="rId12" Type="http://schemas.openxmlformats.org/officeDocument/2006/relationships/hyperlink" Target="https://podminky.urs.cz/item/CS_URS_2022_02/564931212" TargetMode="External"/><Relationship Id="rId17" Type="http://schemas.openxmlformats.org/officeDocument/2006/relationships/hyperlink" Target="https://podminky.urs.cz/item/CS_URS_2022_02/998017001" TargetMode="External"/><Relationship Id="rId2" Type="http://schemas.openxmlformats.org/officeDocument/2006/relationships/hyperlink" Target="https://podminky.urs.cz/item/CS_URS_2022_02/162751117" TargetMode="External"/><Relationship Id="rId16" Type="http://schemas.openxmlformats.org/officeDocument/2006/relationships/hyperlink" Target="https://podminky.urs.cz/item/CS_URS_2022_02/637311131" TargetMode="External"/><Relationship Id="rId1" Type="http://schemas.openxmlformats.org/officeDocument/2006/relationships/hyperlink" Target="https://podminky.urs.cz/item/CS_URS_2022_02/162251122" TargetMode="External"/><Relationship Id="rId6" Type="http://schemas.openxmlformats.org/officeDocument/2006/relationships/hyperlink" Target="https://podminky.urs.cz/item/CS_URS_2022_02/171151112" TargetMode="External"/><Relationship Id="rId11" Type="http://schemas.openxmlformats.org/officeDocument/2006/relationships/hyperlink" Target="https://podminky.urs.cz/item/CS_URS_2022_02/564851111" TargetMode="External"/><Relationship Id="rId5" Type="http://schemas.openxmlformats.org/officeDocument/2006/relationships/hyperlink" Target="https://podminky.urs.cz/item/CS_URS_2022_02/167151112" TargetMode="External"/><Relationship Id="rId15" Type="http://schemas.openxmlformats.org/officeDocument/2006/relationships/hyperlink" Target="https://podminky.urs.cz/item/CS_URS_2022_02/637211911" TargetMode="External"/><Relationship Id="rId10" Type="http://schemas.openxmlformats.org/officeDocument/2006/relationships/hyperlink" Target="https://podminky.urs.cz/item/CS_URS_2022_02/181951114" TargetMode="External"/><Relationship Id="rId19" Type="http://schemas.openxmlformats.org/officeDocument/2006/relationships/drawing" Target="../drawings/drawing16.xml"/><Relationship Id="rId4" Type="http://schemas.openxmlformats.org/officeDocument/2006/relationships/hyperlink" Target="https://podminky.urs.cz/item/CS_URS_2022_02/167151111" TargetMode="External"/><Relationship Id="rId9" Type="http://schemas.openxmlformats.org/officeDocument/2006/relationships/hyperlink" Target="https://podminky.urs.cz/item/CS_URS_2022_02/181951112" TargetMode="External"/><Relationship Id="rId14" Type="http://schemas.openxmlformats.org/officeDocument/2006/relationships/hyperlink" Target="https://podminky.urs.cz/item/CS_URS_2022_02/637211311"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podminky.urs.cz/item/CS_URS_2022_02/HZS1292"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podminky.urs.cz/item/CS_URS_2022_02/HZS129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2_02/721173403" TargetMode="External"/><Relationship Id="rId18" Type="http://schemas.openxmlformats.org/officeDocument/2006/relationships/hyperlink" Target="https://podminky.urs.cz/item/CS_URS_2022_02/721174025" TargetMode="External"/><Relationship Id="rId26" Type="http://schemas.openxmlformats.org/officeDocument/2006/relationships/hyperlink" Target="https://podminky.urs.cz/item/CS_URS_2022_02/721174064" TargetMode="External"/><Relationship Id="rId39" Type="http://schemas.openxmlformats.org/officeDocument/2006/relationships/hyperlink" Target="https://podminky.urs.cz/item/CS_URS_2022_02/722174024" TargetMode="External"/><Relationship Id="rId21" Type="http://schemas.openxmlformats.org/officeDocument/2006/relationships/hyperlink" Target="https://podminky.urs.cz/item/CS_URS_2022_02/721174043" TargetMode="External"/><Relationship Id="rId34" Type="http://schemas.openxmlformats.org/officeDocument/2006/relationships/hyperlink" Target="https://podminky.urs.cz/item/CS_URS_2022_02/722174003" TargetMode="External"/><Relationship Id="rId42" Type="http://schemas.openxmlformats.org/officeDocument/2006/relationships/hyperlink" Target="https://podminky.urs.cz/item/CS_URS_2022_02/722181211" TargetMode="External"/><Relationship Id="rId47" Type="http://schemas.openxmlformats.org/officeDocument/2006/relationships/hyperlink" Target="https://podminky.urs.cz/item/CS_URS_2022_02/722220231" TargetMode="External"/><Relationship Id="rId50" Type="http://schemas.openxmlformats.org/officeDocument/2006/relationships/hyperlink" Target="https://podminky.urs.cz/item/CS_URS_2022_02/722232046" TargetMode="External"/><Relationship Id="rId55" Type="http://schemas.openxmlformats.org/officeDocument/2006/relationships/hyperlink" Target="https://podminky.urs.cz/item/CS_URS_2022_02/725112022" TargetMode="External"/><Relationship Id="rId63" Type="http://schemas.openxmlformats.org/officeDocument/2006/relationships/hyperlink" Target="https://podminky.urs.cz/item/CS_URS_2022_02/725291703" TargetMode="External"/><Relationship Id="rId68" Type="http://schemas.openxmlformats.org/officeDocument/2006/relationships/hyperlink" Target="https://podminky.urs.cz/item/CS_URS_2022_02/725813111" TargetMode="External"/><Relationship Id="rId76" Type="http://schemas.openxmlformats.org/officeDocument/2006/relationships/hyperlink" Target="https://podminky.urs.cz/item/CS_URS_2022_02/726131041" TargetMode="External"/><Relationship Id="rId84" Type="http://schemas.openxmlformats.org/officeDocument/2006/relationships/printerSettings" Target="../printerSettings/printerSettings21.bin"/><Relationship Id="rId7" Type="http://schemas.openxmlformats.org/officeDocument/2006/relationships/hyperlink" Target="https://podminky.urs.cz/item/CS_URS_2022_02/175111101" TargetMode="External"/><Relationship Id="rId71" Type="http://schemas.openxmlformats.org/officeDocument/2006/relationships/hyperlink" Target="https://podminky.urs.cz/item/CS_URS_2022_02/725861102" TargetMode="External"/><Relationship Id="rId2" Type="http://schemas.openxmlformats.org/officeDocument/2006/relationships/hyperlink" Target="https://podminky.urs.cz/item/CS_URS_2022_02/162751117" TargetMode="External"/><Relationship Id="rId16" Type="http://schemas.openxmlformats.org/officeDocument/2006/relationships/hyperlink" Target="https://podminky.urs.cz/item/CS_URS_2022_02/721174007" TargetMode="External"/><Relationship Id="rId29" Type="http://schemas.openxmlformats.org/officeDocument/2006/relationships/hyperlink" Target="https://podminky.urs.cz/item/CS_URS_2022_02/721290111" TargetMode="External"/><Relationship Id="rId11" Type="http://schemas.openxmlformats.org/officeDocument/2006/relationships/hyperlink" Target="https://podminky.urs.cz/item/CS_URS_2022_02/953942426" TargetMode="External"/><Relationship Id="rId24" Type="http://schemas.openxmlformats.org/officeDocument/2006/relationships/hyperlink" Target="https://podminky.urs.cz/item/CS_URS_2022_02/721174057" TargetMode="External"/><Relationship Id="rId32" Type="http://schemas.openxmlformats.org/officeDocument/2006/relationships/hyperlink" Target="https://podminky.urs.cz/item/CS_URS_2022_02/998721181" TargetMode="External"/><Relationship Id="rId37" Type="http://schemas.openxmlformats.org/officeDocument/2006/relationships/hyperlink" Target="https://podminky.urs.cz/item/CS_URS_2022_02/722174022" TargetMode="External"/><Relationship Id="rId40" Type="http://schemas.openxmlformats.org/officeDocument/2006/relationships/hyperlink" Target="https://podminky.urs.cz/item/CS_URS_2022_02/722174072" TargetMode="External"/><Relationship Id="rId45" Type="http://schemas.openxmlformats.org/officeDocument/2006/relationships/hyperlink" Target="https://podminky.urs.cz/item/CS_URS_2022_02/722181241" TargetMode="External"/><Relationship Id="rId53" Type="http://schemas.openxmlformats.org/officeDocument/2006/relationships/hyperlink" Target="https://podminky.urs.cz/item/CS_URS_2022_02/998722102" TargetMode="External"/><Relationship Id="rId58" Type="http://schemas.openxmlformats.org/officeDocument/2006/relationships/hyperlink" Target="https://podminky.urs.cz/item/CS_URS_2022_02/725113914" TargetMode="External"/><Relationship Id="rId66" Type="http://schemas.openxmlformats.org/officeDocument/2006/relationships/hyperlink" Target="https://podminky.urs.cz/item/CS_URS_2022_02/725331111" TargetMode="External"/><Relationship Id="rId74" Type="http://schemas.openxmlformats.org/officeDocument/2006/relationships/hyperlink" Target="https://podminky.urs.cz/item/CS_URS_2022_02/998725181" TargetMode="External"/><Relationship Id="rId79" Type="http://schemas.openxmlformats.org/officeDocument/2006/relationships/hyperlink" Target="https://podminky.urs.cz/item/CS_URS_2022_02/998726181" TargetMode="External"/><Relationship Id="rId5" Type="http://schemas.openxmlformats.org/officeDocument/2006/relationships/hyperlink" Target="https://podminky.urs.cz/item/CS_URS_2022_02/171251201" TargetMode="External"/><Relationship Id="rId61" Type="http://schemas.openxmlformats.org/officeDocument/2006/relationships/hyperlink" Target="https://podminky.urs.cz/item/CS_URS_2022_02/725211681" TargetMode="External"/><Relationship Id="rId82" Type="http://schemas.openxmlformats.org/officeDocument/2006/relationships/hyperlink" Target="https://podminky.urs.cz/item/CS_URS_2022_02/998732181" TargetMode="External"/><Relationship Id="rId19" Type="http://schemas.openxmlformats.org/officeDocument/2006/relationships/hyperlink" Target="https://podminky.urs.cz/item/CS_URS_2022_02/721174026" TargetMode="External"/><Relationship Id="rId4" Type="http://schemas.openxmlformats.org/officeDocument/2006/relationships/hyperlink" Target="https://podminky.urs.cz/item/CS_URS_2022_02/171201231" TargetMode="External"/><Relationship Id="rId9" Type="http://schemas.openxmlformats.org/officeDocument/2006/relationships/hyperlink" Target="https://podminky.urs.cz/item/CS_URS_2022_02/899721111" TargetMode="External"/><Relationship Id="rId14" Type="http://schemas.openxmlformats.org/officeDocument/2006/relationships/hyperlink" Target="https://podminky.urs.cz/item/CS_URS_2022_02/721174004" TargetMode="External"/><Relationship Id="rId22" Type="http://schemas.openxmlformats.org/officeDocument/2006/relationships/hyperlink" Target="https://podminky.urs.cz/item/CS_URS_2022_02/721174045" TargetMode="External"/><Relationship Id="rId27" Type="http://schemas.openxmlformats.org/officeDocument/2006/relationships/hyperlink" Target="https://podminky.urs.cz/item/CS_URS_2022_02/721273152" TargetMode="External"/><Relationship Id="rId30" Type="http://schemas.openxmlformats.org/officeDocument/2006/relationships/hyperlink" Target="https://podminky.urs.cz/item/CS_URS_2022_02/721290112" TargetMode="External"/><Relationship Id="rId35" Type="http://schemas.openxmlformats.org/officeDocument/2006/relationships/hyperlink" Target="https://podminky.urs.cz/item/CS_URS_2022_02/722174004" TargetMode="External"/><Relationship Id="rId43" Type="http://schemas.openxmlformats.org/officeDocument/2006/relationships/hyperlink" Target="https://podminky.urs.cz/item/CS_URS_2022_02/722181212" TargetMode="External"/><Relationship Id="rId48" Type="http://schemas.openxmlformats.org/officeDocument/2006/relationships/hyperlink" Target="https://podminky.urs.cz/item/CS_URS_2022_02/722220234" TargetMode="External"/><Relationship Id="rId56" Type="http://schemas.openxmlformats.org/officeDocument/2006/relationships/hyperlink" Target="https://podminky.urs.cz/item/CS_URS_2022_02/725112022" TargetMode="External"/><Relationship Id="rId64" Type="http://schemas.openxmlformats.org/officeDocument/2006/relationships/hyperlink" Target="https://podminky.urs.cz/item/CS_URS_2022_02/725291712" TargetMode="External"/><Relationship Id="rId69" Type="http://schemas.openxmlformats.org/officeDocument/2006/relationships/hyperlink" Target="https://podminky.urs.cz/item/CS_URS_2022_02/725822611" TargetMode="External"/><Relationship Id="rId77" Type="http://schemas.openxmlformats.org/officeDocument/2006/relationships/hyperlink" Target="https://podminky.urs.cz/item/CS_URS_2022_02/726131043" TargetMode="External"/><Relationship Id="rId8" Type="http://schemas.openxmlformats.org/officeDocument/2006/relationships/hyperlink" Target="https://podminky.urs.cz/item/CS_URS_2022_02/451573111" TargetMode="External"/><Relationship Id="rId51" Type="http://schemas.openxmlformats.org/officeDocument/2006/relationships/hyperlink" Target="https://podminky.urs.cz/item/CS_URS_2022_02/722290226" TargetMode="External"/><Relationship Id="rId72" Type="http://schemas.openxmlformats.org/officeDocument/2006/relationships/hyperlink" Target="https://podminky.urs.cz/item/CS_URS_2022_02/725865411" TargetMode="External"/><Relationship Id="rId80" Type="http://schemas.openxmlformats.org/officeDocument/2006/relationships/hyperlink" Target="https://podminky.urs.cz/item/CS_URS_2022_02/732421406" TargetMode="External"/><Relationship Id="rId85" Type="http://schemas.openxmlformats.org/officeDocument/2006/relationships/drawing" Target="../drawings/drawing20.xml"/><Relationship Id="rId3" Type="http://schemas.openxmlformats.org/officeDocument/2006/relationships/hyperlink" Target="https://podminky.urs.cz/item/CS_URS_2022_02/162751119" TargetMode="External"/><Relationship Id="rId12" Type="http://schemas.openxmlformats.org/officeDocument/2006/relationships/hyperlink" Target="https://podminky.urs.cz/item/CS_URS_2022_02/998018002" TargetMode="External"/><Relationship Id="rId17" Type="http://schemas.openxmlformats.org/officeDocument/2006/relationships/hyperlink" Target="https://podminky.urs.cz/item/CS_URS_2022_02/721174024" TargetMode="External"/><Relationship Id="rId25" Type="http://schemas.openxmlformats.org/officeDocument/2006/relationships/hyperlink" Target="https://podminky.urs.cz/item/CS_URS_2022_02/721174062" TargetMode="External"/><Relationship Id="rId33" Type="http://schemas.openxmlformats.org/officeDocument/2006/relationships/hyperlink" Target="https://podminky.urs.cz/item/CS_URS_2022_02/722174002" TargetMode="External"/><Relationship Id="rId38" Type="http://schemas.openxmlformats.org/officeDocument/2006/relationships/hyperlink" Target="https://podminky.urs.cz/item/CS_URS_2022_02/722174023" TargetMode="External"/><Relationship Id="rId46" Type="http://schemas.openxmlformats.org/officeDocument/2006/relationships/hyperlink" Target="https://podminky.urs.cz/item/CS_URS_2022_02/722181252" TargetMode="External"/><Relationship Id="rId59" Type="http://schemas.openxmlformats.org/officeDocument/2006/relationships/hyperlink" Target="https://podminky.urs.cz/item/CS_URS_2022_02/725121527" TargetMode="External"/><Relationship Id="rId67" Type="http://schemas.openxmlformats.org/officeDocument/2006/relationships/hyperlink" Target="https://podminky.urs.cz/item/CS_URS_2022_02/725811301" TargetMode="External"/><Relationship Id="rId20" Type="http://schemas.openxmlformats.org/officeDocument/2006/relationships/hyperlink" Target="https://podminky.urs.cz/item/CS_URS_2022_02/721174042" TargetMode="External"/><Relationship Id="rId41" Type="http://schemas.openxmlformats.org/officeDocument/2006/relationships/hyperlink" Target="https://podminky.urs.cz/item/CS_URS_2022_02/722174073" TargetMode="External"/><Relationship Id="rId54" Type="http://schemas.openxmlformats.org/officeDocument/2006/relationships/hyperlink" Target="https://podminky.urs.cz/item/CS_URS_2022_02/998722181" TargetMode="External"/><Relationship Id="rId62" Type="http://schemas.openxmlformats.org/officeDocument/2006/relationships/hyperlink" Target="https://podminky.urs.cz/item/CS_URS_2022_02/725231203" TargetMode="External"/><Relationship Id="rId70" Type="http://schemas.openxmlformats.org/officeDocument/2006/relationships/hyperlink" Target="https://podminky.urs.cz/item/CS_URS_2022_02/725829121" TargetMode="External"/><Relationship Id="rId75" Type="http://schemas.openxmlformats.org/officeDocument/2006/relationships/hyperlink" Target="https://podminky.urs.cz/item/CS_URS_2022_02/726131011" TargetMode="External"/><Relationship Id="rId83" Type="http://schemas.openxmlformats.org/officeDocument/2006/relationships/hyperlink" Target="https://podminky.urs.cz/item/CS_URS_2022_02/HZS1292" TargetMode="External"/><Relationship Id="rId1" Type="http://schemas.openxmlformats.org/officeDocument/2006/relationships/hyperlink" Target="https://podminky.urs.cz/item/CS_URS_2022_02/132251101" TargetMode="External"/><Relationship Id="rId6" Type="http://schemas.openxmlformats.org/officeDocument/2006/relationships/hyperlink" Target="https://podminky.urs.cz/item/CS_URS_2022_02/174151101" TargetMode="External"/><Relationship Id="rId15" Type="http://schemas.openxmlformats.org/officeDocument/2006/relationships/hyperlink" Target="https://podminky.urs.cz/item/CS_URS_2022_02/721174006" TargetMode="External"/><Relationship Id="rId23" Type="http://schemas.openxmlformats.org/officeDocument/2006/relationships/hyperlink" Target="https://podminky.urs.cz/item/CS_URS_2022_02/721174055" TargetMode="External"/><Relationship Id="rId28" Type="http://schemas.openxmlformats.org/officeDocument/2006/relationships/hyperlink" Target="https://podminky.urs.cz/item/CS_URS_2022_02/721273153" TargetMode="External"/><Relationship Id="rId36" Type="http://schemas.openxmlformats.org/officeDocument/2006/relationships/hyperlink" Target="https://podminky.urs.cz/item/CS_URS_2022_02/722174005" TargetMode="External"/><Relationship Id="rId49" Type="http://schemas.openxmlformats.org/officeDocument/2006/relationships/hyperlink" Target="https://podminky.urs.cz/item/CS_URS_2022_02/722232043" TargetMode="External"/><Relationship Id="rId57" Type="http://schemas.openxmlformats.org/officeDocument/2006/relationships/hyperlink" Target="https://podminky.urs.cz/item/CS_URS_2022_02/725113913" TargetMode="External"/><Relationship Id="rId10" Type="http://schemas.openxmlformats.org/officeDocument/2006/relationships/hyperlink" Target="https://podminky.urs.cz/item/CS_URS_2022_02/899722113" TargetMode="External"/><Relationship Id="rId31" Type="http://schemas.openxmlformats.org/officeDocument/2006/relationships/hyperlink" Target="https://podminky.urs.cz/item/CS_URS_2022_02/998721102" TargetMode="External"/><Relationship Id="rId44" Type="http://schemas.openxmlformats.org/officeDocument/2006/relationships/hyperlink" Target="https://podminky.urs.cz/item/CS_URS_2022_02/722181213" TargetMode="External"/><Relationship Id="rId52" Type="http://schemas.openxmlformats.org/officeDocument/2006/relationships/hyperlink" Target="https://podminky.urs.cz/item/CS_URS_2022_02/722290234" TargetMode="External"/><Relationship Id="rId60" Type="http://schemas.openxmlformats.org/officeDocument/2006/relationships/hyperlink" Target="https://podminky.urs.cz/item/CS_URS_2022_02/725211616" TargetMode="External"/><Relationship Id="rId65" Type="http://schemas.openxmlformats.org/officeDocument/2006/relationships/hyperlink" Target="https://podminky.urs.cz/item/CS_URS_2022_02/725291722" TargetMode="External"/><Relationship Id="rId73" Type="http://schemas.openxmlformats.org/officeDocument/2006/relationships/hyperlink" Target="https://podminky.urs.cz/item/CS_URS_2022_02/998725102" TargetMode="External"/><Relationship Id="rId78" Type="http://schemas.openxmlformats.org/officeDocument/2006/relationships/hyperlink" Target="https://podminky.urs.cz/item/CS_URS_2022_02/998726112" TargetMode="External"/><Relationship Id="rId81" Type="http://schemas.openxmlformats.org/officeDocument/2006/relationships/hyperlink" Target="https://podminky.urs.cz/item/CS_URS_2022_02/998732101"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s://podminky.urs.cz/item/CS_URS_2022_02/HZS1292"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3.xml"/><Relationship Id="rId3" Type="http://schemas.openxmlformats.org/officeDocument/2006/relationships/hyperlink" Target="https://podminky.urs.cz/item/CS_URS_2022_02/030001000" TargetMode="External"/><Relationship Id="rId7" Type="http://schemas.openxmlformats.org/officeDocument/2006/relationships/printerSettings" Target="../printerSettings/printerSettings24.bin"/><Relationship Id="rId2" Type="http://schemas.openxmlformats.org/officeDocument/2006/relationships/hyperlink" Target="https://podminky.urs.cz/item/CS_URS_2022_02/013254000" TargetMode="External"/><Relationship Id="rId1" Type="http://schemas.openxmlformats.org/officeDocument/2006/relationships/hyperlink" Target="https://podminky.urs.cz/item/CS_URS_2022_02/012303000" TargetMode="External"/><Relationship Id="rId6" Type="http://schemas.openxmlformats.org/officeDocument/2006/relationships/hyperlink" Target="https://podminky.urs.cz/item/CS_URS_2022_02/034503000" TargetMode="External"/><Relationship Id="rId5" Type="http://schemas.openxmlformats.org/officeDocument/2006/relationships/hyperlink" Target="https://podminky.urs.cz/item/CS_URS_2022_02/033203000" TargetMode="External"/><Relationship Id="rId4" Type="http://schemas.openxmlformats.org/officeDocument/2006/relationships/hyperlink" Target="https://podminky.urs.cz/item/CS_URS_2022_02/033002000"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6"/>
  <sheetViews>
    <sheetView showGridLines="0" topLeftCell="A10" workbookViewId="0">
      <selection activeCell="G45" sqref="G4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411" t="s">
        <v>6</v>
      </c>
      <c r="AS2" s="412"/>
      <c r="AT2" s="412"/>
      <c r="AU2" s="412"/>
      <c r="AV2" s="412"/>
      <c r="AW2" s="412"/>
      <c r="AX2" s="412"/>
      <c r="AY2" s="412"/>
      <c r="AZ2" s="412"/>
      <c r="BA2" s="412"/>
      <c r="BB2" s="412"/>
      <c r="BC2" s="412"/>
      <c r="BD2" s="412"/>
      <c r="BE2" s="412"/>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424" t="s">
        <v>15</v>
      </c>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R5" s="22"/>
      <c r="BE5" s="421" t="s">
        <v>16</v>
      </c>
      <c r="BS5" s="19" t="s">
        <v>7</v>
      </c>
    </row>
    <row r="6" spans="1:74" s="1" customFormat="1" ht="36.950000000000003" customHeight="1">
      <c r="B6" s="22"/>
      <c r="D6" s="28" t="s">
        <v>17</v>
      </c>
      <c r="K6" s="425" t="s">
        <v>18</v>
      </c>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R6" s="22"/>
      <c r="BE6" s="422"/>
      <c r="BS6" s="19" t="s">
        <v>7</v>
      </c>
    </row>
    <row r="7" spans="1:74" s="1" customFormat="1" ht="12" customHeight="1">
      <c r="B7" s="22"/>
      <c r="D7" s="29" t="s">
        <v>19</v>
      </c>
      <c r="K7" s="27" t="s">
        <v>3</v>
      </c>
      <c r="AK7" s="29" t="s">
        <v>20</v>
      </c>
      <c r="AN7" s="27" t="s">
        <v>3</v>
      </c>
      <c r="AR7" s="22"/>
      <c r="BE7" s="422"/>
      <c r="BS7" s="19" t="s">
        <v>7</v>
      </c>
    </row>
    <row r="8" spans="1:74" s="1" customFormat="1" ht="12" customHeight="1">
      <c r="B8" s="22"/>
      <c r="D8" s="29" t="s">
        <v>21</v>
      </c>
      <c r="K8" s="27" t="s">
        <v>22</v>
      </c>
      <c r="AK8" s="29" t="s">
        <v>23</v>
      </c>
      <c r="AN8" s="30" t="s">
        <v>24</v>
      </c>
      <c r="AR8" s="22"/>
      <c r="BE8" s="422"/>
      <c r="BS8" s="19" t="s">
        <v>7</v>
      </c>
    </row>
    <row r="9" spans="1:74" s="1" customFormat="1" ht="14.45" customHeight="1">
      <c r="B9" s="22"/>
      <c r="AR9" s="22"/>
      <c r="BE9" s="422"/>
      <c r="BS9" s="19" t="s">
        <v>7</v>
      </c>
    </row>
    <row r="10" spans="1:74" s="1" customFormat="1" ht="12" customHeight="1">
      <c r="B10" s="22"/>
      <c r="D10" s="29" t="s">
        <v>25</v>
      </c>
      <c r="AK10" s="29" t="s">
        <v>26</v>
      </c>
      <c r="AN10" s="27" t="s">
        <v>27</v>
      </c>
      <c r="AR10" s="22"/>
      <c r="BE10" s="422"/>
      <c r="BS10" s="19" t="s">
        <v>7</v>
      </c>
    </row>
    <row r="11" spans="1:74" s="1" customFormat="1" ht="18.399999999999999" customHeight="1">
      <c r="B11" s="22"/>
      <c r="E11" s="27" t="s">
        <v>28</v>
      </c>
      <c r="AK11" s="29" t="s">
        <v>29</v>
      </c>
      <c r="AN11" s="27" t="s">
        <v>3</v>
      </c>
      <c r="AR11" s="22"/>
      <c r="BE11" s="422"/>
      <c r="BS11" s="19" t="s">
        <v>7</v>
      </c>
    </row>
    <row r="12" spans="1:74" s="1" customFormat="1" ht="6.95" customHeight="1">
      <c r="B12" s="22"/>
      <c r="AR12" s="22"/>
      <c r="BE12" s="422"/>
      <c r="BS12" s="19" t="s">
        <v>7</v>
      </c>
    </row>
    <row r="13" spans="1:74" s="1" customFormat="1" ht="12" customHeight="1">
      <c r="B13" s="22"/>
      <c r="D13" s="29" t="s">
        <v>30</v>
      </c>
      <c r="AK13" s="29" t="s">
        <v>26</v>
      </c>
      <c r="AN13" s="31" t="s">
        <v>31</v>
      </c>
      <c r="AR13" s="22"/>
      <c r="BE13" s="422"/>
      <c r="BS13" s="19" t="s">
        <v>7</v>
      </c>
    </row>
    <row r="14" spans="1:74" ht="12.75">
      <c r="B14" s="22"/>
      <c r="E14" s="426" t="s">
        <v>31</v>
      </c>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29" t="s">
        <v>29</v>
      </c>
      <c r="AN14" s="31" t="s">
        <v>31</v>
      </c>
      <c r="AR14" s="22"/>
      <c r="BE14" s="422"/>
      <c r="BS14" s="19" t="s">
        <v>7</v>
      </c>
    </row>
    <row r="15" spans="1:74" s="1" customFormat="1" ht="6.95" customHeight="1">
      <c r="B15" s="22"/>
      <c r="AR15" s="22"/>
      <c r="BE15" s="422"/>
      <c r="BS15" s="19" t="s">
        <v>4</v>
      </c>
    </row>
    <row r="16" spans="1:74" s="1" customFormat="1" ht="12" customHeight="1">
      <c r="B16" s="22"/>
      <c r="D16" s="29" t="s">
        <v>32</v>
      </c>
      <c r="AK16" s="29" t="s">
        <v>26</v>
      </c>
      <c r="AN16" s="27" t="s">
        <v>33</v>
      </c>
      <c r="AR16" s="22"/>
      <c r="BE16" s="422"/>
      <c r="BS16" s="19" t="s">
        <v>4</v>
      </c>
    </row>
    <row r="17" spans="1:71" s="1" customFormat="1" ht="18.399999999999999" customHeight="1">
      <c r="B17" s="22"/>
      <c r="E17" s="27" t="s">
        <v>34</v>
      </c>
      <c r="AK17" s="29" t="s">
        <v>29</v>
      </c>
      <c r="AN17" s="27" t="s">
        <v>35</v>
      </c>
      <c r="AR17" s="22"/>
      <c r="BE17" s="422"/>
      <c r="BS17" s="19" t="s">
        <v>36</v>
      </c>
    </row>
    <row r="18" spans="1:71" s="1" customFormat="1" ht="6.95" customHeight="1">
      <c r="B18" s="22"/>
      <c r="AR18" s="22"/>
      <c r="BE18" s="422"/>
      <c r="BS18" s="19" t="s">
        <v>7</v>
      </c>
    </row>
    <row r="19" spans="1:71" s="1" customFormat="1" ht="12" customHeight="1">
      <c r="B19" s="22"/>
      <c r="D19" s="29" t="s">
        <v>37</v>
      </c>
      <c r="AK19" s="29" t="s">
        <v>26</v>
      </c>
      <c r="AN19" s="27" t="s">
        <v>38</v>
      </c>
      <c r="AR19" s="22"/>
      <c r="BE19" s="422"/>
      <c r="BS19" s="19" t="s">
        <v>7</v>
      </c>
    </row>
    <row r="20" spans="1:71" s="1" customFormat="1" ht="18.399999999999999" customHeight="1">
      <c r="B20" s="22"/>
      <c r="E20" s="27" t="s">
        <v>39</v>
      </c>
      <c r="AK20" s="29" t="s">
        <v>29</v>
      </c>
      <c r="AN20" s="27" t="s">
        <v>40</v>
      </c>
      <c r="AR20" s="22"/>
      <c r="BE20" s="422"/>
      <c r="BS20" s="19" t="s">
        <v>36</v>
      </c>
    </row>
    <row r="21" spans="1:71" s="1" customFormat="1" ht="6.95" customHeight="1">
      <c r="B21" s="22"/>
      <c r="AR21" s="22"/>
      <c r="BE21" s="422"/>
    </row>
    <row r="22" spans="1:71" s="1" customFormat="1" ht="12" customHeight="1">
      <c r="B22" s="22"/>
      <c r="D22" s="29" t="s">
        <v>41</v>
      </c>
      <c r="AR22" s="22"/>
      <c r="BE22" s="422"/>
    </row>
    <row r="23" spans="1:71" s="1" customFormat="1" ht="47.25" customHeight="1">
      <c r="B23" s="22"/>
      <c r="E23" s="428" t="s">
        <v>42</v>
      </c>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R23" s="22"/>
      <c r="BE23" s="422"/>
    </row>
    <row r="24" spans="1:71" s="1" customFormat="1" ht="6.95" customHeight="1">
      <c r="B24" s="22"/>
      <c r="AR24" s="22"/>
      <c r="BE24" s="422"/>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422"/>
    </row>
    <row r="26" spans="1:71" s="2" customFormat="1" ht="25.9" customHeight="1">
      <c r="A26" s="34"/>
      <c r="B26" s="35"/>
      <c r="C26" s="34"/>
      <c r="D26" s="36" t="s">
        <v>43</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429">
        <f>ROUND(AG54,2)</f>
        <v>0</v>
      </c>
      <c r="AL26" s="430"/>
      <c r="AM26" s="430"/>
      <c r="AN26" s="430"/>
      <c r="AO26" s="430"/>
      <c r="AP26" s="34"/>
      <c r="AQ26" s="34"/>
      <c r="AR26" s="35"/>
      <c r="BE26" s="422"/>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422"/>
    </row>
    <row r="28" spans="1:71" s="2" customFormat="1" ht="12.75">
      <c r="A28" s="34"/>
      <c r="B28" s="35"/>
      <c r="C28" s="34"/>
      <c r="D28" s="34"/>
      <c r="E28" s="34"/>
      <c r="F28" s="34"/>
      <c r="G28" s="34"/>
      <c r="H28" s="34"/>
      <c r="I28" s="34"/>
      <c r="J28" s="34"/>
      <c r="K28" s="34"/>
      <c r="L28" s="431" t="s">
        <v>44</v>
      </c>
      <c r="M28" s="431"/>
      <c r="N28" s="431"/>
      <c r="O28" s="431"/>
      <c r="P28" s="431"/>
      <c r="Q28" s="34"/>
      <c r="R28" s="34"/>
      <c r="S28" s="34"/>
      <c r="T28" s="34"/>
      <c r="U28" s="34"/>
      <c r="V28" s="34"/>
      <c r="W28" s="431" t="s">
        <v>45</v>
      </c>
      <c r="X28" s="431"/>
      <c r="Y28" s="431"/>
      <c r="Z28" s="431"/>
      <c r="AA28" s="431"/>
      <c r="AB28" s="431"/>
      <c r="AC28" s="431"/>
      <c r="AD28" s="431"/>
      <c r="AE28" s="431"/>
      <c r="AF28" s="34"/>
      <c r="AG28" s="34"/>
      <c r="AH28" s="34"/>
      <c r="AI28" s="34"/>
      <c r="AJ28" s="34"/>
      <c r="AK28" s="431" t="s">
        <v>46</v>
      </c>
      <c r="AL28" s="431"/>
      <c r="AM28" s="431"/>
      <c r="AN28" s="431"/>
      <c r="AO28" s="431"/>
      <c r="AP28" s="34"/>
      <c r="AQ28" s="34"/>
      <c r="AR28" s="35"/>
      <c r="BE28" s="422"/>
    </row>
    <row r="29" spans="1:71" s="3" customFormat="1" ht="14.45" customHeight="1">
      <c r="B29" s="39"/>
      <c r="D29" s="29" t="s">
        <v>47</v>
      </c>
      <c r="F29" s="29" t="s">
        <v>48</v>
      </c>
      <c r="L29" s="406">
        <v>0.21</v>
      </c>
      <c r="M29" s="405"/>
      <c r="N29" s="405"/>
      <c r="O29" s="405"/>
      <c r="P29" s="405"/>
      <c r="W29" s="404">
        <f>ROUND(AZ54, 2)</f>
        <v>0</v>
      </c>
      <c r="X29" s="405"/>
      <c r="Y29" s="405"/>
      <c r="Z29" s="405"/>
      <c r="AA29" s="405"/>
      <c r="AB29" s="405"/>
      <c r="AC29" s="405"/>
      <c r="AD29" s="405"/>
      <c r="AE29" s="405"/>
      <c r="AK29" s="404">
        <f>ROUND(AV54, 2)</f>
        <v>0</v>
      </c>
      <c r="AL29" s="405"/>
      <c r="AM29" s="405"/>
      <c r="AN29" s="405"/>
      <c r="AO29" s="405"/>
      <c r="AR29" s="39"/>
      <c r="BE29" s="423"/>
    </row>
    <row r="30" spans="1:71" s="3" customFormat="1" ht="14.45" customHeight="1">
      <c r="B30" s="39"/>
      <c r="F30" s="29" t="s">
        <v>49</v>
      </c>
      <c r="L30" s="406">
        <v>0.15</v>
      </c>
      <c r="M30" s="405"/>
      <c r="N30" s="405"/>
      <c r="O30" s="405"/>
      <c r="P30" s="405"/>
      <c r="W30" s="404">
        <f>ROUND(BA54, 2)</f>
        <v>0</v>
      </c>
      <c r="X30" s="405"/>
      <c r="Y30" s="405"/>
      <c r="Z30" s="405"/>
      <c r="AA30" s="405"/>
      <c r="AB30" s="405"/>
      <c r="AC30" s="405"/>
      <c r="AD30" s="405"/>
      <c r="AE30" s="405"/>
      <c r="AK30" s="404">
        <f>ROUND(AW54, 2)</f>
        <v>0</v>
      </c>
      <c r="AL30" s="405"/>
      <c r="AM30" s="405"/>
      <c r="AN30" s="405"/>
      <c r="AO30" s="405"/>
      <c r="AR30" s="39"/>
      <c r="BE30" s="423"/>
    </row>
    <row r="31" spans="1:71" s="3" customFormat="1" ht="14.45" hidden="1" customHeight="1">
      <c r="B31" s="39"/>
      <c r="F31" s="29" t="s">
        <v>50</v>
      </c>
      <c r="L31" s="406">
        <v>0.21</v>
      </c>
      <c r="M31" s="405"/>
      <c r="N31" s="405"/>
      <c r="O31" s="405"/>
      <c r="P31" s="405"/>
      <c r="W31" s="404">
        <f>ROUND(BB54, 2)</f>
        <v>0</v>
      </c>
      <c r="X31" s="405"/>
      <c r="Y31" s="405"/>
      <c r="Z31" s="405"/>
      <c r="AA31" s="405"/>
      <c r="AB31" s="405"/>
      <c r="AC31" s="405"/>
      <c r="AD31" s="405"/>
      <c r="AE31" s="405"/>
      <c r="AK31" s="404">
        <v>0</v>
      </c>
      <c r="AL31" s="405"/>
      <c r="AM31" s="405"/>
      <c r="AN31" s="405"/>
      <c r="AO31" s="405"/>
      <c r="AR31" s="39"/>
      <c r="BE31" s="423"/>
    </row>
    <row r="32" spans="1:71" s="3" customFormat="1" ht="14.45" hidden="1" customHeight="1">
      <c r="B32" s="39"/>
      <c r="F32" s="29" t="s">
        <v>51</v>
      </c>
      <c r="L32" s="406">
        <v>0.15</v>
      </c>
      <c r="M32" s="405"/>
      <c r="N32" s="405"/>
      <c r="O32" s="405"/>
      <c r="P32" s="405"/>
      <c r="W32" s="404">
        <f>ROUND(BC54, 2)</f>
        <v>0</v>
      </c>
      <c r="X32" s="405"/>
      <c r="Y32" s="405"/>
      <c r="Z32" s="405"/>
      <c r="AA32" s="405"/>
      <c r="AB32" s="405"/>
      <c r="AC32" s="405"/>
      <c r="AD32" s="405"/>
      <c r="AE32" s="405"/>
      <c r="AK32" s="404">
        <v>0</v>
      </c>
      <c r="AL32" s="405"/>
      <c r="AM32" s="405"/>
      <c r="AN32" s="405"/>
      <c r="AO32" s="405"/>
      <c r="AR32" s="39"/>
      <c r="BE32" s="423"/>
    </row>
    <row r="33" spans="1:57" s="3" customFormat="1" ht="14.45" hidden="1" customHeight="1">
      <c r="B33" s="39"/>
      <c r="F33" s="29" t="s">
        <v>52</v>
      </c>
      <c r="L33" s="406">
        <v>0</v>
      </c>
      <c r="M33" s="405"/>
      <c r="N33" s="405"/>
      <c r="O33" s="405"/>
      <c r="P33" s="405"/>
      <c r="W33" s="404">
        <f>ROUND(BD54, 2)</f>
        <v>0</v>
      </c>
      <c r="X33" s="405"/>
      <c r="Y33" s="405"/>
      <c r="Z33" s="405"/>
      <c r="AA33" s="405"/>
      <c r="AB33" s="405"/>
      <c r="AC33" s="405"/>
      <c r="AD33" s="405"/>
      <c r="AE33" s="405"/>
      <c r="AK33" s="404">
        <v>0</v>
      </c>
      <c r="AL33" s="405"/>
      <c r="AM33" s="405"/>
      <c r="AN33" s="405"/>
      <c r="AO33" s="405"/>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53</v>
      </c>
      <c r="E35" s="42"/>
      <c r="F35" s="42"/>
      <c r="G35" s="42"/>
      <c r="H35" s="42"/>
      <c r="I35" s="42"/>
      <c r="J35" s="42"/>
      <c r="K35" s="42"/>
      <c r="L35" s="42"/>
      <c r="M35" s="42"/>
      <c r="N35" s="42"/>
      <c r="O35" s="42"/>
      <c r="P35" s="42"/>
      <c r="Q35" s="42"/>
      <c r="R35" s="42"/>
      <c r="S35" s="42"/>
      <c r="T35" s="43" t="s">
        <v>54</v>
      </c>
      <c r="U35" s="42"/>
      <c r="V35" s="42"/>
      <c r="W35" s="42"/>
      <c r="X35" s="410" t="s">
        <v>55</v>
      </c>
      <c r="Y35" s="408"/>
      <c r="Z35" s="408"/>
      <c r="AA35" s="408"/>
      <c r="AB35" s="408"/>
      <c r="AC35" s="42"/>
      <c r="AD35" s="42"/>
      <c r="AE35" s="42"/>
      <c r="AF35" s="42"/>
      <c r="AG35" s="42"/>
      <c r="AH35" s="42"/>
      <c r="AI35" s="42"/>
      <c r="AJ35" s="42"/>
      <c r="AK35" s="407">
        <f>SUM(AK26:AK33)</f>
        <v>0</v>
      </c>
      <c r="AL35" s="408"/>
      <c r="AM35" s="408"/>
      <c r="AN35" s="408"/>
      <c r="AO35" s="409"/>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56</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2020-70-ver3</v>
      </c>
      <c r="AR44" s="48"/>
    </row>
    <row r="45" spans="1:57" s="5" customFormat="1" ht="36.950000000000003" customHeight="1">
      <c r="B45" s="49"/>
      <c r="C45" s="50" t="s">
        <v>17</v>
      </c>
      <c r="L45" s="432" t="str">
        <f>K6</f>
        <v>ZŠ P. HOLÉHO - PŘESTAVBA PLAVECKÉHO PAVILONU</v>
      </c>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Prokopa Holého 2632, Louny, 440 01</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415" t="str">
        <f>IF(AN8= "","",AN8)</f>
        <v>21. 9. 2022</v>
      </c>
      <c r="AN47" s="415"/>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Město Louny</v>
      </c>
      <c r="M49" s="34"/>
      <c r="N49" s="34"/>
      <c r="O49" s="34"/>
      <c r="P49" s="34"/>
      <c r="Q49" s="34"/>
      <c r="R49" s="34"/>
      <c r="S49" s="34"/>
      <c r="T49" s="34"/>
      <c r="U49" s="34"/>
      <c r="V49" s="34"/>
      <c r="W49" s="34"/>
      <c r="X49" s="34"/>
      <c r="Y49" s="34"/>
      <c r="Z49" s="34"/>
      <c r="AA49" s="34"/>
      <c r="AB49" s="34"/>
      <c r="AC49" s="34"/>
      <c r="AD49" s="34"/>
      <c r="AE49" s="34"/>
      <c r="AF49" s="34"/>
      <c r="AG49" s="34"/>
      <c r="AH49" s="34"/>
      <c r="AI49" s="29" t="s">
        <v>32</v>
      </c>
      <c r="AJ49" s="34"/>
      <c r="AK49" s="34"/>
      <c r="AL49" s="34"/>
      <c r="AM49" s="416" t="str">
        <f>IF(E17="","",E17)</f>
        <v>RYSIK Design s.r.o.</v>
      </c>
      <c r="AN49" s="417"/>
      <c r="AO49" s="417"/>
      <c r="AP49" s="417"/>
      <c r="AQ49" s="34"/>
      <c r="AR49" s="35"/>
      <c r="AS49" s="400" t="s">
        <v>57</v>
      </c>
      <c r="AT49" s="401"/>
      <c r="AU49" s="53"/>
      <c r="AV49" s="53"/>
      <c r="AW49" s="53"/>
      <c r="AX49" s="53"/>
      <c r="AY49" s="53"/>
      <c r="AZ49" s="53"/>
      <c r="BA49" s="53"/>
      <c r="BB49" s="53"/>
      <c r="BC49" s="53"/>
      <c r="BD49" s="54"/>
      <c r="BE49" s="34"/>
    </row>
    <row r="50" spans="1:91" s="2" customFormat="1" ht="15.2" customHeight="1">
      <c r="A50" s="34"/>
      <c r="B50" s="35"/>
      <c r="C50" s="29" t="s">
        <v>30</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37</v>
      </c>
      <c r="AJ50" s="34"/>
      <c r="AK50" s="34"/>
      <c r="AL50" s="34"/>
      <c r="AM50" s="416" t="str">
        <f>IF(E20="","",E20)</f>
        <v>Ing. Kateřina Tumpachová</v>
      </c>
      <c r="AN50" s="417"/>
      <c r="AO50" s="417"/>
      <c r="AP50" s="417"/>
      <c r="AQ50" s="34"/>
      <c r="AR50" s="35"/>
      <c r="AS50" s="402"/>
      <c r="AT50" s="403"/>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402"/>
      <c r="AT51" s="403"/>
      <c r="AU51" s="55"/>
      <c r="AV51" s="55"/>
      <c r="AW51" s="55"/>
      <c r="AX51" s="55"/>
      <c r="AY51" s="55"/>
      <c r="AZ51" s="55"/>
      <c r="BA51" s="55"/>
      <c r="BB51" s="55"/>
      <c r="BC51" s="55"/>
      <c r="BD51" s="56"/>
      <c r="BE51" s="34"/>
    </row>
    <row r="52" spans="1:91" s="2" customFormat="1" ht="29.25" customHeight="1">
      <c r="A52" s="34"/>
      <c r="B52" s="35"/>
      <c r="C52" s="434" t="s">
        <v>58</v>
      </c>
      <c r="D52" s="414"/>
      <c r="E52" s="414"/>
      <c r="F52" s="414"/>
      <c r="G52" s="414"/>
      <c r="H52" s="57"/>
      <c r="I52" s="418" t="s">
        <v>59</v>
      </c>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3" t="s">
        <v>60</v>
      </c>
      <c r="AH52" s="414"/>
      <c r="AI52" s="414"/>
      <c r="AJ52" s="414"/>
      <c r="AK52" s="414"/>
      <c r="AL52" s="414"/>
      <c r="AM52" s="414"/>
      <c r="AN52" s="418" t="s">
        <v>61</v>
      </c>
      <c r="AO52" s="414"/>
      <c r="AP52" s="414"/>
      <c r="AQ52" s="58" t="s">
        <v>62</v>
      </c>
      <c r="AR52" s="35"/>
      <c r="AS52" s="59" t="s">
        <v>63</v>
      </c>
      <c r="AT52" s="60" t="s">
        <v>64</v>
      </c>
      <c r="AU52" s="60" t="s">
        <v>65</v>
      </c>
      <c r="AV52" s="60" t="s">
        <v>66</v>
      </c>
      <c r="AW52" s="60" t="s">
        <v>67</v>
      </c>
      <c r="AX52" s="60" t="s">
        <v>68</v>
      </c>
      <c r="AY52" s="60" t="s">
        <v>69</v>
      </c>
      <c r="AZ52" s="60" t="s">
        <v>70</v>
      </c>
      <c r="BA52" s="60" t="s">
        <v>71</v>
      </c>
      <c r="BB52" s="60" t="s">
        <v>72</v>
      </c>
      <c r="BC52" s="60" t="s">
        <v>73</v>
      </c>
      <c r="BD52" s="61" t="s">
        <v>74</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75</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420">
        <f>ROUND(SUM(AG55:AG74),2)</f>
        <v>0</v>
      </c>
      <c r="AH54" s="420"/>
      <c r="AI54" s="420"/>
      <c r="AJ54" s="420"/>
      <c r="AK54" s="420"/>
      <c r="AL54" s="420"/>
      <c r="AM54" s="420"/>
      <c r="AN54" s="399">
        <f t="shared" ref="AN54:AN74" si="0">SUM(AG54,AT54)</f>
        <v>0</v>
      </c>
      <c r="AO54" s="399"/>
      <c r="AP54" s="399"/>
      <c r="AQ54" s="69" t="s">
        <v>3</v>
      </c>
      <c r="AR54" s="65"/>
      <c r="AS54" s="70">
        <f>ROUND(SUM(AS55:AS74),2)</f>
        <v>0</v>
      </c>
      <c r="AT54" s="71">
        <f t="shared" ref="AT54:AT74" si="1">ROUND(SUM(AV54:AW54),2)</f>
        <v>0</v>
      </c>
      <c r="AU54" s="72">
        <f>ROUND(SUM(AU55:AU74),5)</f>
        <v>0</v>
      </c>
      <c r="AV54" s="71">
        <f>ROUND(AZ54*L29,2)</f>
        <v>0</v>
      </c>
      <c r="AW54" s="71">
        <f>ROUND(BA54*L30,2)</f>
        <v>0</v>
      </c>
      <c r="AX54" s="71">
        <f>ROUND(BB54*L29,2)</f>
        <v>0</v>
      </c>
      <c r="AY54" s="71">
        <f>ROUND(BC54*L30,2)</f>
        <v>0</v>
      </c>
      <c r="AZ54" s="71">
        <f>ROUND(SUM(AZ55:AZ74),2)</f>
        <v>0</v>
      </c>
      <c r="BA54" s="71">
        <f>ROUND(SUM(BA55:BA74),2)</f>
        <v>0</v>
      </c>
      <c r="BB54" s="71">
        <f>ROUND(SUM(BB55:BB74),2)</f>
        <v>0</v>
      </c>
      <c r="BC54" s="71">
        <f>ROUND(SUM(BC55:BC74),2)</f>
        <v>0</v>
      </c>
      <c r="BD54" s="73">
        <f>ROUND(SUM(BD55:BD74),2)</f>
        <v>0</v>
      </c>
      <c r="BS54" s="74" t="s">
        <v>76</v>
      </c>
      <c r="BT54" s="74" t="s">
        <v>77</v>
      </c>
      <c r="BU54" s="75" t="s">
        <v>78</v>
      </c>
      <c r="BV54" s="74" t="s">
        <v>79</v>
      </c>
      <c r="BW54" s="74" t="s">
        <v>5</v>
      </c>
      <c r="BX54" s="74" t="s">
        <v>80</v>
      </c>
      <c r="CL54" s="74" t="s">
        <v>3</v>
      </c>
    </row>
    <row r="55" spans="1:91" s="7" customFormat="1" ht="24.75" customHeight="1">
      <c r="A55" s="76" t="s">
        <v>81</v>
      </c>
      <c r="B55" s="77"/>
      <c r="C55" s="78"/>
      <c r="D55" s="419" t="s">
        <v>82</v>
      </c>
      <c r="E55" s="419"/>
      <c r="F55" s="419"/>
      <c r="G55" s="419"/>
      <c r="H55" s="419"/>
      <c r="I55" s="79"/>
      <c r="J55" s="419" t="s">
        <v>83</v>
      </c>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397">
        <f>'E 1 - Vyklizení objektu, ...'!J30</f>
        <v>0</v>
      </c>
      <c r="AH55" s="398"/>
      <c r="AI55" s="398"/>
      <c r="AJ55" s="398"/>
      <c r="AK55" s="398"/>
      <c r="AL55" s="398"/>
      <c r="AM55" s="398"/>
      <c r="AN55" s="397">
        <f t="shared" si="0"/>
        <v>0</v>
      </c>
      <c r="AO55" s="398"/>
      <c r="AP55" s="398"/>
      <c r="AQ55" s="80" t="s">
        <v>84</v>
      </c>
      <c r="AR55" s="77"/>
      <c r="AS55" s="81">
        <v>0</v>
      </c>
      <c r="AT55" s="82">
        <f t="shared" si="1"/>
        <v>0</v>
      </c>
      <c r="AU55" s="83">
        <f>'E 1 - Vyklizení objektu, ...'!P88</f>
        <v>0</v>
      </c>
      <c r="AV55" s="82">
        <f>'E 1 - Vyklizení objektu, ...'!J33</f>
        <v>0</v>
      </c>
      <c r="AW55" s="82">
        <f>'E 1 - Vyklizení objektu, ...'!J34</f>
        <v>0</v>
      </c>
      <c r="AX55" s="82">
        <f>'E 1 - Vyklizení objektu, ...'!J35</f>
        <v>0</v>
      </c>
      <c r="AY55" s="82">
        <f>'E 1 - Vyklizení objektu, ...'!J36</f>
        <v>0</v>
      </c>
      <c r="AZ55" s="82">
        <f>'E 1 - Vyklizení objektu, ...'!F33</f>
        <v>0</v>
      </c>
      <c r="BA55" s="82">
        <f>'E 1 - Vyklizení objektu, ...'!F34</f>
        <v>0</v>
      </c>
      <c r="BB55" s="82">
        <f>'E 1 - Vyklizení objektu, ...'!F35</f>
        <v>0</v>
      </c>
      <c r="BC55" s="82">
        <f>'E 1 - Vyklizení objektu, ...'!F36</f>
        <v>0</v>
      </c>
      <c r="BD55" s="84">
        <f>'E 1 - Vyklizení objektu, ...'!F37</f>
        <v>0</v>
      </c>
      <c r="BT55" s="85" t="s">
        <v>85</v>
      </c>
      <c r="BV55" s="85" t="s">
        <v>79</v>
      </c>
      <c r="BW55" s="85" t="s">
        <v>86</v>
      </c>
      <c r="BX55" s="85" t="s">
        <v>5</v>
      </c>
      <c r="CL55" s="85" t="s">
        <v>3</v>
      </c>
      <c r="CM55" s="85" t="s">
        <v>87</v>
      </c>
    </row>
    <row r="56" spans="1:91" s="7" customFormat="1" ht="24.75" customHeight="1">
      <c r="A56" s="76" t="s">
        <v>81</v>
      </c>
      <c r="B56" s="77"/>
      <c r="C56" s="78"/>
      <c r="D56" s="419" t="s">
        <v>88</v>
      </c>
      <c r="E56" s="419"/>
      <c r="F56" s="419"/>
      <c r="G56" s="419"/>
      <c r="H56" s="419"/>
      <c r="I56" s="79"/>
      <c r="J56" s="419" t="s">
        <v>89</v>
      </c>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397">
        <f>'E 2 - Sanace betonové kon...'!J30</f>
        <v>0</v>
      </c>
      <c r="AH56" s="398"/>
      <c r="AI56" s="398"/>
      <c r="AJ56" s="398"/>
      <c r="AK56" s="398"/>
      <c r="AL56" s="398"/>
      <c r="AM56" s="398"/>
      <c r="AN56" s="397">
        <f t="shared" si="0"/>
        <v>0</v>
      </c>
      <c r="AO56" s="398"/>
      <c r="AP56" s="398"/>
      <c r="AQ56" s="80" t="s">
        <v>84</v>
      </c>
      <c r="AR56" s="77"/>
      <c r="AS56" s="81">
        <v>0</v>
      </c>
      <c r="AT56" s="82">
        <f t="shared" si="1"/>
        <v>0</v>
      </c>
      <c r="AU56" s="83">
        <f>'E 2 - Sanace betonové kon...'!P86</f>
        <v>0</v>
      </c>
      <c r="AV56" s="82">
        <f>'E 2 - Sanace betonové kon...'!J33</f>
        <v>0</v>
      </c>
      <c r="AW56" s="82">
        <f>'E 2 - Sanace betonové kon...'!J34</f>
        <v>0</v>
      </c>
      <c r="AX56" s="82">
        <f>'E 2 - Sanace betonové kon...'!J35</f>
        <v>0</v>
      </c>
      <c r="AY56" s="82">
        <f>'E 2 - Sanace betonové kon...'!J36</f>
        <v>0</v>
      </c>
      <c r="AZ56" s="82">
        <f>'E 2 - Sanace betonové kon...'!F33</f>
        <v>0</v>
      </c>
      <c r="BA56" s="82">
        <f>'E 2 - Sanace betonové kon...'!F34</f>
        <v>0</v>
      </c>
      <c r="BB56" s="82">
        <f>'E 2 - Sanace betonové kon...'!F35</f>
        <v>0</v>
      </c>
      <c r="BC56" s="82">
        <f>'E 2 - Sanace betonové kon...'!F36</f>
        <v>0</v>
      </c>
      <c r="BD56" s="84">
        <f>'E 2 - Sanace betonové kon...'!F37</f>
        <v>0</v>
      </c>
      <c r="BT56" s="85" t="s">
        <v>85</v>
      </c>
      <c r="BV56" s="85" t="s">
        <v>79</v>
      </c>
      <c r="BW56" s="85" t="s">
        <v>90</v>
      </c>
      <c r="BX56" s="85" t="s">
        <v>5</v>
      </c>
      <c r="CL56" s="85" t="s">
        <v>3</v>
      </c>
      <c r="CM56" s="85" t="s">
        <v>87</v>
      </c>
    </row>
    <row r="57" spans="1:91" s="7" customFormat="1" ht="16.5" customHeight="1">
      <c r="A57" s="76" t="s">
        <v>81</v>
      </c>
      <c r="B57" s="77"/>
      <c r="C57" s="78"/>
      <c r="D57" s="419" t="s">
        <v>91</v>
      </c>
      <c r="E57" s="419"/>
      <c r="F57" s="419"/>
      <c r="G57" s="419"/>
      <c r="H57" s="419"/>
      <c r="I57" s="79"/>
      <c r="J57" s="419" t="s">
        <v>92</v>
      </c>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397">
        <f>'E 3 - Vyzdění severního p...'!J30</f>
        <v>0</v>
      </c>
      <c r="AH57" s="398"/>
      <c r="AI57" s="398"/>
      <c r="AJ57" s="398"/>
      <c r="AK57" s="398"/>
      <c r="AL57" s="398"/>
      <c r="AM57" s="398"/>
      <c r="AN57" s="397">
        <f t="shared" si="0"/>
        <v>0</v>
      </c>
      <c r="AO57" s="398"/>
      <c r="AP57" s="398"/>
      <c r="AQ57" s="80" t="s">
        <v>84</v>
      </c>
      <c r="AR57" s="77"/>
      <c r="AS57" s="81">
        <v>0</v>
      </c>
      <c r="AT57" s="82">
        <f t="shared" si="1"/>
        <v>0</v>
      </c>
      <c r="AU57" s="83">
        <f>'E 3 - Vyzdění severního p...'!P89</f>
        <v>0</v>
      </c>
      <c r="AV57" s="82">
        <f>'E 3 - Vyzdění severního p...'!J33</f>
        <v>0</v>
      </c>
      <c r="AW57" s="82">
        <f>'E 3 - Vyzdění severního p...'!J34</f>
        <v>0</v>
      </c>
      <c r="AX57" s="82">
        <f>'E 3 - Vyzdění severního p...'!J35</f>
        <v>0</v>
      </c>
      <c r="AY57" s="82">
        <f>'E 3 - Vyzdění severního p...'!J36</f>
        <v>0</v>
      </c>
      <c r="AZ57" s="82">
        <f>'E 3 - Vyzdění severního p...'!F33</f>
        <v>0</v>
      </c>
      <c r="BA57" s="82">
        <f>'E 3 - Vyzdění severního p...'!F34</f>
        <v>0</v>
      </c>
      <c r="BB57" s="82">
        <f>'E 3 - Vyzdění severního p...'!F35</f>
        <v>0</v>
      </c>
      <c r="BC57" s="82">
        <f>'E 3 - Vyzdění severního p...'!F36</f>
        <v>0</v>
      </c>
      <c r="BD57" s="84">
        <f>'E 3 - Vyzdění severního p...'!F37</f>
        <v>0</v>
      </c>
      <c r="BT57" s="85" t="s">
        <v>85</v>
      </c>
      <c r="BV57" s="85" t="s">
        <v>79</v>
      </c>
      <c r="BW57" s="85" t="s">
        <v>93</v>
      </c>
      <c r="BX57" s="85" t="s">
        <v>5</v>
      </c>
      <c r="CL57" s="85" t="s">
        <v>3</v>
      </c>
      <c r="CM57" s="85" t="s">
        <v>87</v>
      </c>
    </row>
    <row r="58" spans="1:91" s="7" customFormat="1" ht="24.75" customHeight="1">
      <c r="A58" s="76" t="s">
        <v>81</v>
      </c>
      <c r="B58" s="77"/>
      <c r="C58" s="78"/>
      <c r="D58" s="419" t="s">
        <v>94</v>
      </c>
      <c r="E58" s="419"/>
      <c r="F58" s="419"/>
      <c r="G58" s="419"/>
      <c r="H58" s="419"/>
      <c r="I58" s="79"/>
      <c r="J58" s="419" t="s">
        <v>95</v>
      </c>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397">
        <f>'E 4 - Oddělení bourané a ...'!J30</f>
        <v>0</v>
      </c>
      <c r="AH58" s="398"/>
      <c r="AI58" s="398"/>
      <c r="AJ58" s="398"/>
      <c r="AK58" s="398"/>
      <c r="AL58" s="398"/>
      <c r="AM58" s="398"/>
      <c r="AN58" s="397">
        <f t="shared" si="0"/>
        <v>0</v>
      </c>
      <c r="AO58" s="398"/>
      <c r="AP58" s="398"/>
      <c r="AQ58" s="80" t="s">
        <v>84</v>
      </c>
      <c r="AR58" s="77"/>
      <c r="AS58" s="81">
        <v>0</v>
      </c>
      <c r="AT58" s="82">
        <f t="shared" si="1"/>
        <v>0</v>
      </c>
      <c r="AU58" s="83">
        <f>'E 4 - Oddělení bourané a ...'!P88</f>
        <v>0</v>
      </c>
      <c r="AV58" s="82">
        <f>'E 4 - Oddělení bourané a ...'!J33</f>
        <v>0</v>
      </c>
      <c r="AW58" s="82">
        <f>'E 4 - Oddělení bourané a ...'!J34</f>
        <v>0</v>
      </c>
      <c r="AX58" s="82">
        <f>'E 4 - Oddělení bourané a ...'!J35</f>
        <v>0</v>
      </c>
      <c r="AY58" s="82">
        <f>'E 4 - Oddělení bourané a ...'!J36</f>
        <v>0</v>
      </c>
      <c r="AZ58" s="82">
        <f>'E 4 - Oddělení bourané a ...'!F33</f>
        <v>0</v>
      </c>
      <c r="BA58" s="82">
        <f>'E 4 - Oddělení bourané a ...'!F34</f>
        <v>0</v>
      </c>
      <c r="BB58" s="82">
        <f>'E 4 - Oddělení bourané a ...'!F35</f>
        <v>0</v>
      </c>
      <c r="BC58" s="82">
        <f>'E 4 - Oddělení bourané a ...'!F36</f>
        <v>0</v>
      </c>
      <c r="BD58" s="84">
        <f>'E 4 - Oddělení bourané a ...'!F37</f>
        <v>0</v>
      </c>
      <c r="BT58" s="85" t="s">
        <v>85</v>
      </c>
      <c r="BV58" s="85" t="s">
        <v>79</v>
      </c>
      <c r="BW58" s="85" t="s">
        <v>96</v>
      </c>
      <c r="BX58" s="85" t="s">
        <v>5</v>
      </c>
      <c r="CL58" s="85" t="s">
        <v>3</v>
      </c>
      <c r="CM58" s="85" t="s">
        <v>87</v>
      </c>
    </row>
    <row r="59" spans="1:91" s="7" customFormat="1" ht="24.75" customHeight="1">
      <c r="A59" s="76" t="s">
        <v>81</v>
      </c>
      <c r="B59" s="77"/>
      <c r="C59" s="78"/>
      <c r="D59" s="419" t="s">
        <v>97</v>
      </c>
      <c r="E59" s="419"/>
      <c r="F59" s="419"/>
      <c r="G59" s="419"/>
      <c r="H59" s="419"/>
      <c r="I59" s="79"/>
      <c r="J59" s="419" t="s">
        <v>98</v>
      </c>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397">
        <f>'E 5 - Dozdívky a vybourán...'!J30</f>
        <v>0</v>
      </c>
      <c r="AH59" s="398"/>
      <c r="AI59" s="398"/>
      <c r="AJ59" s="398"/>
      <c r="AK59" s="398"/>
      <c r="AL59" s="398"/>
      <c r="AM59" s="398"/>
      <c r="AN59" s="397">
        <f t="shared" si="0"/>
        <v>0</v>
      </c>
      <c r="AO59" s="398"/>
      <c r="AP59" s="398"/>
      <c r="AQ59" s="80" t="s">
        <v>84</v>
      </c>
      <c r="AR59" s="77"/>
      <c r="AS59" s="81">
        <v>0</v>
      </c>
      <c r="AT59" s="82">
        <f t="shared" si="1"/>
        <v>0</v>
      </c>
      <c r="AU59" s="83">
        <f>'E 5 - Dozdívky a vybourán...'!P92</f>
        <v>0</v>
      </c>
      <c r="AV59" s="82">
        <f>'E 5 - Dozdívky a vybourán...'!J33</f>
        <v>0</v>
      </c>
      <c r="AW59" s="82">
        <f>'E 5 - Dozdívky a vybourán...'!J34</f>
        <v>0</v>
      </c>
      <c r="AX59" s="82">
        <f>'E 5 - Dozdívky a vybourán...'!J35</f>
        <v>0</v>
      </c>
      <c r="AY59" s="82">
        <f>'E 5 - Dozdívky a vybourán...'!J36</f>
        <v>0</v>
      </c>
      <c r="AZ59" s="82">
        <f>'E 5 - Dozdívky a vybourán...'!F33</f>
        <v>0</v>
      </c>
      <c r="BA59" s="82">
        <f>'E 5 - Dozdívky a vybourán...'!F34</f>
        <v>0</v>
      </c>
      <c r="BB59" s="82">
        <f>'E 5 - Dozdívky a vybourán...'!F35</f>
        <v>0</v>
      </c>
      <c r="BC59" s="82">
        <f>'E 5 - Dozdívky a vybourán...'!F36</f>
        <v>0</v>
      </c>
      <c r="BD59" s="84">
        <f>'E 5 - Dozdívky a vybourán...'!F37</f>
        <v>0</v>
      </c>
      <c r="BT59" s="85" t="s">
        <v>85</v>
      </c>
      <c r="BV59" s="85" t="s">
        <v>79</v>
      </c>
      <c r="BW59" s="85" t="s">
        <v>99</v>
      </c>
      <c r="BX59" s="85" t="s">
        <v>5</v>
      </c>
      <c r="CL59" s="85" t="s">
        <v>3</v>
      </c>
      <c r="CM59" s="85" t="s">
        <v>87</v>
      </c>
    </row>
    <row r="60" spans="1:91" s="7" customFormat="1" ht="16.5" customHeight="1">
      <c r="A60" s="76" t="s">
        <v>81</v>
      </c>
      <c r="B60" s="77"/>
      <c r="C60" s="78"/>
      <c r="D60" s="419" t="s">
        <v>100</v>
      </c>
      <c r="E60" s="419"/>
      <c r="F60" s="419"/>
      <c r="G60" s="419"/>
      <c r="H60" s="419"/>
      <c r="I60" s="79"/>
      <c r="J60" s="419" t="s">
        <v>101</v>
      </c>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397">
        <f>'E 6 - Provedení střechy p...'!J30</f>
        <v>0</v>
      </c>
      <c r="AH60" s="398"/>
      <c r="AI60" s="398"/>
      <c r="AJ60" s="398"/>
      <c r="AK60" s="398"/>
      <c r="AL60" s="398"/>
      <c r="AM60" s="398"/>
      <c r="AN60" s="397">
        <f t="shared" si="0"/>
        <v>0</v>
      </c>
      <c r="AO60" s="398"/>
      <c r="AP60" s="398"/>
      <c r="AQ60" s="80" t="s">
        <v>84</v>
      </c>
      <c r="AR60" s="77"/>
      <c r="AS60" s="81">
        <v>0</v>
      </c>
      <c r="AT60" s="82">
        <f t="shared" si="1"/>
        <v>0</v>
      </c>
      <c r="AU60" s="83">
        <f>'E 6 - Provedení střechy p...'!P91</f>
        <v>0</v>
      </c>
      <c r="AV60" s="82">
        <f>'E 6 - Provedení střechy p...'!J33</f>
        <v>0</v>
      </c>
      <c r="AW60" s="82">
        <f>'E 6 - Provedení střechy p...'!J34</f>
        <v>0</v>
      </c>
      <c r="AX60" s="82">
        <f>'E 6 - Provedení střechy p...'!J35</f>
        <v>0</v>
      </c>
      <c r="AY60" s="82">
        <f>'E 6 - Provedení střechy p...'!J36</f>
        <v>0</v>
      </c>
      <c r="AZ60" s="82">
        <f>'E 6 - Provedení střechy p...'!F33</f>
        <v>0</v>
      </c>
      <c r="BA60" s="82">
        <f>'E 6 - Provedení střechy p...'!F34</f>
        <v>0</v>
      </c>
      <c r="BB60" s="82">
        <f>'E 6 - Provedení střechy p...'!F35</f>
        <v>0</v>
      </c>
      <c r="BC60" s="82">
        <f>'E 6 - Provedení střechy p...'!F36</f>
        <v>0</v>
      </c>
      <c r="BD60" s="84">
        <f>'E 6 - Provedení střechy p...'!F37</f>
        <v>0</v>
      </c>
      <c r="BT60" s="85" t="s">
        <v>85</v>
      </c>
      <c r="BV60" s="85" t="s">
        <v>79</v>
      </c>
      <c r="BW60" s="85" t="s">
        <v>102</v>
      </c>
      <c r="BX60" s="85" t="s">
        <v>5</v>
      </c>
      <c r="CL60" s="85" t="s">
        <v>3</v>
      </c>
      <c r="CM60" s="85" t="s">
        <v>87</v>
      </c>
    </row>
    <row r="61" spans="1:91" s="7" customFormat="1" ht="16.5" customHeight="1">
      <c r="A61" s="76" t="s">
        <v>81</v>
      </c>
      <c r="B61" s="77"/>
      <c r="C61" s="78"/>
      <c r="D61" s="419" t="s">
        <v>103</v>
      </c>
      <c r="E61" s="419"/>
      <c r="F61" s="419"/>
      <c r="G61" s="419"/>
      <c r="H61" s="419"/>
      <c r="I61" s="79"/>
      <c r="J61" s="419" t="s">
        <v>104</v>
      </c>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397">
        <f>'E 7 - Vybourání stávající...'!J30</f>
        <v>0</v>
      </c>
      <c r="AH61" s="398"/>
      <c r="AI61" s="398"/>
      <c r="AJ61" s="398"/>
      <c r="AK61" s="398"/>
      <c r="AL61" s="398"/>
      <c r="AM61" s="398"/>
      <c r="AN61" s="397">
        <f t="shared" si="0"/>
        <v>0</v>
      </c>
      <c r="AO61" s="398"/>
      <c r="AP61" s="398"/>
      <c r="AQ61" s="80" t="s">
        <v>84</v>
      </c>
      <c r="AR61" s="77"/>
      <c r="AS61" s="81">
        <v>0</v>
      </c>
      <c r="AT61" s="82">
        <f t="shared" si="1"/>
        <v>0</v>
      </c>
      <c r="AU61" s="83">
        <f>'E 7 - Vybourání stávající...'!P86</f>
        <v>0</v>
      </c>
      <c r="AV61" s="82">
        <f>'E 7 - Vybourání stávající...'!J33</f>
        <v>0</v>
      </c>
      <c r="AW61" s="82">
        <f>'E 7 - Vybourání stávající...'!J34</f>
        <v>0</v>
      </c>
      <c r="AX61" s="82">
        <f>'E 7 - Vybourání stávající...'!J35</f>
        <v>0</v>
      </c>
      <c r="AY61" s="82">
        <f>'E 7 - Vybourání stávající...'!J36</f>
        <v>0</v>
      </c>
      <c r="AZ61" s="82">
        <f>'E 7 - Vybourání stávající...'!F33</f>
        <v>0</v>
      </c>
      <c r="BA61" s="82">
        <f>'E 7 - Vybourání stávající...'!F34</f>
        <v>0</v>
      </c>
      <c r="BB61" s="82">
        <f>'E 7 - Vybourání stávající...'!F35</f>
        <v>0</v>
      </c>
      <c r="BC61" s="82">
        <f>'E 7 - Vybourání stávající...'!F36</f>
        <v>0</v>
      </c>
      <c r="BD61" s="84">
        <f>'E 7 - Vybourání stávající...'!F37</f>
        <v>0</v>
      </c>
      <c r="BT61" s="85" t="s">
        <v>85</v>
      </c>
      <c r="BV61" s="85" t="s">
        <v>79</v>
      </c>
      <c r="BW61" s="85" t="s">
        <v>105</v>
      </c>
      <c r="BX61" s="85" t="s">
        <v>5</v>
      </c>
      <c r="CL61" s="85" t="s">
        <v>3</v>
      </c>
      <c r="CM61" s="85" t="s">
        <v>87</v>
      </c>
    </row>
    <row r="62" spans="1:91" s="7" customFormat="1" ht="24.75" customHeight="1">
      <c r="A62" s="76" t="s">
        <v>81</v>
      </c>
      <c r="B62" s="77"/>
      <c r="C62" s="78"/>
      <c r="D62" s="419" t="s">
        <v>106</v>
      </c>
      <c r="E62" s="419"/>
      <c r="F62" s="419"/>
      <c r="G62" s="419"/>
      <c r="H62" s="419"/>
      <c r="I62" s="79"/>
      <c r="J62" s="419" t="s">
        <v>107</v>
      </c>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397">
        <f>'E 8 - Provedení otvoru pr...'!J30</f>
        <v>0</v>
      </c>
      <c r="AH62" s="398"/>
      <c r="AI62" s="398"/>
      <c r="AJ62" s="398"/>
      <c r="AK62" s="398"/>
      <c r="AL62" s="398"/>
      <c r="AM62" s="398"/>
      <c r="AN62" s="397">
        <f t="shared" si="0"/>
        <v>0</v>
      </c>
      <c r="AO62" s="398"/>
      <c r="AP62" s="398"/>
      <c r="AQ62" s="80" t="s">
        <v>84</v>
      </c>
      <c r="AR62" s="77"/>
      <c r="AS62" s="81">
        <v>0</v>
      </c>
      <c r="AT62" s="82">
        <f t="shared" si="1"/>
        <v>0</v>
      </c>
      <c r="AU62" s="83">
        <f>'E 8 - Provedení otvoru pr...'!P89</f>
        <v>0</v>
      </c>
      <c r="AV62" s="82">
        <f>'E 8 - Provedení otvoru pr...'!J33</f>
        <v>0</v>
      </c>
      <c r="AW62" s="82">
        <f>'E 8 - Provedení otvoru pr...'!J34</f>
        <v>0</v>
      </c>
      <c r="AX62" s="82">
        <f>'E 8 - Provedení otvoru pr...'!J35</f>
        <v>0</v>
      </c>
      <c r="AY62" s="82">
        <f>'E 8 - Provedení otvoru pr...'!J36</f>
        <v>0</v>
      </c>
      <c r="AZ62" s="82">
        <f>'E 8 - Provedení otvoru pr...'!F33</f>
        <v>0</v>
      </c>
      <c r="BA62" s="82">
        <f>'E 8 - Provedení otvoru pr...'!F34</f>
        <v>0</v>
      </c>
      <c r="BB62" s="82">
        <f>'E 8 - Provedení otvoru pr...'!F35</f>
        <v>0</v>
      </c>
      <c r="BC62" s="82">
        <f>'E 8 - Provedení otvoru pr...'!F36</f>
        <v>0</v>
      </c>
      <c r="BD62" s="84">
        <f>'E 8 - Provedení otvoru pr...'!F37</f>
        <v>0</v>
      </c>
      <c r="BT62" s="85" t="s">
        <v>85</v>
      </c>
      <c r="BV62" s="85" t="s">
        <v>79</v>
      </c>
      <c r="BW62" s="85" t="s">
        <v>108</v>
      </c>
      <c r="BX62" s="85" t="s">
        <v>5</v>
      </c>
      <c r="CL62" s="85" t="s">
        <v>3</v>
      </c>
      <c r="CM62" s="85" t="s">
        <v>87</v>
      </c>
    </row>
    <row r="63" spans="1:91" s="7" customFormat="1" ht="16.5" customHeight="1">
      <c r="A63" s="76" t="s">
        <v>81</v>
      </c>
      <c r="B63" s="77"/>
      <c r="C63" s="78"/>
      <c r="D63" s="419" t="s">
        <v>109</v>
      </c>
      <c r="E63" s="419"/>
      <c r="F63" s="419"/>
      <c r="G63" s="419"/>
      <c r="H63" s="419"/>
      <c r="I63" s="79"/>
      <c r="J63" s="419" t="s">
        <v>110</v>
      </c>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397">
        <f>'E 9 - Hrubá stavba nové d...'!J30</f>
        <v>0</v>
      </c>
      <c r="AH63" s="398"/>
      <c r="AI63" s="398"/>
      <c r="AJ63" s="398"/>
      <c r="AK63" s="398"/>
      <c r="AL63" s="398"/>
      <c r="AM63" s="398"/>
      <c r="AN63" s="397">
        <f t="shared" si="0"/>
        <v>0</v>
      </c>
      <c r="AO63" s="398"/>
      <c r="AP63" s="398"/>
      <c r="AQ63" s="80" t="s">
        <v>84</v>
      </c>
      <c r="AR63" s="77"/>
      <c r="AS63" s="81">
        <v>0</v>
      </c>
      <c r="AT63" s="82">
        <f t="shared" si="1"/>
        <v>0</v>
      </c>
      <c r="AU63" s="83">
        <f>'E 9 - Hrubá stavba nové d...'!P85</f>
        <v>0</v>
      </c>
      <c r="AV63" s="82">
        <f>'E 9 - Hrubá stavba nové d...'!J33</f>
        <v>0</v>
      </c>
      <c r="AW63" s="82">
        <f>'E 9 - Hrubá stavba nové d...'!J34</f>
        <v>0</v>
      </c>
      <c r="AX63" s="82">
        <f>'E 9 - Hrubá stavba nové d...'!J35</f>
        <v>0</v>
      </c>
      <c r="AY63" s="82">
        <f>'E 9 - Hrubá stavba nové d...'!J36</f>
        <v>0</v>
      </c>
      <c r="AZ63" s="82">
        <f>'E 9 - Hrubá stavba nové d...'!F33</f>
        <v>0</v>
      </c>
      <c r="BA63" s="82">
        <f>'E 9 - Hrubá stavba nové d...'!F34</f>
        <v>0</v>
      </c>
      <c r="BB63" s="82">
        <f>'E 9 - Hrubá stavba nové d...'!F35</f>
        <v>0</v>
      </c>
      <c r="BC63" s="82">
        <f>'E 9 - Hrubá stavba nové d...'!F36</f>
        <v>0</v>
      </c>
      <c r="BD63" s="84">
        <f>'E 9 - Hrubá stavba nové d...'!F37</f>
        <v>0</v>
      </c>
      <c r="BT63" s="85" t="s">
        <v>85</v>
      </c>
      <c r="BV63" s="85" t="s">
        <v>79</v>
      </c>
      <c r="BW63" s="85" t="s">
        <v>111</v>
      </c>
      <c r="BX63" s="85" t="s">
        <v>5</v>
      </c>
      <c r="CL63" s="85" t="s">
        <v>3</v>
      </c>
      <c r="CM63" s="85" t="s">
        <v>87</v>
      </c>
    </row>
    <row r="64" spans="1:91" s="7" customFormat="1" ht="16.5" customHeight="1">
      <c r="A64" s="76" t="s">
        <v>81</v>
      </c>
      <c r="B64" s="77"/>
      <c r="C64" s="78"/>
      <c r="D64" s="419" t="s">
        <v>112</v>
      </c>
      <c r="E64" s="419"/>
      <c r="F64" s="419"/>
      <c r="G64" s="419"/>
      <c r="H64" s="419"/>
      <c r="I64" s="79"/>
      <c r="J64" s="419" t="s">
        <v>113</v>
      </c>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397">
        <f>'E10 - Vybourání dispozice...'!J30</f>
        <v>0</v>
      </c>
      <c r="AH64" s="398"/>
      <c r="AI64" s="398"/>
      <c r="AJ64" s="398"/>
      <c r="AK64" s="398"/>
      <c r="AL64" s="398"/>
      <c r="AM64" s="398"/>
      <c r="AN64" s="397">
        <f t="shared" si="0"/>
        <v>0</v>
      </c>
      <c r="AO64" s="398"/>
      <c r="AP64" s="398"/>
      <c r="AQ64" s="80" t="s">
        <v>84</v>
      </c>
      <c r="AR64" s="77"/>
      <c r="AS64" s="81">
        <v>0</v>
      </c>
      <c r="AT64" s="82">
        <f t="shared" si="1"/>
        <v>0</v>
      </c>
      <c r="AU64" s="83">
        <f>'E10 - Vybourání dispozice...'!P87</f>
        <v>0</v>
      </c>
      <c r="AV64" s="82">
        <f>'E10 - Vybourání dispozice...'!J33</f>
        <v>0</v>
      </c>
      <c r="AW64" s="82">
        <f>'E10 - Vybourání dispozice...'!J34</f>
        <v>0</v>
      </c>
      <c r="AX64" s="82">
        <f>'E10 - Vybourání dispozice...'!J35</f>
        <v>0</v>
      </c>
      <c r="AY64" s="82">
        <f>'E10 - Vybourání dispozice...'!J36</f>
        <v>0</v>
      </c>
      <c r="AZ64" s="82">
        <f>'E10 - Vybourání dispozice...'!F33</f>
        <v>0</v>
      </c>
      <c r="BA64" s="82">
        <f>'E10 - Vybourání dispozice...'!F34</f>
        <v>0</v>
      </c>
      <c r="BB64" s="82">
        <f>'E10 - Vybourání dispozice...'!F35</f>
        <v>0</v>
      </c>
      <c r="BC64" s="82">
        <f>'E10 - Vybourání dispozice...'!F36</f>
        <v>0</v>
      </c>
      <c r="BD64" s="84">
        <f>'E10 - Vybourání dispozice...'!F37</f>
        <v>0</v>
      </c>
      <c r="BT64" s="85" t="s">
        <v>85</v>
      </c>
      <c r="BV64" s="85" t="s">
        <v>79</v>
      </c>
      <c r="BW64" s="85" t="s">
        <v>114</v>
      </c>
      <c r="BX64" s="85" t="s">
        <v>5</v>
      </c>
      <c r="CL64" s="85" t="s">
        <v>3</v>
      </c>
      <c r="CM64" s="85" t="s">
        <v>87</v>
      </c>
    </row>
    <row r="65" spans="1:91" s="7" customFormat="1" ht="16.5" customHeight="1">
      <c r="A65" s="76" t="s">
        <v>81</v>
      </c>
      <c r="B65" s="77"/>
      <c r="C65" s="78"/>
      <c r="D65" s="419" t="s">
        <v>115</v>
      </c>
      <c r="E65" s="419"/>
      <c r="F65" s="419"/>
      <c r="G65" s="419"/>
      <c r="H65" s="419"/>
      <c r="I65" s="79"/>
      <c r="J65" s="419" t="s">
        <v>116</v>
      </c>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397">
        <f>'E11 - Hrubá stavba nové d...'!J30</f>
        <v>0</v>
      </c>
      <c r="AH65" s="398"/>
      <c r="AI65" s="398"/>
      <c r="AJ65" s="398"/>
      <c r="AK65" s="398"/>
      <c r="AL65" s="398"/>
      <c r="AM65" s="398"/>
      <c r="AN65" s="397">
        <f t="shared" si="0"/>
        <v>0</v>
      </c>
      <c r="AO65" s="398"/>
      <c r="AP65" s="398"/>
      <c r="AQ65" s="80" t="s">
        <v>84</v>
      </c>
      <c r="AR65" s="77"/>
      <c r="AS65" s="81">
        <v>0</v>
      </c>
      <c r="AT65" s="82">
        <f t="shared" si="1"/>
        <v>0</v>
      </c>
      <c r="AU65" s="83">
        <f>'E11 - Hrubá stavba nové d...'!P91</f>
        <v>0</v>
      </c>
      <c r="AV65" s="82">
        <f>'E11 - Hrubá stavba nové d...'!J33</f>
        <v>0</v>
      </c>
      <c r="AW65" s="82">
        <f>'E11 - Hrubá stavba nové d...'!J34</f>
        <v>0</v>
      </c>
      <c r="AX65" s="82">
        <f>'E11 - Hrubá stavba nové d...'!J35</f>
        <v>0</v>
      </c>
      <c r="AY65" s="82">
        <f>'E11 - Hrubá stavba nové d...'!J36</f>
        <v>0</v>
      </c>
      <c r="AZ65" s="82">
        <f>'E11 - Hrubá stavba nové d...'!F33</f>
        <v>0</v>
      </c>
      <c r="BA65" s="82">
        <f>'E11 - Hrubá stavba nové d...'!F34</f>
        <v>0</v>
      </c>
      <c r="BB65" s="82">
        <f>'E11 - Hrubá stavba nové d...'!F35</f>
        <v>0</v>
      </c>
      <c r="BC65" s="82">
        <f>'E11 - Hrubá stavba nové d...'!F36</f>
        <v>0</v>
      </c>
      <c r="BD65" s="84">
        <f>'E11 - Hrubá stavba nové d...'!F37</f>
        <v>0</v>
      </c>
      <c r="BT65" s="85" t="s">
        <v>85</v>
      </c>
      <c r="BV65" s="85" t="s">
        <v>79</v>
      </c>
      <c r="BW65" s="85" t="s">
        <v>117</v>
      </c>
      <c r="BX65" s="85" t="s">
        <v>5</v>
      </c>
      <c r="CL65" s="85" t="s">
        <v>3</v>
      </c>
      <c r="CM65" s="85" t="s">
        <v>87</v>
      </c>
    </row>
    <row r="66" spans="1:91" s="7" customFormat="1" ht="37.5" customHeight="1">
      <c r="A66" s="76" t="s">
        <v>81</v>
      </c>
      <c r="B66" s="77"/>
      <c r="C66" s="78"/>
      <c r="D66" s="419" t="s">
        <v>118</v>
      </c>
      <c r="E66" s="419"/>
      <c r="F66" s="419"/>
      <c r="G66" s="419"/>
      <c r="H66" s="419"/>
      <c r="I66" s="79"/>
      <c r="J66" s="419" t="s">
        <v>119</v>
      </c>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397">
        <f>'E12 - Osazení výplní pláš...'!J30</f>
        <v>0</v>
      </c>
      <c r="AH66" s="398"/>
      <c r="AI66" s="398"/>
      <c r="AJ66" s="398"/>
      <c r="AK66" s="398"/>
      <c r="AL66" s="398"/>
      <c r="AM66" s="398"/>
      <c r="AN66" s="397">
        <f t="shared" si="0"/>
        <v>0</v>
      </c>
      <c r="AO66" s="398"/>
      <c r="AP66" s="398"/>
      <c r="AQ66" s="80" t="s">
        <v>84</v>
      </c>
      <c r="AR66" s="77"/>
      <c r="AS66" s="81">
        <v>0</v>
      </c>
      <c r="AT66" s="82">
        <f t="shared" si="1"/>
        <v>0</v>
      </c>
      <c r="AU66" s="83">
        <f>'E12 - Osazení výplní pláš...'!P88</f>
        <v>0</v>
      </c>
      <c r="AV66" s="82">
        <f>'E12 - Osazení výplní pláš...'!J33</f>
        <v>0</v>
      </c>
      <c r="AW66" s="82">
        <f>'E12 - Osazení výplní pláš...'!J34</f>
        <v>0</v>
      </c>
      <c r="AX66" s="82">
        <f>'E12 - Osazení výplní pláš...'!J35</f>
        <v>0</v>
      </c>
      <c r="AY66" s="82">
        <f>'E12 - Osazení výplní pláš...'!J36</f>
        <v>0</v>
      </c>
      <c r="AZ66" s="82">
        <f>'E12 - Osazení výplní pláš...'!F33</f>
        <v>0</v>
      </c>
      <c r="BA66" s="82">
        <f>'E12 - Osazení výplní pláš...'!F34</f>
        <v>0</v>
      </c>
      <c r="BB66" s="82">
        <f>'E12 - Osazení výplní pláš...'!F35</f>
        <v>0</v>
      </c>
      <c r="BC66" s="82">
        <f>'E12 - Osazení výplní pláš...'!F36</f>
        <v>0</v>
      </c>
      <c r="BD66" s="84">
        <f>'E12 - Osazení výplní pláš...'!F37</f>
        <v>0</v>
      </c>
      <c r="BT66" s="85" t="s">
        <v>85</v>
      </c>
      <c r="BV66" s="85" t="s">
        <v>79</v>
      </c>
      <c r="BW66" s="85" t="s">
        <v>120</v>
      </c>
      <c r="BX66" s="85" t="s">
        <v>5</v>
      </c>
      <c r="CL66" s="85" t="s">
        <v>3</v>
      </c>
      <c r="CM66" s="85" t="s">
        <v>87</v>
      </c>
    </row>
    <row r="67" spans="1:91" s="7" customFormat="1" ht="37.5" customHeight="1">
      <c r="A67" s="76" t="s">
        <v>81</v>
      </c>
      <c r="B67" s="77"/>
      <c r="C67" s="78"/>
      <c r="D67" s="419" t="s">
        <v>121</v>
      </c>
      <c r="E67" s="419"/>
      <c r="F67" s="419"/>
      <c r="G67" s="419"/>
      <c r="H67" s="419"/>
      <c r="I67" s="79"/>
      <c r="J67" s="419" t="s">
        <v>122</v>
      </c>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397">
        <f>'E13 - Oprava a stavební ú...'!J30</f>
        <v>0</v>
      </c>
      <c r="AH67" s="398"/>
      <c r="AI67" s="398"/>
      <c r="AJ67" s="398"/>
      <c r="AK67" s="398"/>
      <c r="AL67" s="398"/>
      <c r="AM67" s="398"/>
      <c r="AN67" s="397">
        <f t="shared" si="0"/>
        <v>0</v>
      </c>
      <c r="AO67" s="398"/>
      <c r="AP67" s="398"/>
      <c r="AQ67" s="80" t="s">
        <v>84</v>
      </c>
      <c r="AR67" s="77"/>
      <c r="AS67" s="81">
        <v>0</v>
      </c>
      <c r="AT67" s="82">
        <f t="shared" si="1"/>
        <v>0</v>
      </c>
      <c r="AU67" s="83">
        <f>'E13 - Oprava a stavební ú...'!P99</f>
        <v>0</v>
      </c>
      <c r="AV67" s="82">
        <f>'E13 - Oprava a stavební ú...'!J33</f>
        <v>0</v>
      </c>
      <c r="AW67" s="82">
        <f>'E13 - Oprava a stavební ú...'!J34</f>
        <v>0</v>
      </c>
      <c r="AX67" s="82">
        <f>'E13 - Oprava a stavební ú...'!J35</f>
        <v>0</v>
      </c>
      <c r="AY67" s="82">
        <f>'E13 - Oprava a stavební ú...'!J36</f>
        <v>0</v>
      </c>
      <c r="AZ67" s="82">
        <f>'E13 - Oprava a stavební ú...'!F33</f>
        <v>0</v>
      </c>
      <c r="BA67" s="82">
        <f>'E13 - Oprava a stavební ú...'!F34</f>
        <v>0</v>
      </c>
      <c r="BB67" s="82">
        <f>'E13 - Oprava a stavební ú...'!F35</f>
        <v>0</v>
      </c>
      <c r="BC67" s="82">
        <f>'E13 - Oprava a stavební ú...'!F36</f>
        <v>0</v>
      </c>
      <c r="BD67" s="84">
        <f>'E13 - Oprava a stavební ú...'!F37</f>
        <v>0</v>
      </c>
      <c r="BT67" s="85" t="s">
        <v>85</v>
      </c>
      <c r="BV67" s="85" t="s">
        <v>79</v>
      </c>
      <c r="BW67" s="85" t="s">
        <v>123</v>
      </c>
      <c r="BX67" s="85" t="s">
        <v>5</v>
      </c>
      <c r="CL67" s="85" t="s">
        <v>3</v>
      </c>
      <c r="CM67" s="85" t="s">
        <v>87</v>
      </c>
    </row>
    <row r="68" spans="1:91" s="7" customFormat="1" ht="37.5" customHeight="1">
      <c r="A68" s="76" t="s">
        <v>81</v>
      </c>
      <c r="B68" s="77"/>
      <c r="C68" s="78"/>
      <c r="D68" s="419" t="s">
        <v>124</v>
      </c>
      <c r="E68" s="419"/>
      <c r="F68" s="419"/>
      <c r="G68" s="419"/>
      <c r="H68" s="419"/>
      <c r="I68" s="79"/>
      <c r="J68" s="419" t="s">
        <v>125</v>
      </c>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397">
        <f>'E14 - Dokončovací práce -...'!J30</f>
        <v>0</v>
      </c>
      <c r="AH68" s="398"/>
      <c r="AI68" s="398"/>
      <c r="AJ68" s="398"/>
      <c r="AK68" s="398"/>
      <c r="AL68" s="398"/>
      <c r="AM68" s="398"/>
      <c r="AN68" s="397">
        <f t="shared" si="0"/>
        <v>0</v>
      </c>
      <c r="AO68" s="398"/>
      <c r="AP68" s="398"/>
      <c r="AQ68" s="80" t="s">
        <v>84</v>
      </c>
      <c r="AR68" s="77"/>
      <c r="AS68" s="81">
        <v>0</v>
      </c>
      <c r="AT68" s="82">
        <f t="shared" si="1"/>
        <v>0</v>
      </c>
      <c r="AU68" s="83">
        <f>'E14 - Dokončovací práce -...'!P99</f>
        <v>0</v>
      </c>
      <c r="AV68" s="82">
        <f>'E14 - Dokončovací práce -...'!J33</f>
        <v>0</v>
      </c>
      <c r="AW68" s="82">
        <f>'E14 - Dokončovací práce -...'!J34</f>
        <v>0</v>
      </c>
      <c r="AX68" s="82">
        <f>'E14 - Dokončovací práce -...'!J35</f>
        <v>0</v>
      </c>
      <c r="AY68" s="82">
        <f>'E14 - Dokončovací práce -...'!J36</f>
        <v>0</v>
      </c>
      <c r="AZ68" s="82">
        <f>'E14 - Dokončovací práce -...'!F33</f>
        <v>0</v>
      </c>
      <c r="BA68" s="82">
        <f>'E14 - Dokončovací práce -...'!F34</f>
        <v>0</v>
      </c>
      <c r="BB68" s="82">
        <f>'E14 - Dokončovací práce -...'!F35</f>
        <v>0</v>
      </c>
      <c r="BC68" s="82">
        <f>'E14 - Dokončovací práce -...'!F36</f>
        <v>0</v>
      </c>
      <c r="BD68" s="84">
        <f>'E14 - Dokončovací práce -...'!F37</f>
        <v>0</v>
      </c>
      <c r="BT68" s="85" t="s">
        <v>85</v>
      </c>
      <c r="BV68" s="85" t="s">
        <v>79</v>
      </c>
      <c r="BW68" s="85" t="s">
        <v>126</v>
      </c>
      <c r="BX68" s="85" t="s">
        <v>5</v>
      </c>
      <c r="CL68" s="85" t="s">
        <v>3</v>
      </c>
      <c r="CM68" s="85" t="s">
        <v>87</v>
      </c>
    </row>
    <row r="69" spans="1:91" s="7" customFormat="1" ht="24.75" customHeight="1">
      <c r="A69" s="76" t="s">
        <v>81</v>
      </c>
      <c r="B69" s="77"/>
      <c r="C69" s="78"/>
      <c r="D69" s="419" t="s">
        <v>127</v>
      </c>
      <c r="E69" s="419"/>
      <c r="F69" s="419"/>
      <c r="G69" s="419"/>
      <c r="H69" s="419"/>
      <c r="I69" s="79"/>
      <c r="J69" s="419" t="s">
        <v>128</v>
      </c>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397">
        <f>'E15 - Vyrovnání terénu po...'!J30</f>
        <v>0</v>
      </c>
      <c r="AH69" s="398"/>
      <c r="AI69" s="398"/>
      <c r="AJ69" s="398"/>
      <c r="AK69" s="398"/>
      <c r="AL69" s="398"/>
      <c r="AM69" s="398"/>
      <c r="AN69" s="397">
        <f t="shared" si="0"/>
        <v>0</v>
      </c>
      <c r="AO69" s="398"/>
      <c r="AP69" s="398"/>
      <c r="AQ69" s="80" t="s">
        <v>84</v>
      </c>
      <c r="AR69" s="77"/>
      <c r="AS69" s="81">
        <v>0</v>
      </c>
      <c r="AT69" s="82">
        <f t="shared" si="1"/>
        <v>0</v>
      </c>
      <c r="AU69" s="83">
        <f>'E15 - Vyrovnání terénu po...'!P84</f>
        <v>0</v>
      </c>
      <c r="AV69" s="82">
        <f>'E15 - Vyrovnání terénu po...'!J33</f>
        <v>0</v>
      </c>
      <c r="AW69" s="82">
        <f>'E15 - Vyrovnání terénu po...'!J34</f>
        <v>0</v>
      </c>
      <c r="AX69" s="82">
        <f>'E15 - Vyrovnání terénu po...'!J35</f>
        <v>0</v>
      </c>
      <c r="AY69" s="82">
        <f>'E15 - Vyrovnání terénu po...'!J36</f>
        <v>0</v>
      </c>
      <c r="AZ69" s="82">
        <f>'E15 - Vyrovnání terénu po...'!F33</f>
        <v>0</v>
      </c>
      <c r="BA69" s="82">
        <f>'E15 - Vyrovnání terénu po...'!F34</f>
        <v>0</v>
      </c>
      <c r="BB69" s="82">
        <f>'E15 - Vyrovnání terénu po...'!F35</f>
        <v>0</v>
      </c>
      <c r="BC69" s="82">
        <f>'E15 - Vyrovnání terénu po...'!F36</f>
        <v>0</v>
      </c>
      <c r="BD69" s="84">
        <f>'E15 - Vyrovnání terénu po...'!F37</f>
        <v>0</v>
      </c>
      <c r="BT69" s="85" t="s">
        <v>85</v>
      </c>
      <c r="BV69" s="85" t="s">
        <v>79</v>
      </c>
      <c r="BW69" s="85" t="s">
        <v>129</v>
      </c>
      <c r="BX69" s="85" t="s">
        <v>5</v>
      </c>
      <c r="CL69" s="85" t="s">
        <v>3</v>
      </c>
      <c r="CM69" s="85" t="s">
        <v>87</v>
      </c>
    </row>
    <row r="70" spans="1:91" s="7" customFormat="1" ht="16.5" customHeight="1">
      <c r="A70" s="76" t="s">
        <v>81</v>
      </c>
      <c r="B70" s="77"/>
      <c r="C70" s="78"/>
      <c r="D70" s="419" t="s">
        <v>130</v>
      </c>
      <c r="E70" s="419"/>
      <c r="F70" s="419"/>
      <c r="G70" s="419"/>
      <c r="H70" s="419"/>
      <c r="I70" s="79"/>
      <c r="J70" s="419" t="s">
        <v>131</v>
      </c>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397">
        <f>'SO 2 - UT'!J30</f>
        <v>0</v>
      </c>
      <c r="AH70" s="398"/>
      <c r="AI70" s="398"/>
      <c r="AJ70" s="398"/>
      <c r="AK70" s="398"/>
      <c r="AL70" s="398"/>
      <c r="AM70" s="398"/>
      <c r="AN70" s="397">
        <f t="shared" si="0"/>
        <v>0</v>
      </c>
      <c r="AO70" s="398"/>
      <c r="AP70" s="398"/>
      <c r="AQ70" s="80" t="s">
        <v>84</v>
      </c>
      <c r="AR70" s="77"/>
      <c r="AS70" s="81">
        <v>0</v>
      </c>
      <c r="AT70" s="82">
        <f t="shared" si="1"/>
        <v>0</v>
      </c>
      <c r="AU70" s="83">
        <f>'SO 2 - UT'!P82</f>
        <v>0</v>
      </c>
      <c r="AV70" s="82">
        <f>'SO 2 - UT'!J33</f>
        <v>0</v>
      </c>
      <c r="AW70" s="82">
        <f>'SO 2 - UT'!J34</f>
        <v>0</v>
      </c>
      <c r="AX70" s="82">
        <f>'SO 2 - UT'!J35</f>
        <v>0</v>
      </c>
      <c r="AY70" s="82">
        <f>'SO 2 - UT'!J36</f>
        <v>0</v>
      </c>
      <c r="AZ70" s="82">
        <f>'SO 2 - UT'!F33</f>
        <v>0</v>
      </c>
      <c r="BA70" s="82">
        <f>'SO 2 - UT'!F34</f>
        <v>0</v>
      </c>
      <c r="BB70" s="82">
        <f>'SO 2 - UT'!F35</f>
        <v>0</v>
      </c>
      <c r="BC70" s="82">
        <f>'SO 2 - UT'!F36</f>
        <v>0</v>
      </c>
      <c r="BD70" s="84">
        <f>'SO 2 - UT'!F37</f>
        <v>0</v>
      </c>
      <c r="BT70" s="85" t="s">
        <v>85</v>
      </c>
      <c r="BV70" s="85" t="s">
        <v>79</v>
      </c>
      <c r="BW70" s="85" t="s">
        <v>132</v>
      </c>
      <c r="BX70" s="85" t="s">
        <v>5</v>
      </c>
      <c r="CL70" s="85" t="s">
        <v>3</v>
      </c>
      <c r="CM70" s="85" t="s">
        <v>87</v>
      </c>
    </row>
    <row r="71" spans="1:91" s="7" customFormat="1" ht="16.5" customHeight="1">
      <c r="A71" s="76" t="s">
        <v>81</v>
      </c>
      <c r="B71" s="77"/>
      <c r="C71" s="78"/>
      <c r="D71" s="419" t="s">
        <v>133</v>
      </c>
      <c r="E71" s="419"/>
      <c r="F71" s="419"/>
      <c r="G71" s="419"/>
      <c r="H71" s="419"/>
      <c r="I71" s="79"/>
      <c r="J71" s="419" t="s">
        <v>134</v>
      </c>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397">
        <f>'SO 3 - elektroinstalace'!J30</f>
        <v>0</v>
      </c>
      <c r="AH71" s="398"/>
      <c r="AI71" s="398"/>
      <c r="AJ71" s="398"/>
      <c r="AK71" s="398"/>
      <c r="AL71" s="398"/>
      <c r="AM71" s="398"/>
      <c r="AN71" s="397">
        <f t="shared" si="0"/>
        <v>0</v>
      </c>
      <c r="AO71" s="398"/>
      <c r="AP71" s="398"/>
      <c r="AQ71" s="80" t="s">
        <v>84</v>
      </c>
      <c r="AR71" s="77"/>
      <c r="AS71" s="81">
        <v>0</v>
      </c>
      <c r="AT71" s="82">
        <f t="shared" si="1"/>
        <v>0</v>
      </c>
      <c r="AU71" s="83">
        <f>'SO 3 - elektroinstalace'!P82</f>
        <v>0</v>
      </c>
      <c r="AV71" s="82">
        <f>'SO 3 - elektroinstalace'!J33</f>
        <v>0</v>
      </c>
      <c r="AW71" s="82">
        <f>'SO 3 - elektroinstalace'!J34</f>
        <v>0</v>
      </c>
      <c r="AX71" s="82">
        <f>'SO 3 - elektroinstalace'!J35</f>
        <v>0</v>
      </c>
      <c r="AY71" s="82">
        <f>'SO 3 - elektroinstalace'!J36</f>
        <v>0</v>
      </c>
      <c r="AZ71" s="82">
        <f>'SO 3 - elektroinstalace'!F33</f>
        <v>0</v>
      </c>
      <c r="BA71" s="82">
        <f>'SO 3 - elektroinstalace'!F34</f>
        <v>0</v>
      </c>
      <c r="BB71" s="82">
        <f>'SO 3 - elektroinstalace'!F35</f>
        <v>0</v>
      </c>
      <c r="BC71" s="82">
        <f>'SO 3 - elektroinstalace'!F36</f>
        <v>0</v>
      </c>
      <c r="BD71" s="84">
        <f>'SO 3 - elektroinstalace'!F37</f>
        <v>0</v>
      </c>
      <c r="BT71" s="85" t="s">
        <v>85</v>
      </c>
      <c r="BV71" s="85" t="s">
        <v>79</v>
      </c>
      <c r="BW71" s="85" t="s">
        <v>135</v>
      </c>
      <c r="BX71" s="85" t="s">
        <v>5</v>
      </c>
      <c r="CL71" s="85" t="s">
        <v>3</v>
      </c>
      <c r="CM71" s="85" t="s">
        <v>87</v>
      </c>
    </row>
    <row r="72" spans="1:91" s="7" customFormat="1" ht="16.5" customHeight="1">
      <c r="A72" s="76" t="s">
        <v>81</v>
      </c>
      <c r="B72" s="77"/>
      <c r="C72" s="78"/>
      <c r="D72" s="419" t="s">
        <v>136</v>
      </c>
      <c r="E72" s="419"/>
      <c r="F72" s="419"/>
      <c r="G72" s="419"/>
      <c r="H72" s="419"/>
      <c r="I72" s="79"/>
      <c r="J72" s="419" t="s">
        <v>137</v>
      </c>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397">
        <f>'SO 4 - ZTI'!J30</f>
        <v>0</v>
      </c>
      <c r="AH72" s="398"/>
      <c r="AI72" s="398"/>
      <c r="AJ72" s="398"/>
      <c r="AK72" s="398"/>
      <c r="AL72" s="398"/>
      <c r="AM72" s="398"/>
      <c r="AN72" s="397">
        <f t="shared" si="0"/>
        <v>0</v>
      </c>
      <c r="AO72" s="398"/>
      <c r="AP72" s="398"/>
      <c r="AQ72" s="80" t="s">
        <v>84</v>
      </c>
      <c r="AR72" s="77"/>
      <c r="AS72" s="81">
        <v>0</v>
      </c>
      <c r="AT72" s="82">
        <f t="shared" si="1"/>
        <v>0</v>
      </c>
      <c r="AU72" s="83">
        <f>'SO 4 - ZTI'!P93</f>
        <v>0</v>
      </c>
      <c r="AV72" s="82">
        <f>'SO 4 - ZTI'!J33</f>
        <v>0</v>
      </c>
      <c r="AW72" s="82">
        <f>'SO 4 - ZTI'!J34</f>
        <v>0</v>
      </c>
      <c r="AX72" s="82">
        <f>'SO 4 - ZTI'!J35</f>
        <v>0</v>
      </c>
      <c r="AY72" s="82">
        <f>'SO 4 - ZTI'!J36</f>
        <v>0</v>
      </c>
      <c r="AZ72" s="82">
        <f>'SO 4 - ZTI'!F33</f>
        <v>0</v>
      </c>
      <c r="BA72" s="82">
        <f>'SO 4 - ZTI'!F34</f>
        <v>0</v>
      </c>
      <c r="BB72" s="82">
        <f>'SO 4 - ZTI'!F35</f>
        <v>0</v>
      </c>
      <c r="BC72" s="82">
        <f>'SO 4 - ZTI'!F36</f>
        <v>0</v>
      </c>
      <c r="BD72" s="84">
        <f>'SO 4 - ZTI'!F37</f>
        <v>0</v>
      </c>
      <c r="BT72" s="85" t="s">
        <v>85</v>
      </c>
      <c r="BV72" s="85" t="s">
        <v>79</v>
      </c>
      <c r="BW72" s="85" t="s">
        <v>138</v>
      </c>
      <c r="BX72" s="85" t="s">
        <v>5</v>
      </c>
      <c r="CL72" s="85" t="s">
        <v>3</v>
      </c>
      <c r="CM72" s="85" t="s">
        <v>87</v>
      </c>
    </row>
    <row r="73" spans="1:91" s="7" customFormat="1" ht="16.5" customHeight="1">
      <c r="A73" s="76" t="s">
        <v>81</v>
      </c>
      <c r="B73" s="77"/>
      <c r="C73" s="78"/>
      <c r="D73" s="419" t="s">
        <v>139</v>
      </c>
      <c r="E73" s="419"/>
      <c r="F73" s="419"/>
      <c r="G73" s="419"/>
      <c r="H73" s="419"/>
      <c r="I73" s="79"/>
      <c r="J73" s="419" t="s">
        <v>140</v>
      </c>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397">
        <f>'SO 5 - VZT'!J30</f>
        <v>0</v>
      </c>
      <c r="AH73" s="398"/>
      <c r="AI73" s="398"/>
      <c r="AJ73" s="398"/>
      <c r="AK73" s="398"/>
      <c r="AL73" s="398"/>
      <c r="AM73" s="398"/>
      <c r="AN73" s="397">
        <f t="shared" si="0"/>
        <v>0</v>
      </c>
      <c r="AO73" s="398"/>
      <c r="AP73" s="398"/>
      <c r="AQ73" s="80" t="s">
        <v>84</v>
      </c>
      <c r="AR73" s="77"/>
      <c r="AS73" s="81">
        <v>0</v>
      </c>
      <c r="AT73" s="82">
        <f t="shared" si="1"/>
        <v>0</v>
      </c>
      <c r="AU73" s="83">
        <f>'SO 5 - VZT'!P82</f>
        <v>0</v>
      </c>
      <c r="AV73" s="82">
        <f>'SO 5 - VZT'!J33</f>
        <v>0</v>
      </c>
      <c r="AW73" s="82">
        <f>'SO 5 - VZT'!J34</f>
        <v>0</v>
      </c>
      <c r="AX73" s="82">
        <f>'SO 5 - VZT'!J35</f>
        <v>0</v>
      </c>
      <c r="AY73" s="82">
        <f>'SO 5 - VZT'!J36</f>
        <v>0</v>
      </c>
      <c r="AZ73" s="82">
        <f>'SO 5 - VZT'!F33</f>
        <v>0</v>
      </c>
      <c r="BA73" s="82">
        <f>'SO 5 - VZT'!F34</f>
        <v>0</v>
      </c>
      <c r="BB73" s="82">
        <f>'SO 5 - VZT'!F35</f>
        <v>0</v>
      </c>
      <c r="BC73" s="82">
        <f>'SO 5 - VZT'!F36</f>
        <v>0</v>
      </c>
      <c r="BD73" s="84">
        <f>'SO 5 - VZT'!F37</f>
        <v>0</v>
      </c>
      <c r="BT73" s="85" t="s">
        <v>85</v>
      </c>
      <c r="BV73" s="85" t="s">
        <v>79</v>
      </c>
      <c r="BW73" s="85" t="s">
        <v>141</v>
      </c>
      <c r="BX73" s="85" t="s">
        <v>5</v>
      </c>
      <c r="CL73" s="85" t="s">
        <v>3</v>
      </c>
      <c r="CM73" s="85" t="s">
        <v>87</v>
      </c>
    </row>
    <row r="74" spans="1:91" s="7" customFormat="1" ht="16.5" customHeight="1">
      <c r="A74" s="76" t="s">
        <v>81</v>
      </c>
      <c r="B74" s="77"/>
      <c r="C74" s="78"/>
      <c r="D74" s="419" t="s">
        <v>142</v>
      </c>
      <c r="E74" s="419"/>
      <c r="F74" s="419"/>
      <c r="G74" s="419"/>
      <c r="H74" s="419"/>
      <c r="I74" s="79"/>
      <c r="J74" s="419" t="s">
        <v>143</v>
      </c>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397">
        <f>'VON - vedlejší a ostatní ...'!J30</f>
        <v>0</v>
      </c>
      <c r="AH74" s="398"/>
      <c r="AI74" s="398"/>
      <c r="AJ74" s="398"/>
      <c r="AK74" s="398"/>
      <c r="AL74" s="398"/>
      <c r="AM74" s="398"/>
      <c r="AN74" s="397">
        <f t="shared" si="0"/>
        <v>0</v>
      </c>
      <c r="AO74" s="398"/>
      <c r="AP74" s="398"/>
      <c r="AQ74" s="80" t="s">
        <v>84</v>
      </c>
      <c r="AR74" s="77"/>
      <c r="AS74" s="86">
        <v>0</v>
      </c>
      <c r="AT74" s="87">
        <f t="shared" si="1"/>
        <v>0</v>
      </c>
      <c r="AU74" s="88">
        <f>'VON - vedlejší a ostatní ...'!P82</f>
        <v>0</v>
      </c>
      <c r="AV74" s="87">
        <f>'VON - vedlejší a ostatní ...'!J33</f>
        <v>0</v>
      </c>
      <c r="AW74" s="87">
        <f>'VON - vedlejší a ostatní ...'!J34</f>
        <v>0</v>
      </c>
      <c r="AX74" s="87">
        <f>'VON - vedlejší a ostatní ...'!J35</f>
        <v>0</v>
      </c>
      <c r="AY74" s="87">
        <f>'VON - vedlejší a ostatní ...'!J36</f>
        <v>0</v>
      </c>
      <c r="AZ74" s="87">
        <f>'VON - vedlejší a ostatní ...'!F33</f>
        <v>0</v>
      </c>
      <c r="BA74" s="87">
        <f>'VON - vedlejší a ostatní ...'!F34</f>
        <v>0</v>
      </c>
      <c r="BB74" s="87">
        <f>'VON - vedlejší a ostatní ...'!F35</f>
        <v>0</v>
      </c>
      <c r="BC74" s="87">
        <f>'VON - vedlejší a ostatní ...'!F36</f>
        <v>0</v>
      </c>
      <c r="BD74" s="89">
        <f>'VON - vedlejší a ostatní ...'!F37</f>
        <v>0</v>
      </c>
      <c r="BT74" s="85" t="s">
        <v>85</v>
      </c>
      <c r="BV74" s="85" t="s">
        <v>79</v>
      </c>
      <c r="BW74" s="85" t="s">
        <v>144</v>
      </c>
      <c r="BX74" s="85" t="s">
        <v>5</v>
      </c>
      <c r="CL74" s="85" t="s">
        <v>3</v>
      </c>
      <c r="CM74" s="85" t="s">
        <v>87</v>
      </c>
    </row>
    <row r="75" spans="1:91" s="2" customFormat="1" ht="30" customHeight="1">
      <c r="A75" s="34"/>
      <c r="B75" s="3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5"/>
      <c r="AS75" s="34"/>
      <c r="AT75" s="34"/>
      <c r="AU75" s="34"/>
      <c r="AV75" s="34"/>
      <c r="AW75" s="34"/>
      <c r="AX75" s="34"/>
      <c r="AY75" s="34"/>
      <c r="AZ75" s="34"/>
      <c r="BA75" s="34"/>
      <c r="BB75" s="34"/>
      <c r="BC75" s="34"/>
      <c r="BD75" s="34"/>
      <c r="BE75" s="34"/>
    </row>
    <row r="76" spans="1:91" s="2" customFormat="1" ht="6.95" customHeight="1">
      <c r="A76" s="34"/>
      <c r="B76" s="44"/>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35"/>
      <c r="AS76" s="34"/>
      <c r="AT76" s="34"/>
      <c r="AU76" s="34"/>
      <c r="AV76" s="34"/>
      <c r="AW76" s="34"/>
      <c r="AX76" s="34"/>
      <c r="AY76" s="34"/>
      <c r="AZ76" s="34"/>
      <c r="BA76" s="34"/>
      <c r="BB76" s="34"/>
      <c r="BC76" s="34"/>
      <c r="BD76" s="34"/>
      <c r="BE76" s="34"/>
    </row>
  </sheetData>
  <mergeCells count="118">
    <mergeCell ref="J57:AF57"/>
    <mergeCell ref="J58:AF58"/>
    <mergeCell ref="J64:AF64"/>
    <mergeCell ref="J56:AF56"/>
    <mergeCell ref="J55:AF55"/>
    <mergeCell ref="C52:G52"/>
    <mergeCell ref="D61:H61"/>
    <mergeCell ref="D58:H58"/>
    <mergeCell ref="D55:H55"/>
    <mergeCell ref="D59:H59"/>
    <mergeCell ref="D60:H60"/>
    <mergeCell ref="D56:H56"/>
    <mergeCell ref="D57:H57"/>
    <mergeCell ref="D62:H62"/>
    <mergeCell ref="L45:AO45"/>
    <mergeCell ref="D65:H65"/>
    <mergeCell ref="J65:AF65"/>
    <mergeCell ref="D66:H66"/>
    <mergeCell ref="J66:AF66"/>
    <mergeCell ref="D67:H67"/>
    <mergeCell ref="J67:AF67"/>
    <mergeCell ref="D68:H68"/>
    <mergeCell ref="J68:AF68"/>
    <mergeCell ref="AG64:AM64"/>
    <mergeCell ref="AN64:AP64"/>
    <mergeCell ref="AN56:AP56"/>
    <mergeCell ref="AN60:AP60"/>
    <mergeCell ref="AN58:AP58"/>
    <mergeCell ref="AN59:AP59"/>
    <mergeCell ref="AN55:AP55"/>
    <mergeCell ref="D63:H63"/>
    <mergeCell ref="D64:H64"/>
    <mergeCell ref="I52:AF52"/>
    <mergeCell ref="J61:AF61"/>
    <mergeCell ref="J60:AF60"/>
    <mergeCell ref="J62:AF62"/>
    <mergeCell ref="J63:AF63"/>
    <mergeCell ref="J59:AF59"/>
    <mergeCell ref="D69:H69"/>
    <mergeCell ref="J69:AF69"/>
    <mergeCell ref="D70:H70"/>
    <mergeCell ref="J70:AF70"/>
    <mergeCell ref="D71:H71"/>
    <mergeCell ref="J71:AF71"/>
    <mergeCell ref="D72:H72"/>
    <mergeCell ref="J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N52:AP52"/>
    <mergeCell ref="AN62:AP62"/>
    <mergeCell ref="AN61:AP61"/>
    <mergeCell ref="AS49:AT51"/>
    <mergeCell ref="AN65:AP65"/>
    <mergeCell ref="AG65:AM65"/>
    <mergeCell ref="AN66:AP66"/>
    <mergeCell ref="AG66:AM66"/>
    <mergeCell ref="AN67:AP67"/>
    <mergeCell ref="AG67:AM67"/>
    <mergeCell ref="AN68:AP68"/>
    <mergeCell ref="AG68:AM68"/>
    <mergeCell ref="AN74:AP74"/>
    <mergeCell ref="AG74:AM74"/>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5" location="'E 1 - Vyklizení objektu, ...'!C2" display="/"/>
    <hyperlink ref="A56" location="'E 2 - Sanace betonové kon...'!C2" display="/"/>
    <hyperlink ref="A57" location="'E 3 - Vyzdění severního p...'!C2" display="/"/>
    <hyperlink ref="A58" location="'E 4 - Oddělení bourané a ...'!C2" display="/"/>
    <hyperlink ref="A59" location="'E 5 - Dozdívky a vybourán...'!C2" display="/"/>
    <hyperlink ref="A60" location="'E 6 - Provedení střechy p...'!C2" display="/"/>
    <hyperlink ref="A61" location="'E 7 - Vybourání stávající...'!C2" display="/"/>
    <hyperlink ref="A62" location="'E 8 - Provedení otvoru pr...'!C2" display="/"/>
    <hyperlink ref="A63" location="'E 9 - Hrubá stavba nové d...'!C2" display="/"/>
    <hyperlink ref="A64" location="'E10 - Vybourání dispozice...'!C2" display="/"/>
    <hyperlink ref="A65" location="'E11 - Hrubá stavba nové d...'!C2" display="/"/>
    <hyperlink ref="A66" location="'E12 - Osazení výplní pláš...'!C2" display="/"/>
    <hyperlink ref="A67" location="'E13 - Oprava a stavební ú...'!C2" display="/"/>
    <hyperlink ref="A68" location="'E14 - Dokončovací práce -...'!C2" display="/"/>
    <hyperlink ref="A69" location="'E15 - Vyrovnání terénu po...'!C2" display="/"/>
    <hyperlink ref="A70" location="'SO 2 - UT'!C2" display="/"/>
    <hyperlink ref="A71" location="'SO 3 - elektroinstalace'!C2" display="/"/>
    <hyperlink ref="A72" location="'SO 4 - ZTI'!C2" display="/"/>
    <hyperlink ref="A73" location="'SO 5 - VZT'!C2" display="/"/>
    <hyperlink ref="A74" location="'VON - vedlejší a ostatní ...'!C2" display="/"/>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68"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86</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147</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ROUND(J88,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ROUND((SUM(BE88:BE176)),  2)</f>
        <v>0</v>
      </c>
      <c r="G33" s="34"/>
      <c r="H33" s="34"/>
      <c r="I33" s="98">
        <v>0.21</v>
      </c>
      <c r="J33" s="97">
        <f>ROUND(((SUM(BE88:BE176))*I33),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ROUND((SUM(BF88:BF176)),  2)</f>
        <v>0</v>
      </c>
      <c r="G34" s="34"/>
      <c r="H34" s="34"/>
      <c r="I34" s="98">
        <v>0.15</v>
      </c>
      <c r="J34" s="97">
        <f>ROUND(((SUM(BF88:BF176))*I34),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ROUND((SUM(BG88:BG176)),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ROUND((SUM(BH88:BH176)),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ROUND((SUM(BI88:BI176)),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1 - Vyklizení objektu, odpojení a demontáž TZB</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J88</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J89</f>
        <v>0</v>
      </c>
      <c r="L60" s="108"/>
    </row>
    <row r="61" spans="1:47" s="10" customFormat="1" ht="19.899999999999999" customHeight="1">
      <c r="B61" s="112"/>
      <c r="D61" s="113" t="s">
        <v>154</v>
      </c>
      <c r="E61" s="114"/>
      <c r="F61" s="114"/>
      <c r="G61" s="114"/>
      <c r="H61" s="114"/>
      <c r="I61" s="114"/>
      <c r="J61" s="115">
        <f>J90</f>
        <v>0</v>
      </c>
      <c r="L61" s="112"/>
    </row>
    <row r="62" spans="1:47" s="9" customFormat="1" ht="24.95" customHeight="1">
      <c r="B62" s="108"/>
      <c r="D62" s="109" t="s">
        <v>155</v>
      </c>
      <c r="E62" s="110"/>
      <c r="F62" s="110"/>
      <c r="G62" s="110"/>
      <c r="H62" s="110"/>
      <c r="I62" s="110"/>
      <c r="J62" s="111">
        <f>J124</f>
        <v>0</v>
      </c>
      <c r="L62" s="108"/>
    </row>
    <row r="63" spans="1:47" s="10" customFormat="1" ht="19.899999999999999" customHeight="1">
      <c r="B63" s="112"/>
      <c r="D63" s="113" t="s">
        <v>156</v>
      </c>
      <c r="E63" s="114"/>
      <c r="F63" s="114"/>
      <c r="G63" s="114"/>
      <c r="H63" s="114"/>
      <c r="I63" s="114"/>
      <c r="J63" s="115">
        <f>J125</f>
        <v>0</v>
      </c>
      <c r="L63" s="112"/>
    </row>
    <row r="64" spans="1:47" s="10" customFormat="1" ht="19.899999999999999" customHeight="1">
      <c r="B64" s="112"/>
      <c r="D64" s="113" t="s">
        <v>157</v>
      </c>
      <c r="E64" s="114"/>
      <c r="F64" s="114"/>
      <c r="G64" s="114"/>
      <c r="H64" s="114"/>
      <c r="I64" s="114"/>
      <c r="J64" s="115">
        <f>J131</f>
        <v>0</v>
      </c>
      <c r="L64" s="112"/>
    </row>
    <row r="65" spans="1:31" s="10" customFormat="1" ht="19.899999999999999" customHeight="1">
      <c r="B65" s="112"/>
      <c r="D65" s="113" t="s">
        <v>158</v>
      </c>
      <c r="E65" s="114"/>
      <c r="F65" s="114"/>
      <c r="G65" s="114"/>
      <c r="H65" s="114"/>
      <c r="I65" s="114"/>
      <c r="J65" s="115">
        <f>J136</f>
        <v>0</v>
      </c>
      <c r="L65" s="112"/>
    </row>
    <row r="66" spans="1:31" s="10" customFormat="1" ht="19.899999999999999" customHeight="1">
      <c r="B66" s="112"/>
      <c r="D66" s="113" t="s">
        <v>159</v>
      </c>
      <c r="E66" s="114"/>
      <c r="F66" s="114"/>
      <c r="G66" s="114"/>
      <c r="H66" s="114"/>
      <c r="I66" s="114"/>
      <c r="J66" s="115">
        <f>J158</f>
        <v>0</v>
      </c>
      <c r="L66" s="112"/>
    </row>
    <row r="67" spans="1:31" s="10" customFormat="1" ht="19.899999999999999" customHeight="1">
      <c r="B67" s="112"/>
      <c r="D67" s="113" t="s">
        <v>160</v>
      </c>
      <c r="E67" s="114"/>
      <c r="F67" s="114"/>
      <c r="G67" s="114"/>
      <c r="H67" s="114"/>
      <c r="I67" s="114"/>
      <c r="J67" s="115">
        <f>J161</f>
        <v>0</v>
      </c>
      <c r="L67" s="112"/>
    </row>
    <row r="68" spans="1:31" s="9" customFormat="1" ht="24.95" customHeight="1">
      <c r="B68" s="108"/>
      <c r="D68" s="109" t="s">
        <v>161</v>
      </c>
      <c r="E68" s="110"/>
      <c r="F68" s="110"/>
      <c r="G68" s="110"/>
      <c r="H68" s="110"/>
      <c r="I68" s="110"/>
      <c r="J68" s="111">
        <f>J171</f>
        <v>0</v>
      </c>
      <c r="L68" s="108"/>
    </row>
    <row r="69" spans="1:31" s="2" customFormat="1" ht="21.75" customHeight="1">
      <c r="A69" s="34"/>
      <c r="B69" s="35"/>
      <c r="C69" s="34"/>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1"/>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1"/>
      <c r="S74" s="34"/>
      <c r="T74" s="34"/>
      <c r="U74" s="34"/>
      <c r="V74" s="34"/>
      <c r="W74" s="34"/>
      <c r="X74" s="34"/>
      <c r="Y74" s="34"/>
      <c r="Z74" s="34"/>
      <c r="AA74" s="34"/>
      <c r="AB74" s="34"/>
      <c r="AC74" s="34"/>
      <c r="AD74" s="34"/>
      <c r="AE74" s="34"/>
    </row>
    <row r="75" spans="1:31" s="2" customFormat="1" ht="24.95" customHeight="1">
      <c r="A75" s="34"/>
      <c r="B75" s="35"/>
      <c r="C75" s="23" t="s">
        <v>162</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436" t="str">
        <f>E7</f>
        <v>ZŠ P. HOLÉHO - PŘESTAVBA PLAVECKÉHO PAVILONU</v>
      </c>
      <c r="F78" s="437"/>
      <c r="G78" s="437"/>
      <c r="H78" s="437"/>
      <c r="I78" s="34"/>
      <c r="J78" s="34"/>
      <c r="K78" s="34"/>
      <c r="L78" s="91"/>
      <c r="S78" s="34"/>
      <c r="T78" s="34"/>
      <c r="U78" s="34"/>
      <c r="V78" s="34"/>
      <c r="W78" s="34"/>
      <c r="X78" s="34"/>
      <c r="Y78" s="34"/>
      <c r="Z78" s="34"/>
      <c r="AA78" s="34"/>
      <c r="AB78" s="34"/>
      <c r="AC78" s="34"/>
      <c r="AD78" s="34"/>
      <c r="AE78" s="34"/>
    </row>
    <row r="79" spans="1:31" s="2" customFormat="1" ht="12" customHeight="1">
      <c r="A79" s="34"/>
      <c r="B79" s="35"/>
      <c r="C79" s="29" t="s">
        <v>146</v>
      </c>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6.5" customHeight="1">
      <c r="A80" s="34"/>
      <c r="B80" s="35"/>
      <c r="C80" s="34"/>
      <c r="D80" s="34"/>
      <c r="E80" s="432" t="str">
        <f>E9</f>
        <v>E 1 - Vyklizení objektu, odpojení a demontáž TZB</v>
      </c>
      <c r="F80" s="435"/>
      <c r="G80" s="435"/>
      <c r="H80" s="435"/>
      <c r="I80" s="34"/>
      <c r="J80" s="34"/>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F12</f>
        <v>Prokopa Holého 2632, Louny, 440 01</v>
      </c>
      <c r="G82" s="34"/>
      <c r="H82" s="34"/>
      <c r="I82" s="29" t="s">
        <v>23</v>
      </c>
      <c r="J82" s="52" t="str">
        <f>IF(J12="","",J12)</f>
        <v>21. 9. 2022</v>
      </c>
      <c r="K82" s="34"/>
      <c r="L82" s="91"/>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E15</f>
        <v>Město Louny</v>
      </c>
      <c r="G84" s="34"/>
      <c r="H84" s="34"/>
      <c r="I84" s="29" t="s">
        <v>32</v>
      </c>
      <c r="J84" s="32" t="str">
        <f>E21</f>
        <v>RYSIK Design s.r.o.</v>
      </c>
      <c r="K84" s="34"/>
      <c r="L84" s="91"/>
      <c r="S84" s="34"/>
      <c r="T84" s="34"/>
      <c r="U84" s="34"/>
      <c r="V84" s="34"/>
      <c r="W84" s="34"/>
      <c r="X84" s="34"/>
      <c r="Y84" s="34"/>
      <c r="Z84" s="34"/>
      <c r="AA84" s="34"/>
      <c r="AB84" s="34"/>
      <c r="AC84" s="34"/>
      <c r="AD84" s="34"/>
      <c r="AE84" s="34"/>
    </row>
    <row r="85" spans="1:65" s="2" customFormat="1" ht="25.7" customHeight="1">
      <c r="A85" s="34"/>
      <c r="B85" s="35"/>
      <c r="C85" s="29" t="s">
        <v>30</v>
      </c>
      <c r="D85" s="34"/>
      <c r="E85" s="34"/>
      <c r="F85" s="27" t="str">
        <f>IF(E18="","",E18)</f>
        <v>Vyplň údaj</v>
      </c>
      <c r="G85" s="34"/>
      <c r="H85" s="34"/>
      <c r="I85" s="29" t="s">
        <v>37</v>
      </c>
      <c r="J85" s="32" t="str">
        <f>E24</f>
        <v>ing. Kateřina Tumpachová</v>
      </c>
      <c r="K85" s="34"/>
      <c r="L85" s="91"/>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11" customFormat="1" ht="29.25" customHeight="1">
      <c r="A87" s="116"/>
      <c r="B87" s="117"/>
      <c r="C87" s="118" t="s">
        <v>163</v>
      </c>
      <c r="D87" s="119" t="s">
        <v>62</v>
      </c>
      <c r="E87" s="119" t="s">
        <v>58</v>
      </c>
      <c r="F87" s="119" t="s">
        <v>59</v>
      </c>
      <c r="G87" s="119" t="s">
        <v>164</v>
      </c>
      <c r="H87" s="119" t="s">
        <v>165</v>
      </c>
      <c r="I87" s="119" t="s">
        <v>166</v>
      </c>
      <c r="J87" s="119" t="s">
        <v>151</v>
      </c>
      <c r="K87" s="120" t="s">
        <v>167</v>
      </c>
      <c r="L87" s="121"/>
      <c r="M87" s="59" t="s">
        <v>3</v>
      </c>
      <c r="N87" s="60" t="s">
        <v>47</v>
      </c>
      <c r="O87" s="60" t="s">
        <v>168</v>
      </c>
      <c r="P87" s="60" t="s">
        <v>169</v>
      </c>
      <c r="Q87" s="60" t="s">
        <v>170</v>
      </c>
      <c r="R87" s="60" t="s">
        <v>171</v>
      </c>
      <c r="S87" s="60" t="s">
        <v>172</v>
      </c>
      <c r="T87" s="61" t="s">
        <v>173</v>
      </c>
      <c r="U87" s="116"/>
      <c r="V87" s="116"/>
      <c r="W87" s="116"/>
      <c r="X87" s="116"/>
      <c r="Y87" s="116"/>
      <c r="Z87" s="116"/>
      <c r="AA87" s="116"/>
      <c r="AB87" s="116"/>
      <c r="AC87" s="116"/>
      <c r="AD87" s="116"/>
      <c r="AE87" s="116"/>
    </row>
    <row r="88" spans="1:65" s="2" customFormat="1" ht="22.9" customHeight="1">
      <c r="A88" s="34"/>
      <c r="B88" s="35"/>
      <c r="C88" s="66" t="s">
        <v>174</v>
      </c>
      <c r="D88" s="34"/>
      <c r="E88" s="34"/>
      <c r="F88" s="34"/>
      <c r="G88" s="34"/>
      <c r="H88" s="34"/>
      <c r="I88" s="34"/>
      <c r="J88" s="122">
        <f>BK88</f>
        <v>0</v>
      </c>
      <c r="K88" s="34"/>
      <c r="L88" s="35"/>
      <c r="M88" s="62"/>
      <c r="N88" s="53"/>
      <c r="O88" s="63"/>
      <c r="P88" s="123">
        <f>P89+P124+P171</f>
        <v>0</v>
      </c>
      <c r="Q88" s="63"/>
      <c r="R88" s="123">
        <f>R89+R124+R171</f>
        <v>0</v>
      </c>
      <c r="S88" s="63"/>
      <c r="T88" s="124">
        <f>T89+T124+T171</f>
        <v>1.36246</v>
      </c>
      <c r="U88" s="34"/>
      <c r="V88" s="34"/>
      <c r="W88" s="34"/>
      <c r="X88" s="34"/>
      <c r="Y88" s="34"/>
      <c r="Z88" s="34"/>
      <c r="AA88" s="34"/>
      <c r="AB88" s="34"/>
      <c r="AC88" s="34"/>
      <c r="AD88" s="34"/>
      <c r="AE88" s="34"/>
      <c r="AT88" s="19" t="s">
        <v>76</v>
      </c>
      <c r="AU88" s="19" t="s">
        <v>152</v>
      </c>
      <c r="BK88" s="125">
        <f>BK89+BK124+BK171</f>
        <v>0</v>
      </c>
    </row>
    <row r="89" spans="1:65" s="12" customFormat="1" ht="25.9" customHeight="1">
      <c r="B89" s="126"/>
      <c r="D89" s="127" t="s">
        <v>76</v>
      </c>
      <c r="E89" s="128" t="s">
        <v>175</v>
      </c>
      <c r="F89" s="128" t="s">
        <v>176</v>
      </c>
      <c r="I89" s="129"/>
      <c r="J89" s="130">
        <f>BK89</f>
        <v>0</v>
      </c>
      <c r="L89" s="126"/>
      <c r="M89" s="131"/>
      <c r="N89" s="132"/>
      <c r="O89" s="132"/>
      <c r="P89" s="133">
        <f>P90</f>
        <v>0</v>
      </c>
      <c r="Q89" s="132"/>
      <c r="R89" s="133">
        <f>R90</f>
        <v>0</v>
      </c>
      <c r="S89" s="132"/>
      <c r="T89" s="134">
        <f>T90</f>
        <v>0</v>
      </c>
      <c r="AR89" s="127" t="s">
        <v>85</v>
      </c>
      <c r="AT89" s="135" t="s">
        <v>76</v>
      </c>
      <c r="AU89" s="135" t="s">
        <v>77</v>
      </c>
      <c r="AY89" s="127" t="s">
        <v>177</v>
      </c>
      <c r="BK89" s="136">
        <f>BK90</f>
        <v>0</v>
      </c>
    </row>
    <row r="90" spans="1:65" s="12" customFormat="1" ht="22.9" customHeight="1">
      <c r="B90" s="126"/>
      <c r="D90" s="127" t="s">
        <v>76</v>
      </c>
      <c r="E90" s="137" t="s">
        <v>178</v>
      </c>
      <c r="F90" s="137" t="s">
        <v>179</v>
      </c>
      <c r="I90" s="129"/>
      <c r="J90" s="138">
        <f>BK90</f>
        <v>0</v>
      </c>
      <c r="L90" s="126"/>
      <c r="M90" s="131"/>
      <c r="N90" s="132"/>
      <c r="O90" s="132"/>
      <c r="P90" s="133">
        <f>SUM(P91:P123)</f>
        <v>0</v>
      </c>
      <c r="Q90" s="132"/>
      <c r="R90" s="133">
        <f>SUM(R91:R123)</f>
        <v>0</v>
      </c>
      <c r="S90" s="132"/>
      <c r="T90" s="134">
        <f>SUM(T91:T123)</f>
        <v>0</v>
      </c>
      <c r="AR90" s="127" t="s">
        <v>85</v>
      </c>
      <c r="AT90" s="135" t="s">
        <v>76</v>
      </c>
      <c r="AU90" s="135" t="s">
        <v>85</v>
      </c>
      <c r="AY90" s="127" t="s">
        <v>177</v>
      </c>
      <c r="BK90" s="136">
        <f>SUM(BK91:BK123)</f>
        <v>0</v>
      </c>
    </row>
    <row r="91" spans="1:65" s="2" customFormat="1" ht="16.5" customHeight="1">
      <c r="A91" s="34"/>
      <c r="B91" s="139"/>
      <c r="C91" s="140" t="s">
        <v>85</v>
      </c>
      <c r="D91" s="140" t="s">
        <v>180</v>
      </c>
      <c r="E91" s="141" t="s">
        <v>181</v>
      </c>
      <c r="F91" s="142" t="s">
        <v>182</v>
      </c>
      <c r="G91" s="143" t="s">
        <v>183</v>
      </c>
      <c r="H91" s="144">
        <v>9.3620000000000001</v>
      </c>
      <c r="I91" s="145"/>
      <c r="J91" s="146">
        <f>ROUND(I91*H91,2)</f>
        <v>0</v>
      </c>
      <c r="K91" s="142" t="s">
        <v>184</v>
      </c>
      <c r="L91" s="35"/>
      <c r="M91" s="147" t="s">
        <v>3</v>
      </c>
      <c r="N91" s="148" t="s">
        <v>48</v>
      </c>
      <c r="O91" s="55"/>
      <c r="P91" s="149">
        <f>O91*H91</f>
        <v>0</v>
      </c>
      <c r="Q91" s="149">
        <v>0</v>
      </c>
      <c r="R91" s="149">
        <f>Q91*H91</f>
        <v>0</v>
      </c>
      <c r="S91" s="149">
        <v>0</v>
      </c>
      <c r="T91" s="150">
        <f>S91*H91</f>
        <v>0</v>
      </c>
      <c r="U91" s="34"/>
      <c r="V91" s="34"/>
      <c r="W91" s="34"/>
      <c r="X91" s="34"/>
      <c r="Y91" s="34"/>
      <c r="Z91" s="34"/>
      <c r="AA91" s="34"/>
      <c r="AB91" s="34"/>
      <c r="AC91" s="34"/>
      <c r="AD91" s="34"/>
      <c r="AE91" s="34"/>
      <c r="AR91" s="151" t="s">
        <v>185</v>
      </c>
      <c r="AT91" s="151" t="s">
        <v>180</v>
      </c>
      <c r="AU91" s="151" t="s">
        <v>87</v>
      </c>
      <c r="AY91" s="19" t="s">
        <v>177</v>
      </c>
      <c r="BE91" s="152">
        <f>IF(N91="základní",J91,0)</f>
        <v>0</v>
      </c>
      <c r="BF91" s="152">
        <f>IF(N91="snížená",J91,0)</f>
        <v>0</v>
      </c>
      <c r="BG91" s="152">
        <f>IF(N91="zákl. přenesená",J91,0)</f>
        <v>0</v>
      </c>
      <c r="BH91" s="152">
        <f>IF(N91="sníž. přenesená",J91,0)</f>
        <v>0</v>
      </c>
      <c r="BI91" s="152">
        <f>IF(N91="nulová",J91,0)</f>
        <v>0</v>
      </c>
      <c r="BJ91" s="19" t="s">
        <v>85</v>
      </c>
      <c r="BK91" s="152">
        <f>ROUND(I91*H91,2)</f>
        <v>0</v>
      </c>
      <c r="BL91" s="19" t="s">
        <v>185</v>
      </c>
      <c r="BM91" s="151" t="s">
        <v>186</v>
      </c>
    </row>
    <row r="92" spans="1:65" s="2" customFormat="1">
      <c r="A92" s="34"/>
      <c r="B92" s="35"/>
      <c r="C92" s="34"/>
      <c r="D92" s="153" t="s">
        <v>187</v>
      </c>
      <c r="E92" s="34"/>
      <c r="F92" s="154" t="s">
        <v>188</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187</v>
      </c>
      <c r="AU92" s="19" t="s">
        <v>87</v>
      </c>
    </row>
    <row r="93" spans="1:65" s="2" customFormat="1">
      <c r="A93" s="34"/>
      <c r="B93" s="35"/>
      <c r="C93" s="34"/>
      <c r="D93" s="158" t="s">
        <v>189</v>
      </c>
      <c r="E93" s="34"/>
      <c r="F93" s="159" t="s">
        <v>190</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189</v>
      </c>
      <c r="AU93" s="19" t="s">
        <v>87</v>
      </c>
    </row>
    <row r="94" spans="1:65" s="2" customFormat="1" ht="107.25">
      <c r="A94" s="34"/>
      <c r="B94" s="35"/>
      <c r="C94" s="34"/>
      <c r="D94" s="153" t="s">
        <v>191</v>
      </c>
      <c r="E94" s="34"/>
      <c r="F94" s="160" t="s">
        <v>192</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191</v>
      </c>
      <c r="AU94" s="19" t="s">
        <v>87</v>
      </c>
    </row>
    <row r="95" spans="1:65" s="13" customFormat="1">
      <c r="B95" s="161"/>
      <c r="D95" s="153" t="s">
        <v>193</v>
      </c>
      <c r="E95" s="162" t="s">
        <v>3</v>
      </c>
      <c r="F95" s="163" t="s">
        <v>194</v>
      </c>
      <c r="H95" s="164">
        <v>1.3620000000000001</v>
      </c>
      <c r="I95" s="165"/>
      <c r="L95" s="161"/>
      <c r="M95" s="166"/>
      <c r="N95" s="167"/>
      <c r="O95" s="167"/>
      <c r="P95" s="167"/>
      <c r="Q95" s="167"/>
      <c r="R95" s="167"/>
      <c r="S95" s="167"/>
      <c r="T95" s="168"/>
      <c r="AT95" s="162" t="s">
        <v>193</v>
      </c>
      <c r="AU95" s="162" t="s">
        <v>87</v>
      </c>
      <c r="AV95" s="13" t="s">
        <v>87</v>
      </c>
      <c r="AW95" s="13" t="s">
        <v>36</v>
      </c>
      <c r="AX95" s="13" t="s">
        <v>77</v>
      </c>
      <c r="AY95" s="162" t="s">
        <v>177</v>
      </c>
    </row>
    <row r="96" spans="1:65" s="14" customFormat="1">
      <c r="B96" s="169"/>
      <c r="D96" s="153" t="s">
        <v>193</v>
      </c>
      <c r="E96" s="170" t="s">
        <v>3</v>
      </c>
      <c r="F96" s="171" t="s">
        <v>195</v>
      </c>
      <c r="H96" s="170" t="s">
        <v>3</v>
      </c>
      <c r="I96" s="172"/>
      <c r="L96" s="169"/>
      <c r="M96" s="173"/>
      <c r="N96" s="174"/>
      <c r="O96" s="174"/>
      <c r="P96" s="174"/>
      <c r="Q96" s="174"/>
      <c r="R96" s="174"/>
      <c r="S96" s="174"/>
      <c r="T96" s="175"/>
      <c r="AT96" s="170" t="s">
        <v>193</v>
      </c>
      <c r="AU96" s="170" t="s">
        <v>87</v>
      </c>
      <c r="AV96" s="14" t="s">
        <v>85</v>
      </c>
      <c r="AW96" s="14" t="s">
        <v>36</v>
      </c>
      <c r="AX96" s="14" t="s">
        <v>77</v>
      </c>
      <c r="AY96" s="170" t="s">
        <v>177</v>
      </c>
    </row>
    <row r="97" spans="1:65" s="13" customFormat="1">
      <c r="B97" s="161"/>
      <c r="D97" s="153" t="s">
        <v>193</v>
      </c>
      <c r="E97" s="162" t="s">
        <v>3</v>
      </c>
      <c r="F97" s="163" t="s">
        <v>196</v>
      </c>
      <c r="H97" s="164">
        <v>3</v>
      </c>
      <c r="I97" s="165"/>
      <c r="L97" s="161"/>
      <c r="M97" s="166"/>
      <c r="N97" s="167"/>
      <c r="O97" s="167"/>
      <c r="P97" s="167"/>
      <c r="Q97" s="167"/>
      <c r="R97" s="167"/>
      <c r="S97" s="167"/>
      <c r="T97" s="168"/>
      <c r="AT97" s="162" t="s">
        <v>193</v>
      </c>
      <c r="AU97" s="162" t="s">
        <v>87</v>
      </c>
      <c r="AV97" s="13" t="s">
        <v>87</v>
      </c>
      <c r="AW97" s="13" t="s">
        <v>36</v>
      </c>
      <c r="AX97" s="13" t="s">
        <v>77</v>
      </c>
      <c r="AY97" s="162" t="s">
        <v>177</v>
      </c>
    </row>
    <row r="98" spans="1:65" s="15" customFormat="1">
      <c r="B98" s="176"/>
      <c r="D98" s="153" t="s">
        <v>193</v>
      </c>
      <c r="E98" s="177" t="s">
        <v>3</v>
      </c>
      <c r="F98" s="178" t="s">
        <v>197</v>
      </c>
      <c r="H98" s="179">
        <v>4.3620000000000001</v>
      </c>
      <c r="I98" s="180"/>
      <c r="L98" s="176"/>
      <c r="M98" s="181"/>
      <c r="N98" s="182"/>
      <c r="O98" s="182"/>
      <c r="P98" s="182"/>
      <c r="Q98" s="182"/>
      <c r="R98" s="182"/>
      <c r="S98" s="182"/>
      <c r="T98" s="183"/>
      <c r="AT98" s="177" t="s">
        <v>193</v>
      </c>
      <c r="AU98" s="177" t="s">
        <v>87</v>
      </c>
      <c r="AV98" s="15" t="s">
        <v>198</v>
      </c>
      <c r="AW98" s="15" t="s">
        <v>36</v>
      </c>
      <c r="AX98" s="15" t="s">
        <v>77</v>
      </c>
      <c r="AY98" s="177" t="s">
        <v>177</v>
      </c>
    </row>
    <row r="99" spans="1:65" s="14" customFormat="1">
      <c r="B99" s="169"/>
      <c r="D99" s="153" t="s">
        <v>193</v>
      </c>
      <c r="E99" s="170" t="s">
        <v>3</v>
      </c>
      <c r="F99" s="171" t="s">
        <v>199</v>
      </c>
      <c r="H99" s="170" t="s">
        <v>3</v>
      </c>
      <c r="I99" s="172"/>
      <c r="L99" s="169"/>
      <c r="M99" s="173"/>
      <c r="N99" s="174"/>
      <c r="O99" s="174"/>
      <c r="P99" s="174"/>
      <c r="Q99" s="174"/>
      <c r="R99" s="174"/>
      <c r="S99" s="174"/>
      <c r="T99" s="175"/>
      <c r="AT99" s="170" t="s">
        <v>193</v>
      </c>
      <c r="AU99" s="170" t="s">
        <v>87</v>
      </c>
      <c r="AV99" s="14" t="s">
        <v>85</v>
      </c>
      <c r="AW99" s="14" t="s">
        <v>36</v>
      </c>
      <c r="AX99" s="14" t="s">
        <v>77</v>
      </c>
      <c r="AY99" s="170" t="s">
        <v>177</v>
      </c>
    </row>
    <row r="100" spans="1:65" s="13" customFormat="1">
      <c r="B100" s="161"/>
      <c r="D100" s="153" t="s">
        <v>193</v>
      </c>
      <c r="E100" s="162" t="s">
        <v>3</v>
      </c>
      <c r="F100" s="163" t="s">
        <v>200</v>
      </c>
      <c r="H100" s="164">
        <v>5</v>
      </c>
      <c r="I100" s="165"/>
      <c r="L100" s="161"/>
      <c r="M100" s="166"/>
      <c r="N100" s="167"/>
      <c r="O100" s="167"/>
      <c r="P100" s="167"/>
      <c r="Q100" s="167"/>
      <c r="R100" s="167"/>
      <c r="S100" s="167"/>
      <c r="T100" s="168"/>
      <c r="AT100" s="162" t="s">
        <v>193</v>
      </c>
      <c r="AU100" s="162" t="s">
        <v>87</v>
      </c>
      <c r="AV100" s="13" t="s">
        <v>87</v>
      </c>
      <c r="AW100" s="13" t="s">
        <v>36</v>
      </c>
      <c r="AX100" s="13" t="s">
        <v>77</v>
      </c>
      <c r="AY100" s="162" t="s">
        <v>177</v>
      </c>
    </row>
    <row r="101" spans="1:65" s="16" customFormat="1">
      <c r="B101" s="184"/>
      <c r="D101" s="153" t="s">
        <v>193</v>
      </c>
      <c r="E101" s="185" t="s">
        <v>3</v>
      </c>
      <c r="F101" s="186" t="s">
        <v>201</v>
      </c>
      <c r="H101" s="187">
        <v>9.3620000000000001</v>
      </c>
      <c r="I101" s="188"/>
      <c r="L101" s="184"/>
      <c r="M101" s="189"/>
      <c r="N101" s="190"/>
      <c r="O101" s="190"/>
      <c r="P101" s="190"/>
      <c r="Q101" s="190"/>
      <c r="R101" s="190"/>
      <c r="S101" s="190"/>
      <c r="T101" s="191"/>
      <c r="AT101" s="185" t="s">
        <v>193</v>
      </c>
      <c r="AU101" s="185" t="s">
        <v>87</v>
      </c>
      <c r="AV101" s="16" t="s">
        <v>185</v>
      </c>
      <c r="AW101" s="16" t="s">
        <v>36</v>
      </c>
      <c r="AX101" s="16" t="s">
        <v>85</v>
      </c>
      <c r="AY101" s="185" t="s">
        <v>177</v>
      </c>
    </row>
    <row r="102" spans="1:65" s="2" customFormat="1" ht="21.75" customHeight="1">
      <c r="A102" s="34"/>
      <c r="B102" s="139"/>
      <c r="C102" s="140" t="s">
        <v>87</v>
      </c>
      <c r="D102" s="140" t="s">
        <v>180</v>
      </c>
      <c r="E102" s="141" t="s">
        <v>202</v>
      </c>
      <c r="F102" s="142" t="s">
        <v>203</v>
      </c>
      <c r="G102" s="143" t="s">
        <v>183</v>
      </c>
      <c r="H102" s="144">
        <v>2.7240000000000002</v>
      </c>
      <c r="I102" s="145"/>
      <c r="J102" s="146">
        <f>ROUND(I102*H102,2)</f>
        <v>0</v>
      </c>
      <c r="K102" s="142" t="s">
        <v>184</v>
      </c>
      <c r="L102" s="35"/>
      <c r="M102" s="147" t="s">
        <v>3</v>
      </c>
      <c r="N102" s="148" t="s">
        <v>48</v>
      </c>
      <c r="O102" s="55"/>
      <c r="P102" s="149">
        <f>O102*H102</f>
        <v>0</v>
      </c>
      <c r="Q102" s="149">
        <v>0</v>
      </c>
      <c r="R102" s="149">
        <f>Q102*H102</f>
        <v>0</v>
      </c>
      <c r="S102" s="149">
        <v>0</v>
      </c>
      <c r="T102" s="150">
        <f>S102*H102</f>
        <v>0</v>
      </c>
      <c r="U102" s="34"/>
      <c r="V102" s="34"/>
      <c r="W102" s="34"/>
      <c r="X102" s="34"/>
      <c r="Y102" s="34"/>
      <c r="Z102" s="34"/>
      <c r="AA102" s="34"/>
      <c r="AB102" s="34"/>
      <c r="AC102" s="34"/>
      <c r="AD102" s="34"/>
      <c r="AE102" s="34"/>
      <c r="AR102" s="151" t="s">
        <v>185</v>
      </c>
      <c r="AT102" s="151" t="s">
        <v>180</v>
      </c>
      <c r="AU102" s="151" t="s">
        <v>87</v>
      </c>
      <c r="AY102" s="19" t="s">
        <v>177</v>
      </c>
      <c r="BE102" s="152">
        <f>IF(N102="základní",J102,0)</f>
        <v>0</v>
      </c>
      <c r="BF102" s="152">
        <f>IF(N102="snížená",J102,0)</f>
        <v>0</v>
      </c>
      <c r="BG102" s="152">
        <f>IF(N102="zákl. přenesená",J102,0)</f>
        <v>0</v>
      </c>
      <c r="BH102" s="152">
        <f>IF(N102="sníž. přenesená",J102,0)</f>
        <v>0</v>
      </c>
      <c r="BI102" s="152">
        <f>IF(N102="nulová",J102,0)</f>
        <v>0</v>
      </c>
      <c r="BJ102" s="19" t="s">
        <v>85</v>
      </c>
      <c r="BK102" s="152">
        <f>ROUND(I102*H102,2)</f>
        <v>0</v>
      </c>
      <c r="BL102" s="19" t="s">
        <v>185</v>
      </c>
      <c r="BM102" s="151" t="s">
        <v>204</v>
      </c>
    </row>
    <row r="103" spans="1:65" s="2" customFormat="1" ht="19.5">
      <c r="A103" s="34"/>
      <c r="B103" s="35"/>
      <c r="C103" s="34"/>
      <c r="D103" s="153" t="s">
        <v>187</v>
      </c>
      <c r="E103" s="34"/>
      <c r="F103" s="154" t="s">
        <v>205</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187</v>
      </c>
      <c r="AU103" s="19" t="s">
        <v>87</v>
      </c>
    </row>
    <row r="104" spans="1:65" s="2" customFormat="1">
      <c r="A104" s="34"/>
      <c r="B104" s="35"/>
      <c r="C104" s="34"/>
      <c r="D104" s="158" t="s">
        <v>189</v>
      </c>
      <c r="E104" s="34"/>
      <c r="F104" s="159" t="s">
        <v>206</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189</v>
      </c>
      <c r="AU104" s="19" t="s">
        <v>87</v>
      </c>
    </row>
    <row r="105" spans="1:65" s="2" customFormat="1" ht="107.25">
      <c r="A105" s="34"/>
      <c r="B105" s="35"/>
      <c r="C105" s="34"/>
      <c r="D105" s="153" t="s">
        <v>191</v>
      </c>
      <c r="E105" s="34"/>
      <c r="F105" s="160" t="s">
        <v>192</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191</v>
      </c>
      <c r="AU105" s="19" t="s">
        <v>87</v>
      </c>
    </row>
    <row r="106" spans="1:65" s="13" customFormat="1">
      <c r="B106" s="161"/>
      <c r="D106" s="153" t="s">
        <v>193</v>
      </c>
      <c r="F106" s="163" t="s">
        <v>207</v>
      </c>
      <c r="H106" s="164">
        <v>2.7240000000000002</v>
      </c>
      <c r="I106" s="165"/>
      <c r="L106" s="161"/>
      <c r="M106" s="166"/>
      <c r="N106" s="167"/>
      <c r="O106" s="167"/>
      <c r="P106" s="167"/>
      <c r="Q106" s="167"/>
      <c r="R106" s="167"/>
      <c r="S106" s="167"/>
      <c r="T106" s="168"/>
      <c r="AT106" s="162" t="s">
        <v>193</v>
      </c>
      <c r="AU106" s="162" t="s">
        <v>87</v>
      </c>
      <c r="AV106" s="13" t="s">
        <v>87</v>
      </c>
      <c r="AW106" s="13" t="s">
        <v>4</v>
      </c>
      <c r="AX106" s="13" t="s">
        <v>85</v>
      </c>
      <c r="AY106" s="162" t="s">
        <v>177</v>
      </c>
    </row>
    <row r="107" spans="1:65" s="2" customFormat="1" ht="16.5" customHeight="1">
      <c r="A107" s="34"/>
      <c r="B107" s="139"/>
      <c r="C107" s="140" t="s">
        <v>198</v>
      </c>
      <c r="D107" s="140" t="s">
        <v>180</v>
      </c>
      <c r="E107" s="141" t="s">
        <v>208</v>
      </c>
      <c r="F107" s="142" t="s">
        <v>209</v>
      </c>
      <c r="G107" s="143" t="s">
        <v>183</v>
      </c>
      <c r="H107" s="144">
        <v>9.3620000000000001</v>
      </c>
      <c r="I107" s="145"/>
      <c r="J107" s="146">
        <f>ROUND(I107*H107,2)</f>
        <v>0</v>
      </c>
      <c r="K107" s="142" t="s">
        <v>184</v>
      </c>
      <c r="L107" s="35"/>
      <c r="M107" s="147" t="s">
        <v>3</v>
      </c>
      <c r="N107" s="148" t="s">
        <v>48</v>
      </c>
      <c r="O107" s="55"/>
      <c r="P107" s="149">
        <f>O107*H107</f>
        <v>0</v>
      </c>
      <c r="Q107" s="149">
        <v>0</v>
      </c>
      <c r="R107" s="149">
        <f>Q107*H107</f>
        <v>0</v>
      </c>
      <c r="S107" s="149">
        <v>0</v>
      </c>
      <c r="T107" s="150">
        <f>S107*H107</f>
        <v>0</v>
      </c>
      <c r="U107" s="34"/>
      <c r="V107" s="34"/>
      <c r="W107" s="34"/>
      <c r="X107" s="34"/>
      <c r="Y107" s="34"/>
      <c r="Z107" s="34"/>
      <c r="AA107" s="34"/>
      <c r="AB107" s="34"/>
      <c r="AC107" s="34"/>
      <c r="AD107" s="34"/>
      <c r="AE107" s="34"/>
      <c r="AR107" s="151" t="s">
        <v>185</v>
      </c>
      <c r="AT107" s="151" t="s">
        <v>180</v>
      </c>
      <c r="AU107" s="151" t="s">
        <v>87</v>
      </c>
      <c r="AY107" s="19" t="s">
        <v>177</v>
      </c>
      <c r="BE107" s="152">
        <f>IF(N107="základní",J107,0)</f>
        <v>0</v>
      </c>
      <c r="BF107" s="152">
        <f>IF(N107="snížená",J107,0)</f>
        <v>0</v>
      </c>
      <c r="BG107" s="152">
        <f>IF(N107="zákl. přenesená",J107,0)</f>
        <v>0</v>
      </c>
      <c r="BH107" s="152">
        <f>IF(N107="sníž. přenesená",J107,0)</f>
        <v>0</v>
      </c>
      <c r="BI107" s="152">
        <f>IF(N107="nulová",J107,0)</f>
        <v>0</v>
      </c>
      <c r="BJ107" s="19" t="s">
        <v>85</v>
      </c>
      <c r="BK107" s="152">
        <f>ROUND(I107*H107,2)</f>
        <v>0</v>
      </c>
      <c r="BL107" s="19" t="s">
        <v>185</v>
      </c>
      <c r="BM107" s="151" t="s">
        <v>210</v>
      </c>
    </row>
    <row r="108" spans="1:65" s="2" customFormat="1">
      <c r="A108" s="34"/>
      <c r="B108" s="35"/>
      <c r="C108" s="34"/>
      <c r="D108" s="153" t="s">
        <v>187</v>
      </c>
      <c r="E108" s="34"/>
      <c r="F108" s="154" t="s">
        <v>211</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187</v>
      </c>
      <c r="AU108" s="19" t="s">
        <v>87</v>
      </c>
    </row>
    <row r="109" spans="1:65" s="2" customFormat="1">
      <c r="A109" s="34"/>
      <c r="B109" s="35"/>
      <c r="C109" s="34"/>
      <c r="D109" s="158" t="s">
        <v>189</v>
      </c>
      <c r="E109" s="34"/>
      <c r="F109" s="159" t="s">
        <v>212</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189</v>
      </c>
      <c r="AU109" s="19" t="s">
        <v>87</v>
      </c>
    </row>
    <row r="110" spans="1:65" s="2" customFormat="1" ht="58.5">
      <c r="A110" s="34"/>
      <c r="B110" s="35"/>
      <c r="C110" s="34"/>
      <c r="D110" s="153" t="s">
        <v>191</v>
      </c>
      <c r="E110" s="34"/>
      <c r="F110" s="160" t="s">
        <v>213</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191</v>
      </c>
      <c r="AU110" s="19" t="s">
        <v>87</v>
      </c>
    </row>
    <row r="111" spans="1:65" s="2" customFormat="1" ht="16.5" customHeight="1">
      <c r="A111" s="34"/>
      <c r="B111" s="139"/>
      <c r="C111" s="140" t="s">
        <v>185</v>
      </c>
      <c r="D111" s="140" t="s">
        <v>180</v>
      </c>
      <c r="E111" s="141" t="s">
        <v>214</v>
      </c>
      <c r="F111" s="142" t="s">
        <v>215</v>
      </c>
      <c r="G111" s="143" t="s">
        <v>183</v>
      </c>
      <c r="H111" s="144">
        <v>92.878</v>
      </c>
      <c r="I111" s="145"/>
      <c r="J111" s="146">
        <f>ROUND(I111*H111,2)</f>
        <v>0</v>
      </c>
      <c r="K111" s="142" t="s">
        <v>184</v>
      </c>
      <c r="L111" s="35"/>
      <c r="M111" s="147" t="s">
        <v>3</v>
      </c>
      <c r="N111" s="148" t="s">
        <v>48</v>
      </c>
      <c r="O111" s="55"/>
      <c r="P111" s="149">
        <f>O111*H111</f>
        <v>0</v>
      </c>
      <c r="Q111" s="149">
        <v>0</v>
      </c>
      <c r="R111" s="149">
        <f>Q111*H111</f>
        <v>0</v>
      </c>
      <c r="S111" s="149">
        <v>0</v>
      </c>
      <c r="T111" s="150">
        <f>S111*H111</f>
        <v>0</v>
      </c>
      <c r="U111" s="34"/>
      <c r="V111" s="34"/>
      <c r="W111" s="34"/>
      <c r="X111" s="34"/>
      <c r="Y111" s="34"/>
      <c r="Z111" s="34"/>
      <c r="AA111" s="34"/>
      <c r="AB111" s="34"/>
      <c r="AC111" s="34"/>
      <c r="AD111" s="34"/>
      <c r="AE111" s="34"/>
      <c r="AR111" s="151" t="s">
        <v>185</v>
      </c>
      <c r="AT111" s="151" t="s">
        <v>180</v>
      </c>
      <c r="AU111" s="151" t="s">
        <v>87</v>
      </c>
      <c r="AY111" s="19" t="s">
        <v>177</v>
      </c>
      <c r="BE111" s="152">
        <f>IF(N111="základní",J111,0)</f>
        <v>0</v>
      </c>
      <c r="BF111" s="152">
        <f>IF(N111="snížená",J111,0)</f>
        <v>0</v>
      </c>
      <c r="BG111" s="152">
        <f>IF(N111="zákl. přenesená",J111,0)</f>
        <v>0</v>
      </c>
      <c r="BH111" s="152">
        <f>IF(N111="sníž. přenesená",J111,0)</f>
        <v>0</v>
      </c>
      <c r="BI111" s="152">
        <f>IF(N111="nulová",J111,0)</f>
        <v>0</v>
      </c>
      <c r="BJ111" s="19" t="s">
        <v>85</v>
      </c>
      <c r="BK111" s="152">
        <f>ROUND(I111*H111,2)</f>
        <v>0</v>
      </c>
      <c r="BL111" s="19" t="s">
        <v>185</v>
      </c>
      <c r="BM111" s="151" t="s">
        <v>216</v>
      </c>
    </row>
    <row r="112" spans="1:65" s="2" customFormat="1" ht="19.5">
      <c r="A112" s="34"/>
      <c r="B112" s="35"/>
      <c r="C112" s="34"/>
      <c r="D112" s="153" t="s">
        <v>187</v>
      </c>
      <c r="E112" s="34"/>
      <c r="F112" s="154" t="s">
        <v>217</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187</v>
      </c>
      <c r="AU112" s="19" t="s">
        <v>87</v>
      </c>
    </row>
    <row r="113" spans="1:65" s="2" customFormat="1">
      <c r="A113" s="34"/>
      <c r="B113" s="35"/>
      <c r="C113" s="34"/>
      <c r="D113" s="158" t="s">
        <v>189</v>
      </c>
      <c r="E113" s="34"/>
      <c r="F113" s="159" t="s">
        <v>218</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189</v>
      </c>
      <c r="AU113" s="19" t="s">
        <v>87</v>
      </c>
    </row>
    <row r="114" spans="1:65" s="2" customFormat="1" ht="58.5">
      <c r="A114" s="34"/>
      <c r="B114" s="35"/>
      <c r="C114" s="34"/>
      <c r="D114" s="153" t="s">
        <v>191</v>
      </c>
      <c r="E114" s="34"/>
      <c r="F114" s="160" t="s">
        <v>213</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191</v>
      </c>
      <c r="AU114" s="19" t="s">
        <v>87</v>
      </c>
    </row>
    <row r="115" spans="1:65" s="14" customFormat="1">
      <c r="B115" s="169"/>
      <c r="D115" s="153" t="s">
        <v>193</v>
      </c>
      <c r="E115" s="170" t="s">
        <v>3</v>
      </c>
      <c r="F115" s="171" t="s">
        <v>219</v>
      </c>
      <c r="H115" s="170" t="s">
        <v>3</v>
      </c>
      <c r="I115" s="172"/>
      <c r="L115" s="169"/>
      <c r="M115" s="173"/>
      <c r="N115" s="174"/>
      <c r="O115" s="174"/>
      <c r="P115" s="174"/>
      <c r="Q115" s="174"/>
      <c r="R115" s="174"/>
      <c r="S115" s="174"/>
      <c r="T115" s="175"/>
      <c r="AT115" s="170" t="s">
        <v>193</v>
      </c>
      <c r="AU115" s="170" t="s">
        <v>87</v>
      </c>
      <c r="AV115" s="14" t="s">
        <v>85</v>
      </c>
      <c r="AW115" s="14" t="s">
        <v>36</v>
      </c>
      <c r="AX115" s="14" t="s">
        <v>77</v>
      </c>
      <c r="AY115" s="170" t="s">
        <v>177</v>
      </c>
    </row>
    <row r="116" spans="1:65" s="13" customFormat="1">
      <c r="B116" s="161"/>
      <c r="D116" s="153" t="s">
        <v>193</v>
      </c>
      <c r="E116" s="162" t="s">
        <v>3</v>
      </c>
      <c r="F116" s="163" t="s">
        <v>220</v>
      </c>
      <c r="H116" s="164">
        <v>10</v>
      </c>
      <c r="I116" s="165"/>
      <c r="L116" s="161"/>
      <c r="M116" s="166"/>
      <c r="N116" s="167"/>
      <c r="O116" s="167"/>
      <c r="P116" s="167"/>
      <c r="Q116" s="167"/>
      <c r="R116" s="167"/>
      <c r="S116" s="167"/>
      <c r="T116" s="168"/>
      <c r="AT116" s="162" t="s">
        <v>193</v>
      </c>
      <c r="AU116" s="162" t="s">
        <v>87</v>
      </c>
      <c r="AV116" s="13" t="s">
        <v>87</v>
      </c>
      <c r="AW116" s="13" t="s">
        <v>36</v>
      </c>
      <c r="AX116" s="13" t="s">
        <v>77</v>
      </c>
      <c r="AY116" s="162" t="s">
        <v>177</v>
      </c>
    </row>
    <row r="117" spans="1:65" s="14" customFormat="1">
      <c r="B117" s="169"/>
      <c r="D117" s="153" t="s">
        <v>193</v>
      </c>
      <c r="E117" s="170" t="s">
        <v>3</v>
      </c>
      <c r="F117" s="171" t="s">
        <v>221</v>
      </c>
      <c r="H117" s="170" t="s">
        <v>3</v>
      </c>
      <c r="I117" s="172"/>
      <c r="L117" s="169"/>
      <c r="M117" s="173"/>
      <c r="N117" s="174"/>
      <c r="O117" s="174"/>
      <c r="P117" s="174"/>
      <c r="Q117" s="174"/>
      <c r="R117" s="174"/>
      <c r="S117" s="174"/>
      <c r="T117" s="175"/>
      <c r="AT117" s="170" t="s">
        <v>193</v>
      </c>
      <c r="AU117" s="170" t="s">
        <v>87</v>
      </c>
      <c r="AV117" s="14" t="s">
        <v>85</v>
      </c>
      <c r="AW117" s="14" t="s">
        <v>36</v>
      </c>
      <c r="AX117" s="14" t="s">
        <v>77</v>
      </c>
      <c r="AY117" s="170" t="s">
        <v>177</v>
      </c>
    </row>
    <row r="118" spans="1:65" s="13" customFormat="1">
      <c r="B118" s="161"/>
      <c r="D118" s="153" t="s">
        <v>193</v>
      </c>
      <c r="E118" s="162" t="s">
        <v>3</v>
      </c>
      <c r="F118" s="163" t="s">
        <v>222</v>
      </c>
      <c r="H118" s="164">
        <v>82.878</v>
      </c>
      <c r="I118" s="165"/>
      <c r="L118" s="161"/>
      <c r="M118" s="166"/>
      <c r="N118" s="167"/>
      <c r="O118" s="167"/>
      <c r="P118" s="167"/>
      <c r="Q118" s="167"/>
      <c r="R118" s="167"/>
      <c r="S118" s="167"/>
      <c r="T118" s="168"/>
      <c r="AT118" s="162" t="s">
        <v>193</v>
      </c>
      <c r="AU118" s="162" t="s">
        <v>87</v>
      </c>
      <c r="AV118" s="13" t="s">
        <v>87</v>
      </c>
      <c r="AW118" s="13" t="s">
        <v>36</v>
      </c>
      <c r="AX118" s="13" t="s">
        <v>77</v>
      </c>
      <c r="AY118" s="162" t="s">
        <v>177</v>
      </c>
    </row>
    <row r="119" spans="1:65" s="16" customFormat="1">
      <c r="B119" s="184"/>
      <c r="D119" s="153" t="s">
        <v>193</v>
      </c>
      <c r="E119" s="185" t="s">
        <v>3</v>
      </c>
      <c r="F119" s="186" t="s">
        <v>201</v>
      </c>
      <c r="H119" s="187">
        <v>92.878</v>
      </c>
      <c r="I119" s="188"/>
      <c r="L119" s="184"/>
      <c r="M119" s="189"/>
      <c r="N119" s="190"/>
      <c r="O119" s="190"/>
      <c r="P119" s="190"/>
      <c r="Q119" s="190"/>
      <c r="R119" s="190"/>
      <c r="S119" s="190"/>
      <c r="T119" s="191"/>
      <c r="AT119" s="185" t="s">
        <v>193</v>
      </c>
      <c r="AU119" s="185" t="s">
        <v>87</v>
      </c>
      <c r="AV119" s="16" t="s">
        <v>185</v>
      </c>
      <c r="AW119" s="16" t="s">
        <v>36</v>
      </c>
      <c r="AX119" s="16" t="s">
        <v>85</v>
      </c>
      <c r="AY119" s="185" t="s">
        <v>177</v>
      </c>
    </row>
    <row r="120" spans="1:65" s="2" customFormat="1" ht="24.2" customHeight="1">
      <c r="A120" s="34"/>
      <c r="B120" s="139"/>
      <c r="C120" s="140" t="s">
        <v>200</v>
      </c>
      <c r="D120" s="140" t="s">
        <v>180</v>
      </c>
      <c r="E120" s="141" t="s">
        <v>223</v>
      </c>
      <c r="F120" s="142" t="s">
        <v>224</v>
      </c>
      <c r="G120" s="143" t="s">
        <v>183</v>
      </c>
      <c r="H120" s="144">
        <v>4.3620000000000001</v>
      </c>
      <c r="I120" s="145"/>
      <c r="J120" s="146">
        <f>ROUND(I120*H120,2)</f>
        <v>0</v>
      </c>
      <c r="K120" s="142" t="s">
        <v>184</v>
      </c>
      <c r="L120" s="35"/>
      <c r="M120" s="147" t="s">
        <v>3</v>
      </c>
      <c r="N120" s="148" t="s">
        <v>48</v>
      </c>
      <c r="O120" s="55"/>
      <c r="P120" s="149">
        <f>O120*H120</f>
        <v>0</v>
      </c>
      <c r="Q120" s="149">
        <v>0</v>
      </c>
      <c r="R120" s="149">
        <f>Q120*H120</f>
        <v>0</v>
      </c>
      <c r="S120" s="149">
        <v>0</v>
      </c>
      <c r="T120" s="150">
        <f>S120*H120</f>
        <v>0</v>
      </c>
      <c r="U120" s="34"/>
      <c r="V120" s="34"/>
      <c r="W120" s="34"/>
      <c r="X120" s="34"/>
      <c r="Y120" s="34"/>
      <c r="Z120" s="34"/>
      <c r="AA120" s="34"/>
      <c r="AB120" s="34"/>
      <c r="AC120" s="34"/>
      <c r="AD120" s="34"/>
      <c r="AE120" s="34"/>
      <c r="AR120" s="151" t="s">
        <v>185</v>
      </c>
      <c r="AT120" s="151" t="s">
        <v>180</v>
      </c>
      <c r="AU120" s="151" t="s">
        <v>87</v>
      </c>
      <c r="AY120" s="19" t="s">
        <v>177</v>
      </c>
      <c r="BE120" s="152">
        <f>IF(N120="základní",J120,0)</f>
        <v>0</v>
      </c>
      <c r="BF120" s="152">
        <f>IF(N120="snížená",J120,0)</f>
        <v>0</v>
      </c>
      <c r="BG120" s="152">
        <f>IF(N120="zákl. přenesená",J120,0)</f>
        <v>0</v>
      </c>
      <c r="BH120" s="152">
        <f>IF(N120="sníž. přenesená",J120,0)</f>
        <v>0</v>
      </c>
      <c r="BI120" s="152">
        <f>IF(N120="nulová",J120,0)</f>
        <v>0</v>
      </c>
      <c r="BJ120" s="19" t="s">
        <v>85</v>
      </c>
      <c r="BK120" s="152">
        <f>ROUND(I120*H120,2)</f>
        <v>0</v>
      </c>
      <c r="BL120" s="19" t="s">
        <v>185</v>
      </c>
      <c r="BM120" s="151" t="s">
        <v>225</v>
      </c>
    </row>
    <row r="121" spans="1:65" s="2" customFormat="1" ht="19.5">
      <c r="A121" s="34"/>
      <c r="B121" s="35"/>
      <c r="C121" s="34"/>
      <c r="D121" s="153" t="s">
        <v>187</v>
      </c>
      <c r="E121" s="34"/>
      <c r="F121" s="154" t="s">
        <v>226</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187</v>
      </c>
      <c r="AU121" s="19" t="s">
        <v>87</v>
      </c>
    </row>
    <row r="122" spans="1:65" s="2" customFormat="1">
      <c r="A122" s="34"/>
      <c r="B122" s="35"/>
      <c r="C122" s="34"/>
      <c r="D122" s="158" t="s">
        <v>189</v>
      </c>
      <c r="E122" s="34"/>
      <c r="F122" s="159" t="s">
        <v>227</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189</v>
      </c>
      <c r="AU122" s="19" t="s">
        <v>87</v>
      </c>
    </row>
    <row r="123" spans="1:65" s="2" customFormat="1" ht="39">
      <c r="A123" s="34"/>
      <c r="B123" s="35"/>
      <c r="C123" s="34"/>
      <c r="D123" s="153" t="s">
        <v>191</v>
      </c>
      <c r="E123" s="34"/>
      <c r="F123" s="160" t="s">
        <v>228</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191</v>
      </c>
      <c r="AU123" s="19" t="s">
        <v>87</v>
      </c>
    </row>
    <row r="124" spans="1:65" s="12" customFormat="1" ht="25.9" customHeight="1">
      <c r="B124" s="126"/>
      <c r="D124" s="127" t="s">
        <v>76</v>
      </c>
      <c r="E124" s="128" t="s">
        <v>229</v>
      </c>
      <c r="F124" s="128" t="s">
        <v>230</v>
      </c>
      <c r="I124" s="129"/>
      <c r="J124" s="130">
        <f>BK124</f>
        <v>0</v>
      </c>
      <c r="L124" s="126"/>
      <c r="M124" s="131"/>
      <c r="N124" s="132"/>
      <c r="O124" s="132"/>
      <c r="P124" s="133">
        <f>P125+P131+P136+P158+P161</f>
        <v>0</v>
      </c>
      <c r="Q124" s="132"/>
      <c r="R124" s="133">
        <f>R125+R131+R136+R158+R161</f>
        <v>0</v>
      </c>
      <c r="S124" s="132"/>
      <c r="T124" s="134">
        <f>T125+T131+T136+T158+T161</f>
        <v>1.36246</v>
      </c>
      <c r="AR124" s="127" t="s">
        <v>87</v>
      </c>
      <c r="AT124" s="135" t="s">
        <v>76</v>
      </c>
      <c r="AU124" s="135" t="s">
        <v>77</v>
      </c>
      <c r="AY124" s="127" t="s">
        <v>177</v>
      </c>
      <c r="BK124" s="136">
        <f>BK125+BK131+BK136+BK158+BK161</f>
        <v>0</v>
      </c>
    </row>
    <row r="125" spans="1:65" s="12" customFormat="1" ht="22.9" customHeight="1">
      <c r="B125" s="126"/>
      <c r="D125" s="127" t="s">
        <v>76</v>
      </c>
      <c r="E125" s="137" t="s">
        <v>231</v>
      </c>
      <c r="F125" s="137" t="s">
        <v>232</v>
      </c>
      <c r="I125" s="129"/>
      <c r="J125" s="138">
        <f>BK125</f>
        <v>0</v>
      </c>
      <c r="L125" s="126"/>
      <c r="M125" s="131"/>
      <c r="N125" s="132"/>
      <c r="O125" s="132"/>
      <c r="P125" s="133">
        <f>SUM(P126:P130)</f>
        <v>0</v>
      </c>
      <c r="Q125" s="132"/>
      <c r="R125" s="133">
        <f>SUM(R126:R130)</f>
        <v>0</v>
      </c>
      <c r="S125" s="132"/>
      <c r="T125" s="134">
        <f>SUM(T126:T130)</f>
        <v>0.71064000000000005</v>
      </c>
      <c r="AR125" s="127" t="s">
        <v>87</v>
      </c>
      <c r="AT125" s="135" t="s">
        <v>76</v>
      </c>
      <c r="AU125" s="135" t="s">
        <v>85</v>
      </c>
      <c r="AY125" s="127" t="s">
        <v>177</v>
      </c>
      <c r="BK125" s="136">
        <f>SUM(BK126:BK130)</f>
        <v>0</v>
      </c>
    </row>
    <row r="126" spans="1:65" s="2" customFormat="1" ht="16.5" customHeight="1">
      <c r="A126" s="34"/>
      <c r="B126" s="139"/>
      <c r="C126" s="140" t="s">
        <v>233</v>
      </c>
      <c r="D126" s="140" t="s">
        <v>180</v>
      </c>
      <c r="E126" s="141" t="s">
        <v>234</v>
      </c>
      <c r="F126" s="142" t="s">
        <v>235</v>
      </c>
      <c r="G126" s="143" t="s">
        <v>236</v>
      </c>
      <c r="H126" s="144">
        <v>24</v>
      </c>
      <c r="I126" s="145"/>
      <c r="J126" s="146">
        <f>ROUND(I126*H126,2)</f>
        <v>0</v>
      </c>
      <c r="K126" s="142" t="s">
        <v>184</v>
      </c>
      <c r="L126" s="35"/>
      <c r="M126" s="147" t="s">
        <v>3</v>
      </c>
      <c r="N126" s="148" t="s">
        <v>48</v>
      </c>
      <c r="O126" s="55"/>
      <c r="P126" s="149">
        <f>O126*H126</f>
        <v>0</v>
      </c>
      <c r="Q126" s="149">
        <v>0</v>
      </c>
      <c r="R126" s="149">
        <f>Q126*H126</f>
        <v>0</v>
      </c>
      <c r="S126" s="149">
        <v>2.9610000000000001E-2</v>
      </c>
      <c r="T126" s="150">
        <f>S126*H126</f>
        <v>0.71064000000000005</v>
      </c>
      <c r="U126" s="34"/>
      <c r="V126" s="34"/>
      <c r="W126" s="34"/>
      <c r="X126" s="34"/>
      <c r="Y126" s="34"/>
      <c r="Z126" s="34"/>
      <c r="AA126" s="34"/>
      <c r="AB126" s="34"/>
      <c r="AC126" s="34"/>
      <c r="AD126" s="34"/>
      <c r="AE126" s="34"/>
      <c r="AR126" s="151" t="s">
        <v>237</v>
      </c>
      <c r="AT126" s="151" t="s">
        <v>180</v>
      </c>
      <c r="AU126" s="151" t="s">
        <v>87</v>
      </c>
      <c r="AY126" s="19" t="s">
        <v>177</v>
      </c>
      <c r="BE126" s="152">
        <f>IF(N126="základní",J126,0)</f>
        <v>0</v>
      </c>
      <c r="BF126" s="152">
        <f>IF(N126="snížená",J126,0)</f>
        <v>0</v>
      </c>
      <c r="BG126" s="152">
        <f>IF(N126="zákl. přenesená",J126,0)</f>
        <v>0</v>
      </c>
      <c r="BH126" s="152">
        <f>IF(N126="sníž. přenesená",J126,0)</f>
        <v>0</v>
      </c>
      <c r="BI126" s="152">
        <f>IF(N126="nulová",J126,0)</f>
        <v>0</v>
      </c>
      <c r="BJ126" s="19" t="s">
        <v>85</v>
      </c>
      <c r="BK126" s="152">
        <f>ROUND(I126*H126,2)</f>
        <v>0</v>
      </c>
      <c r="BL126" s="19" t="s">
        <v>237</v>
      </c>
      <c r="BM126" s="151" t="s">
        <v>238</v>
      </c>
    </row>
    <row r="127" spans="1:65" s="2" customFormat="1">
      <c r="A127" s="34"/>
      <c r="B127" s="35"/>
      <c r="C127" s="34"/>
      <c r="D127" s="153" t="s">
        <v>187</v>
      </c>
      <c r="E127" s="34"/>
      <c r="F127" s="154" t="s">
        <v>239</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187</v>
      </c>
      <c r="AU127" s="19" t="s">
        <v>87</v>
      </c>
    </row>
    <row r="128" spans="1:65" s="2" customFormat="1">
      <c r="A128" s="34"/>
      <c r="B128" s="35"/>
      <c r="C128" s="34"/>
      <c r="D128" s="158" t="s">
        <v>189</v>
      </c>
      <c r="E128" s="34"/>
      <c r="F128" s="159" t="s">
        <v>240</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189</v>
      </c>
      <c r="AU128" s="19" t="s">
        <v>87</v>
      </c>
    </row>
    <row r="129" spans="1:65" s="2" customFormat="1" ht="16.5" customHeight="1">
      <c r="A129" s="34"/>
      <c r="B129" s="139"/>
      <c r="C129" s="140" t="s">
        <v>241</v>
      </c>
      <c r="D129" s="140" t="s">
        <v>180</v>
      </c>
      <c r="E129" s="141" t="s">
        <v>180</v>
      </c>
      <c r="F129" s="142" t="s">
        <v>242</v>
      </c>
      <c r="G129" s="143" t="s">
        <v>243</v>
      </c>
      <c r="H129" s="144">
        <v>1</v>
      </c>
      <c r="I129" s="145"/>
      <c r="J129" s="146">
        <f>ROUND(I129*H129,2)</f>
        <v>0</v>
      </c>
      <c r="K129" s="142" t="s">
        <v>244</v>
      </c>
      <c r="L129" s="35"/>
      <c r="M129" s="147" t="s">
        <v>3</v>
      </c>
      <c r="N129" s="148" t="s">
        <v>48</v>
      </c>
      <c r="O129" s="55"/>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237</v>
      </c>
      <c r="AT129" s="151" t="s">
        <v>180</v>
      </c>
      <c r="AU129" s="151" t="s">
        <v>87</v>
      </c>
      <c r="AY129" s="19" t="s">
        <v>177</v>
      </c>
      <c r="BE129" s="152">
        <f>IF(N129="základní",J129,0)</f>
        <v>0</v>
      </c>
      <c r="BF129" s="152">
        <f>IF(N129="snížená",J129,0)</f>
        <v>0</v>
      </c>
      <c r="BG129" s="152">
        <f>IF(N129="zákl. přenesená",J129,0)</f>
        <v>0</v>
      </c>
      <c r="BH129" s="152">
        <f>IF(N129="sníž. přenesená",J129,0)</f>
        <v>0</v>
      </c>
      <c r="BI129" s="152">
        <f>IF(N129="nulová",J129,0)</f>
        <v>0</v>
      </c>
      <c r="BJ129" s="19" t="s">
        <v>85</v>
      </c>
      <c r="BK129" s="152">
        <f>ROUND(I129*H129,2)</f>
        <v>0</v>
      </c>
      <c r="BL129" s="19" t="s">
        <v>237</v>
      </c>
      <c r="BM129" s="151" t="s">
        <v>245</v>
      </c>
    </row>
    <row r="130" spans="1:65" s="2" customFormat="1">
      <c r="A130" s="34"/>
      <c r="B130" s="35"/>
      <c r="C130" s="34"/>
      <c r="D130" s="153" t="s">
        <v>187</v>
      </c>
      <c r="E130" s="34"/>
      <c r="F130" s="154" t="s">
        <v>242</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187</v>
      </c>
      <c r="AU130" s="19" t="s">
        <v>87</v>
      </c>
    </row>
    <row r="131" spans="1:65" s="12" customFormat="1" ht="22.9" customHeight="1">
      <c r="B131" s="126"/>
      <c r="D131" s="127" t="s">
        <v>76</v>
      </c>
      <c r="E131" s="137" t="s">
        <v>246</v>
      </c>
      <c r="F131" s="137" t="s">
        <v>247</v>
      </c>
      <c r="I131" s="129"/>
      <c r="J131" s="138">
        <f>BK131</f>
        <v>0</v>
      </c>
      <c r="L131" s="126"/>
      <c r="M131" s="131"/>
      <c r="N131" s="132"/>
      <c r="O131" s="132"/>
      <c r="P131" s="133">
        <f>SUM(P132:P135)</f>
        <v>0</v>
      </c>
      <c r="Q131" s="132"/>
      <c r="R131" s="133">
        <f>SUM(R132:R135)</f>
        <v>0</v>
      </c>
      <c r="S131" s="132"/>
      <c r="T131" s="134">
        <f>SUM(T132:T135)</f>
        <v>0</v>
      </c>
      <c r="AR131" s="127" t="s">
        <v>87</v>
      </c>
      <c r="AT131" s="135" t="s">
        <v>76</v>
      </c>
      <c r="AU131" s="135" t="s">
        <v>85</v>
      </c>
      <c r="AY131" s="127" t="s">
        <v>177</v>
      </c>
      <c r="BK131" s="136">
        <f>SUM(BK132:BK135)</f>
        <v>0</v>
      </c>
    </row>
    <row r="132" spans="1:65" s="2" customFormat="1" ht="16.5" customHeight="1">
      <c r="A132" s="34"/>
      <c r="B132" s="139"/>
      <c r="C132" s="140" t="s">
        <v>248</v>
      </c>
      <c r="D132" s="140" t="s">
        <v>180</v>
      </c>
      <c r="E132" s="141" t="s">
        <v>249</v>
      </c>
      <c r="F132" s="142" t="s">
        <v>250</v>
      </c>
      <c r="G132" s="143" t="s">
        <v>243</v>
      </c>
      <c r="H132" s="144">
        <v>1</v>
      </c>
      <c r="I132" s="145"/>
      <c r="J132" s="146">
        <f>ROUND(I132*H132,2)</f>
        <v>0</v>
      </c>
      <c r="K132" s="142" t="s">
        <v>244</v>
      </c>
      <c r="L132" s="35"/>
      <c r="M132" s="147" t="s">
        <v>3</v>
      </c>
      <c r="N132" s="148" t="s">
        <v>48</v>
      </c>
      <c r="O132" s="55"/>
      <c r="P132" s="149">
        <f>O132*H132</f>
        <v>0</v>
      </c>
      <c r="Q132" s="149">
        <v>0</v>
      </c>
      <c r="R132" s="149">
        <f>Q132*H132</f>
        <v>0</v>
      </c>
      <c r="S132" s="149">
        <v>0</v>
      </c>
      <c r="T132" s="150">
        <f>S132*H132</f>
        <v>0</v>
      </c>
      <c r="U132" s="34"/>
      <c r="V132" s="34"/>
      <c r="W132" s="34"/>
      <c r="X132" s="34"/>
      <c r="Y132" s="34"/>
      <c r="Z132" s="34"/>
      <c r="AA132" s="34"/>
      <c r="AB132" s="34"/>
      <c r="AC132" s="34"/>
      <c r="AD132" s="34"/>
      <c r="AE132" s="34"/>
      <c r="AR132" s="151" t="s">
        <v>237</v>
      </c>
      <c r="AT132" s="151" t="s">
        <v>180</v>
      </c>
      <c r="AU132" s="151" t="s">
        <v>87</v>
      </c>
      <c r="AY132" s="19" t="s">
        <v>177</v>
      </c>
      <c r="BE132" s="152">
        <f>IF(N132="základní",J132,0)</f>
        <v>0</v>
      </c>
      <c r="BF132" s="152">
        <f>IF(N132="snížená",J132,0)</f>
        <v>0</v>
      </c>
      <c r="BG132" s="152">
        <f>IF(N132="zákl. přenesená",J132,0)</f>
        <v>0</v>
      </c>
      <c r="BH132" s="152">
        <f>IF(N132="sníž. přenesená",J132,0)</f>
        <v>0</v>
      </c>
      <c r="BI132" s="152">
        <f>IF(N132="nulová",J132,0)</f>
        <v>0</v>
      </c>
      <c r="BJ132" s="19" t="s">
        <v>85</v>
      </c>
      <c r="BK132" s="152">
        <f>ROUND(I132*H132,2)</f>
        <v>0</v>
      </c>
      <c r="BL132" s="19" t="s">
        <v>237</v>
      </c>
      <c r="BM132" s="151" t="s">
        <v>251</v>
      </c>
    </row>
    <row r="133" spans="1:65" s="2" customFormat="1">
      <c r="A133" s="34"/>
      <c r="B133" s="35"/>
      <c r="C133" s="34"/>
      <c r="D133" s="153" t="s">
        <v>187</v>
      </c>
      <c r="E133" s="34"/>
      <c r="F133" s="154" t="s">
        <v>250</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187</v>
      </c>
      <c r="AU133" s="19" t="s">
        <v>87</v>
      </c>
    </row>
    <row r="134" spans="1:65" s="2" customFormat="1" ht="16.5" customHeight="1">
      <c r="A134" s="34"/>
      <c r="B134" s="139"/>
      <c r="C134" s="140" t="s">
        <v>252</v>
      </c>
      <c r="D134" s="140" t="s">
        <v>180</v>
      </c>
      <c r="E134" s="141" t="s">
        <v>253</v>
      </c>
      <c r="F134" s="142" t="s">
        <v>254</v>
      </c>
      <c r="G134" s="143" t="s">
        <v>243</v>
      </c>
      <c r="H134" s="144">
        <v>1</v>
      </c>
      <c r="I134" s="145"/>
      <c r="J134" s="146">
        <f>ROUND(I134*H134,2)</f>
        <v>0</v>
      </c>
      <c r="K134" s="142" t="s">
        <v>244</v>
      </c>
      <c r="L134" s="35"/>
      <c r="M134" s="147" t="s">
        <v>3</v>
      </c>
      <c r="N134" s="148" t="s">
        <v>48</v>
      </c>
      <c r="O134" s="55"/>
      <c r="P134" s="149">
        <f>O134*H134</f>
        <v>0</v>
      </c>
      <c r="Q134" s="149">
        <v>0</v>
      </c>
      <c r="R134" s="149">
        <f>Q134*H134</f>
        <v>0</v>
      </c>
      <c r="S134" s="149">
        <v>0</v>
      </c>
      <c r="T134" s="150">
        <f>S134*H134</f>
        <v>0</v>
      </c>
      <c r="U134" s="34"/>
      <c r="V134" s="34"/>
      <c r="W134" s="34"/>
      <c r="X134" s="34"/>
      <c r="Y134" s="34"/>
      <c r="Z134" s="34"/>
      <c r="AA134" s="34"/>
      <c r="AB134" s="34"/>
      <c r="AC134" s="34"/>
      <c r="AD134" s="34"/>
      <c r="AE134" s="34"/>
      <c r="AR134" s="151" t="s">
        <v>237</v>
      </c>
      <c r="AT134" s="151" t="s">
        <v>180</v>
      </c>
      <c r="AU134" s="151" t="s">
        <v>87</v>
      </c>
      <c r="AY134" s="19" t="s">
        <v>177</v>
      </c>
      <c r="BE134" s="152">
        <f>IF(N134="základní",J134,0)</f>
        <v>0</v>
      </c>
      <c r="BF134" s="152">
        <f>IF(N134="snížená",J134,0)</f>
        <v>0</v>
      </c>
      <c r="BG134" s="152">
        <f>IF(N134="zákl. přenesená",J134,0)</f>
        <v>0</v>
      </c>
      <c r="BH134" s="152">
        <f>IF(N134="sníž. přenesená",J134,0)</f>
        <v>0</v>
      </c>
      <c r="BI134" s="152">
        <f>IF(N134="nulová",J134,0)</f>
        <v>0</v>
      </c>
      <c r="BJ134" s="19" t="s">
        <v>85</v>
      </c>
      <c r="BK134" s="152">
        <f>ROUND(I134*H134,2)</f>
        <v>0</v>
      </c>
      <c r="BL134" s="19" t="s">
        <v>237</v>
      </c>
      <c r="BM134" s="151" t="s">
        <v>255</v>
      </c>
    </row>
    <row r="135" spans="1:65" s="2" customFormat="1">
      <c r="A135" s="34"/>
      <c r="B135" s="35"/>
      <c r="C135" s="34"/>
      <c r="D135" s="153" t="s">
        <v>187</v>
      </c>
      <c r="E135" s="34"/>
      <c r="F135" s="154" t="s">
        <v>254</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187</v>
      </c>
      <c r="AU135" s="19" t="s">
        <v>87</v>
      </c>
    </row>
    <row r="136" spans="1:65" s="12" customFormat="1" ht="22.9" customHeight="1">
      <c r="B136" s="126"/>
      <c r="D136" s="127" t="s">
        <v>76</v>
      </c>
      <c r="E136" s="137" t="s">
        <v>256</v>
      </c>
      <c r="F136" s="137" t="s">
        <v>257</v>
      </c>
      <c r="I136" s="129"/>
      <c r="J136" s="138">
        <f>BK136</f>
        <v>0</v>
      </c>
      <c r="L136" s="126"/>
      <c r="M136" s="131"/>
      <c r="N136" s="132"/>
      <c r="O136" s="132"/>
      <c r="P136" s="133">
        <f>SUM(P137:P157)</f>
        <v>0</v>
      </c>
      <c r="Q136" s="132"/>
      <c r="R136" s="133">
        <f>SUM(R137:R157)</f>
        <v>0</v>
      </c>
      <c r="S136" s="132"/>
      <c r="T136" s="134">
        <f>SUM(T137:T157)</f>
        <v>0.65181999999999995</v>
      </c>
      <c r="AR136" s="127" t="s">
        <v>87</v>
      </c>
      <c r="AT136" s="135" t="s">
        <v>76</v>
      </c>
      <c r="AU136" s="135" t="s">
        <v>85</v>
      </c>
      <c r="AY136" s="127" t="s">
        <v>177</v>
      </c>
      <c r="BK136" s="136">
        <f>SUM(BK137:BK157)</f>
        <v>0</v>
      </c>
    </row>
    <row r="137" spans="1:65" s="2" customFormat="1" ht="16.5" customHeight="1">
      <c r="A137" s="34"/>
      <c r="B137" s="139"/>
      <c r="C137" s="140" t="s">
        <v>258</v>
      </c>
      <c r="D137" s="140" t="s">
        <v>180</v>
      </c>
      <c r="E137" s="141" t="s">
        <v>259</v>
      </c>
      <c r="F137" s="142" t="s">
        <v>260</v>
      </c>
      <c r="G137" s="143" t="s">
        <v>261</v>
      </c>
      <c r="H137" s="144">
        <v>11</v>
      </c>
      <c r="I137" s="145"/>
      <c r="J137" s="146">
        <f>ROUND(I137*H137,2)</f>
        <v>0</v>
      </c>
      <c r="K137" s="142" t="s">
        <v>184</v>
      </c>
      <c r="L137" s="35"/>
      <c r="M137" s="147" t="s">
        <v>3</v>
      </c>
      <c r="N137" s="148" t="s">
        <v>48</v>
      </c>
      <c r="O137" s="55"/>
      <c r="P137" s="149">
        <f>O137*H137</f>
        <v>0</v>
      </c>
      <c r="Q137" s="149">
        <v>0</v>
      </c>
      <c r="R137" s="149">
        <f>Q137*H137</f>
        <v>0</v>
      </c>
      <c r="S137" s="149">
        <v>3.4200000000000001E-2</v>
      </c>
      <c r="T137" s="150">
        <f>S137*H137</f>
        <v>0.37620000000000003</v>
      </c>
      <c r="U137" s="34"/>
      <c r="V137" s="34"/>
      <c r="W137" s="34"/>
      <c r="X137" s="34"/>
      <c r="Y137" s="34"/>
      <c r="Z137" s="34"/>
      <c r="AA137" s="34"/>
      <c r="AB137" s="34"/>
      <c r="AC137" s="34"/>
      <c r="AD137" s="34"/>
      <c r="AE137" s="34"/>
      <c r="AR137" s="151" t="s">
        <v>237</v>
      </c>
      <c r="AT137" s="151" t="s">
        <v>180</v>
      </c>
      <c r="AU137" s="151" t="s">
        <v>87</v>
      </c>
      <c r="AY137" s="19" t="s">
        <v>177</v>
      </c>
      <c r="BE137" s="152">
        <f>IF(N137="základní",J137,0)</f>
        <v>0</v>
      </c>
      <c r="BF137" s="152">
        <f>IF(N137="snížená",J137,0)</f>
        <v>0</v>
      </c>
      <c r="BG137" s="152">
        <f>IF(N137="zákl. přenesená",J137,0)</f>
        <v>0</v>
      </c>
      <c r="BH137" s="152">
        <f>IF(N137="sníž. přenesená",J137,0)</f>
        <v>0</v>
      </c>
      <c r="BI137" s="152">
        <f>IF(N137="nulová",J137,0)</f>
        <v>0</v>
      </c>
      <c r="BJ137" s="19" t="s">
        <v>85</v>
      </c>
      <c r="BK137" s="152">
        <f>ROUND(I137*H137,2)</f>
        <v>0</v>
      </c>
      <c r="BL137" s="19" t="s">
        <v>237</v>
      </c>
      <c r="BM137" s="151" t="s">
        <v>262</v>
      </c>
    </row>
    <row r="138" spans="1:65" s="2" customFormat="1">
      <c r="A138" s="34"/>
      <c r="B138" s="35"/>
      <c r="C138" s="34"/>
      <c r="D138" s="153" t="s">
        <v>187</v>
      </c>
      <c r="E138" s="34"/>
      <c r="F138" s="154" t="s">
        <v>263</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187</v>
      </c>
      <c r="AU138" s="19" t="s">
        <v>87</v>
      </c>
    </row>
    <row r="139" spans="1:65" s="2" customFormat="1">
      <c r="A139" s="34"/>
      <c r="B139" s="35"/>
      <c r="C139" s="34"/>
      <c r="D139" s="158" t="s">
        <v>189</v>
      </c>
      <c r="E139" s="34"/>
      <c r="F139" s="159" t="s">
        <v>264</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189</v>
      </c>
      <c r="AU139" s="19" t="s">
        <v>87</v>
      </c>
    </row>
    <row r="140" spans="1:65" s="2" customFormat="1" ht="16.5" customHeight="1">
      <c r="A140" s="34"/>
      <c r="B140" s="139"/>
      <c r="C140" s="140" t="s">
        <v>265</v>
      </c>
      <c r="D140" s="140" t="s">
        <v>180</v>
      </c>
      <c r="E140" s="141" t="s">
        <v>266</v>
      </c>
      <c r="F140" s="142" t="s">
        <v>267</v>
      </c>
      <c r="G140" s="143" t="s">
        <v>261</v>
      </c>
      <c r="H140" s="144">
        <v>9</v>
      </c>
      <c r="I140" s="145"/>
      <c r="J140" s="146">
        <f>ROUND(I140*H140,2)</f>
        <v>0</v>
      </c>
      <c r="K140" s="142" t="s">
        <v>184</v>
      </c>
      <c r="L140" s="35"/>
      <c r="M140" s="147" t="s">
        <v>3</v>
      </c>
      <c r="N140" s="148" t="s">
        <v>48</v>
      </c>
      <c r="O140" s="55"/>
      <c r="P140" s="149">
        <f>O140*H140</f>
        <v>0</v>
      </c>
      <c r="Q140" s="149">
        <v>0</v>
      </c>
      <c r="R140" s="149">
        <f>Q140*H140</f>
        <v>0</v>
      </c>
      <c r="S140" s="149">
        <v>1.9460000000000002E-2</v>
      </c>
      <c r="T140" s="150">
        <f>S140*H140</f>
        <v>0.17514000000000002</v>
      </c>
      <c r="U140" s="34"/>
      <c r="V140" s="34"/>
      <c r="W140" s="34"/>
      <c r="X140" s="34"/>
      <c r="Y140" s="34"/>
      <c r="Z140" s="34"/>
      <c r="AA140" s="34"/>
      <c r="AB140" s="34"/>
      <c r="AC140" s="34"/>
      <c r="AD140" s="34"/>
      <c r="AE140" s="34"/>
      <c r="AR140" s="151" t="s">
        <v>237</v>
      </c>
      <c r="AT140" s="151" t="s">
        <v>180</v>
      </c>
      <c r="AU140" s="151" t="s">
        <v>87</v>
      </c>
      <c r="AY140" s="19" t="s">
        <v>177</v>
      </c>
      <c r="BE140" s="152">
        <f>IF(N140="základní",J140,0)</f>
        <v>0</v>
      </c>
      <c r="BF140" s="152">
        <f>IF(N140="snížená",J140,0)</f>
        <v>0</v>
      </c>
      <c r="BG140" s="152">
        <f>IF(N140="zákl. přenesená",J140,0)</f>
        <v>0</v>
      </c>
      <c r="BH140" s="152">
        <f>IF(N140="sníž. přenesená",J140,0)</f>
        <v>0</v>
      </c>
      <c r="BI140" s="152">
        <f>IF(N140="nulová",J140,0)</f>
        <v>0</v>
      </c>
      <c r="BJ140" s="19" t="s">
        <v>85</v>
      </c>
      <c r="BK140" s="152">
        <f>ROUND(I140*H140,2)</f>
        <v>0</v>
      </c>
      <c r="BL140" s="19" t="s">
        <v>237</v>
      </c>
      <c r="BM140" s="151" t="s">
        <v>268</v>
      </c>
    </row>
    <row r="141" spans="1:65" s="2" customFormat="1">
      <c r="A141" s="34"/>
      <c r="B141" s="35"/>
      <c r="C141" s="34"/>
      <c r="D141" s="153" t="s">
        <v>187</v>
      </c>
      <c r="E141" s="34"/>
      <c r="F141" s="154" t="s">
        <v>269</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187</v>
      </c>
      <c r="AU141" s="19" t="s">
        <v>87</v>
      </c>
    </row>
    <row r="142" spans="1:65" s="2" customFormat="1">
      <c r="A142" s="34"/>
      <c r="B142" s="35"/>
      <c r="C142" s="34"/>
      <c r="D142" s="158" t="s">
        <v>189</v>
      </c>
      <c r="E142" s="34"/>
      <c r="F142" s="159" t="s">
        <v>270</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189</v>
      </c>
      <c r="AU142" s="19" t="s">
        <v>87</v>
      </c>
    </row>
    <row r="143" spans="1:65" s="2" customFormat="1" ht="16.5" customHeight="1">
      <c r="A143" s="34"/>
      <c r="B143" s="139"/>
      <c r="C143" s="140" t="s">
        <v>271</v>
      </c>
      <c r="D143" s="140" t="s">
        <v>180</v>
      </c>
      <c r="E143" s="141" t="s">
        <v>272</v>
      </c>
      <c r="F143" s="142" t="s">
        <v>273</v>
      </c>
      <c r="G143" s="143" t="s">
        <v>261</v>
      </c>
      <c r="H143" s="144">
        <v>4</v>
      </c>
      <c r="I143" s="145"/>
      <c r="J143" s="146">
        <f>ROUND(I143*H143,2)</f>
        <v>0</v>
      </c>
      <c r="K143" s="142" t="s">
        <v>184</v>
      </c>
      <c r="L143" s="35"/>
      <c r="M143" s="147" t="s">
        <v>3</v>
      </c>
      <c r="N143" s="148" t="s">
        <v>48</v>
      </c>
      <c r="O143" s="55"/>
      <c r="P143" s="149">
        <f>O143*H143</f>
        <v>0</v>
      </c>
      <c r="Q143" s="149">
        <v>0</v>
      </c>
      <c r="R143" s="149">
        <f>Q143*H143</f>
        <v>0</v>
      </c>
      <c r="S143" s="149">
        <v>6.6E-3</v>
      </c>
      <c r="T143" s="150">
        <f>S143*H143</f>
        <v>2.64E-2</v>
      </c>
      <c r="U143" s="34"/>
      <c r="V143" s="34"/>
      <c r="W143" s="34"/>
      <c r="X143" s="34"/>
      <c r="Y143" s="34"/>
      <c r="Z143" s="34"/>
      <c r="AA143" s="34"/>
      <c r="AB143" s="34"/>
      <c r="AC143" s="34"/>
      <c r="AD143" s="34"/>
      <c r="AE143" s="34"/>
      <c r="AR143" s="151" t="s">
        <v>237</v>
      </c>
      <c r="AT143" s="151" t="s">
        <v>180</v>
      </c>
      <c r="AU143" s="151" t="s">
        <v>87</v>
      </c>
      <c r="AY143" s="19" t="s">
        <v>177</v>
      </c>
      <c r="BE143" s="152">
        <f>IF(N143="základní",J143,0)</f>
        <v>0</v>
      </c>
      <c r="BF143" s="152">
        <f>IF(N143="snížená",J143,0)</f>
        <v>0</v>
      </c>
      <c r="BG143" s="152">
        <f>IF(N143="zákl. přenesená",J143,0)</f>
        <v>0</v>
      </c>
      <c r="BH143" s="152">
        <f>IF(N143="sníž. přenesená",J143,0)</f>
        <v>0</v>
      </c>
      <c r="BI143" s="152">
        <f>IF(N143="nulová",J143,0)</f>
        <v>0</v>
      </c>
      <c r="BJ143" s="19" t="s">
        <v>85</v>
      </c>
      <c r="BK143" s="152">
        <f>ROUND(I143*H143,2)</f>
        <v>0</v>
      </c>
      <c r="BL143" s="19" t="s">
        <v>237</v>
      </c>
      <c r="BM143" s="151" t="s">
        <v>274</v>
      </c>
    </row>
    <row r="144" spans="1:65" s="2" customFormat="1">
      <c r="A144" s="34"/>
      <c r="B144" s="35"/>
      <c r="C144" s="34"/>
      <c r="D144" s="153" t="s">
        <v>187</v>
      </c>
      <c r="E144" s="34"/>
      <c r="F144" s="154" t="s">
        <v>275</v>
      </c>
      <c r="G144" s="34"/>
      <c r="H144" s="34"/>
      <c r="I144" s="155"/>
      <c r="J144" s="34"/>
      <c r="K144" s="34"/>
      <c r="L144" s="35"/>
      <c r="M144" s="156"/>
      <c r="N144" s="157"/>
      <c r="O144" s="55"/>
      <c r="P144" s="55"/>
      <c r="Q144" s="55"/>
      <c r="R144" s="55"/>
      <c r="S144" s="55"/>
      <c r="T144" s="56"/>
      <c r="U144" s="34"/>
      <c r="V144" s="34"/>
      <c r="W144" s="34"/>
      <c r="X144" s="34"/>
      <c r="Y144" s="34"/>
      <c r="Z144" s="34"/>
      <c r="AA144" s="34"/>
      <c r="AB144" s="34"/>
      <c r="AC144" s="34"/>
      <c r="AD144" s="34"/>
      <c r="AE144" s="34"/>
      <c r="AT144" s="19" t="s">
        <v>187</v>
      </c>
      <c r="AU144" s="19" t="s">
        <v>87</v>
      </c>
    </row>
    <row r="145" spans="1:65" s="2" customFormat="1">
      <c r="A145" s="34"/>
      <c r="B145" s="35"/>
      <c r="C145" s="34"/>
      <c r="D145" s="158" t="s">
        <v>189</v>
      </c>
      <c r="E145" s="34"/>
      <c r="F145" s="159" t="s">
        <v>276</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189</v>
      </c>
      <c r="AU145" s="19" t="s">
        <v>87</v>
      </c>
    </row>
    <row r="146" spans="1:65" s="2" customFormat="1" ht="16.5" customHeight="1">
      <c r="A146" s="34"/>
      <c r="B146" s="139"/>
      <c r="C146" s="140" t="s">
        <v>277</v>
      </c>
      <c r="D146" s="140" t="s">
        <v>180</v>
      </c>
      <c r="E146" s="141" t="s">
        <v>278</v>
      </c>
      <c r="F146" s="142" t="s">
        <v>279</v>
      </c>
      <c r="G146" s="143" t="s">
        <v>261</v>
      </c>
      <c r="H146" s="144">
        <v>13</v>
      </c>
      <c r="I146" s="145"/>
      <c r="J146" s="146">
        <f>ROUND(I146*H146,2)</f>
        <v>0</v>
      </c>
      <c r="K146" s="142" t="s">
        <v>184</v>
      </c>
      <c r="L146" s="35"/>
      <c r="M146" s="147" t="s">
        <v>3</v>
      </c>
      <c r="N146" s="148" t="s">
        <v>48</v>
      </c>
      <c r="O146" s="55"/>
      <c r="P146" s="149">
        <f>O146*H146</f>
        <v>0</v>
      </c>
      <c r="Q146" s="149">
        <v>0</v>
      </c>
      <c r="R146" s="149">
        <f>Q146*H146</f>
        <v>0</v>
      </c>
      <c r="S146" s="149">
        <v>1.56E-3</v>
      </c>
      <c r="T146" s="150">
        <f>S146*H146</f>
        <v>2.0279999999999999E-2</v>
      </c>
      <c r="U146" s="34"/>
      <c r="V146" s="34"/>
      <c r="W146" s="34"/>
      <c r="X146" s="34"/>
      <c r="Y146" s="34"/>
      <c r="Z146" s="34"/>
      <c r="AA146" s="34"/>
      <c r="AB146" s="34"/>
      <c r="AC146" s="34"/>
      <c r="AD146" s="34"/>
      <c r="AE146" s="34"/>
      <c r="AR146" s="151" t="s">
        <v>237</v>
      </c>
      <c r="AT146" s="151" t="s">
        <v>180</v>
      </c>
      <c r="AU146" s="151" t="s">
        <v>87</v>
      </c>
      <c r="AY146" s="19" t="s">
        <v>177</v>
      </c>
      <c r="BE146" s="152">
        <f>IF(N146="základní",J146,0)</f>
        <v>0</v>
      </c>
      <c r="BF146" s="152">
        <f>IF(N146="snížená",J146,0)</f>
        <v>0</v>
      </c>
      <c r="BG146" s="152">
        <f>IF(N146="zákl. přenesená",J146,0)</f>
        <v>0</v>
      </c>
      <c r="BH146" s="152">
        <f>IF(N146="sníž. přenesená",J146,0)</f>
        <v>0</v>
      </c>
      <c r="BI146" s="152">
        <f>IF(N146="nulová",J146,0)</f>
        <v>0</v>
      </c>
      <c r="BJ146" s="19" t="s">
        <v>85</v>
      </c>
      <c r="BK146" s="152">
        <f>ROUND(I146*H146,2)</f>
        <v>0</v>
      </c>
      <c r="BL146" s="19" t="s">
        <v>237</v>
      </c>
      <c r="BM146" s="151" t="s">
        <v>280</v>
      </c>
    </row>
    <row r="147" spans="1:65" s="2" customFormat="1">
      <c r="A147" s="34"/>
      <c r="B147" s="35"/>
      <c r="C147" s="34"/>
      <c r="D147" s="153" t="s">
        <v>187</v>
      </c>
      <c r="E147" s="34"/>
      <c r="F147" s="154" t="s">
        <v>281</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187</v>
      </c>
      <c r="AU147" s="19" t="s">
        <v>87</v>
      </c>
    </row>
    <row r="148" spans="1:65" s="2" customFormat="1">
      <c r="A148" s="34"/>
      <c r="B148" s="35"/>
      <c r="C148" s="34"/>
      <c r="D148" s="158" t="s">
        <v>189</v>
      </c>
      <c r="E148" s="34"/>
      <c r="F148" s="159" t="s">
        <v>282</v>
      </c>
      <c r="G148" s="34"/>
      <c r="H148" s="34"/>
      <c r="I148" s="155"/>
      <c r="J148" s="34"/>
      <c r="K148" s="34"/>
      <c r="L148" s="35"/>
      <c r="M148" s="156"/>
      <c r="N148" s="157"/>
      <c r="O148" s="55"/>
      <c r="P148" s="55"/>
      <c r="Q148" s="55"/>
      <c r="R148" s="55"/>
      <c r="S148" s="55"/>
      <c r="T148" s="56"/>
      <c r="U148" s="34"/>
      <c r="V148" s="34"/>
      <c r="W148" s="34"/>
      <c r="X148" s="34"/>
      <c r="Y148" s="34"/>
      <c r="Z148" s="34"/>
      <c r="AA148" s="34"/>
      <c r="AB148" s="34"/>
      <c r="AC148" s="34"/>
      <c r="AD148" s="34"/>
      <c r="AE148" s="34"/>
      <c r="AT148" s="19" t="s">
        <v>189</v>
      </c>
      <c r="AU148" s="19" t="s">
        <v>87</v>
      </c>
    </row>
    <row r="149" spans="1:65" s="2" customFormat="1" ht="16.5" customHeight="1">
      <c r="A149" s="34"/>
      <c r="B149" s="139"/>
      <c r="C149" s="140" t="s">
        <v>283</v>
      </c>
      <c r="D149" s="140" t="s">
        <v>180</v>
      </c>
      <c r="E149" s="141" t="s">
        <v>284</v>
      </c>
      <c r="F149" s="142" t="s">
        <v>285</v>
      </c>
      <c r="G149" s="143" t="s">
        <v>236</v>
      </c>
      <c r="H149" s="144">
        <v>19</v>
      </c>
      <c r="I149" s="145"/>
      <c r="J149" s="146">
        <f>ROUND(I149*H149,2)</f>
        <v>0</v>
      </c>
      <c r="K149" s="142" t="s">
        <v>184</v>
      </c>
      <c r="L149" s="35"/>
      <c r="M149" s="147" t="s">
        <v>3</v>
      </c>
      <c r="N149" s="148" t="s">
        <v>48</v>
      </c>
      <c r="O149" s="55"/>
      <c r="P149" s="149">
        <f>O149*H149</f>
        <v>0</v>
      </c>
      <c r="Q149" s="149">
        <v>0</v>
      </c>
      <c r="R149" s="149">
        <f>Q149*H149</f>
        <v>0</v>
      </c>
      <c r="S149" s="149">
        <v>2.2499999999999998E-3</v>
      </c>
      <c r="T149" s="150">
        <f>S149*H149</f>
        <v>4.2749999999999996E-2</v>
      </c>
      <c r="U149" s="34"/>
      <c r="V149" s="34"/>
      <c r="W149" s="34"/>
      <c r="X149" s="34"/>
      <c r="Y149" s="34"/>
      <c r="Z149" s="34"/>
      <c r="AA149" s="34"/>
      <c r="AB149" s="34"/>
      <c r="AC149" s="34"/>
      <c r="AD149" s="34"/>
      <c r="AE149" s="34"/>
      <c r="AR149" s="151" t="s">
        <v>237</v>
      </c>
      <c r="AT149" s="151" t="s">
        <v>180</v>
      </c>
      <c r="AU149" s="151" t="s">
        <v>87</v>
      </c>
      <c r="AY149" s="19" t="s">
        <v>177</v>
      </c>
      <c r="BE149" s="152">
        <f>IF(N149="základní",J149,0)</f>
        <v>0</v>
      </c>
      <c r="BF149" s="152">
        <f>IF(N149="snížená",J149,0)</f>
        <v>0</v>
      </c>
      <c r="BG149" s="152">
        <f>IF(N149="zákl. přenesená",J149,0)</f>
        <v>0</v>
      </c>
      <c r="BH149" s="152">
        <f>IF(N149="sníž. přenesená",J149,0)</f>
        <v>0</v>
      </c>
      <c r="BI149" s="152">
        <f>IF(N149="nulová",J149,0)</f>
        <v>0</v>
      </c>
      <c r="BJ149" s="19" t="s">
        <v>85</v>
      </c>
      <c r="BK149" s="152">
        <f>ROUND(I149*H149,2)</f>
        <v>0</v>
      </c>
      <c r="BL149" s="19" t="s">
        <v>237</v>
      </c>
      <c r="BM149" s="151" t="s">
        <v>286</v>
      </c>
    </row>
    <row r="150" spans="1:65" s="2" customFormat="1">
      <c r="A150" s="34"/>
      <c r="B150" s="35"/>
      <c r="C150" s="34"/>
      <c r="D150" s="153" t="s">
        <v>187</v>
      </c>
      <c r="E150" s="34"/>
      <c r="F150" s="154" t="s">
        <v>287</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187</v>
      </c>
      <c r="AU150" s="19" t="s">
        <v>87</v>
      </c>
    </row>
    <row r="151" spans="1:65" s="2" customFormat="1">
      <c r="A151" s="34"/>
      <c r="B151" s="35"/>
      <c r="C151" s="34"/>
      <c r="D151" s="158" t="s">
        <v>189</v>
      </c>
      <c r="E151" s="34"/>
      <c r="F151" s="159" t="s">
        <v>288</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189</v>
      </c>
      <c r="AU151" s="19" t="s">
        <v>87</v>
      </c>
    </row>
    <row r="152" spans="1:65" s="13" customFormat="1">
      <c r="B152" s="161"/>
      <c r="D152" s="153" t="s">
        <v>193</v>
      </c>
      <c r="E152" s="162" t="s">
        <v>3</v>
      </c>
      <c r="F152" s="163" t="s">
        <v>289</v>
      </c>
      <c r="H152" s="164">
        <v>18</v>
      </c>
      <c r="I152" s="165"/>
      <c r="L152" s="161"/>
      <c r="M152" s="166"/>
      <c r="N152" s="167"/>
      <c r="O152" s="167"/>
      <c r="P152" s="167"/>
      <c r="Q152" s="167"/>
      <c r="R152" s="167"/>
      <c r="S152" s="167"/>
      <c r="T152" s="168"/>
      <c r="AT152" s="162" t="s">
        <v>193</v>
      </c>
      <c r="AU152" s="162" t="s">
        <v>87</v>
      </c>
      <c r="AV152" s="13" t="s">
        <v>87</v>
      </c>
      <c r="AW152" s="13" t="s">
        <v>36</v>
      </c>
      <c r="AX152" s="13" t="s">
        <v>77</v>
      </c>
      <c r="AY152" s="162" t="s">
        <v>177</v>
      </c>
    </row>
    <row r="153" spans="1:65" s="13" customFormat="1">
      <c r="B153" s="161"/>
      <c r="D153" s="153" t="s">
        <v>193</v>
      </c>
      <c r="E153" s="162" t="s">
        <v>3</v>
      </c>
      <c r="F153" s="163" t="s">
        <v>85</v>
      </c>
      <c r="H153" s="164">
        <v>1</v>
      </c>
      <c r="I153" s="165"/>
      <c r="L153" s="161"/>
      <c r="M153" s="166"/>
      <c r="N153" s="167"/>
      <c r="O153" s="167"/>
      <c r="P153" s="167"/>
      <c r="Q153" s="167"/>
      <c r="R153" s="167"/>
      <c r="S153" s="167"/>
      <c r="T153" s="168"/>
      <c r="AT153" s="162" t="s">
        <v>193</v>
      </c>
      <c r="AU153" s="162" t="s">
        <v>87</v>
      </c>
      <c r="AV153" s="13" t="s">
        <v>87</v>
      </c>
      <c r="AW153" s="13" t="s">
        <v>36</v>
      </c>
      <c r="AX153" s="13" t="s">
        <v>77</v>
      </c>
      <c r="AY153" s="162" t="s">
        <v>177</v>
      </c>
    </row>
    <row r="154" spans="1:65" s="16" customFormat="1">
      <c r="B154" s="184"/>
      <c r="D154" s="153" t="s">
        <v>193</v>
      </c>
      <c r="E154" s="185" t="s">
        <v>3</v>
      </c>
      <c r="F154" s="186" t="s">
        <v>201</v>
      </c>
      <c r="H154" s="187">
        <v>19</v>
      </c>
      <c r="I154" s="188"/>
      <c r="L154" s="184"/>
      <c r="M154" s="189"/>
      <c r="N154" s="190"/>
      <c r="O154" s="190"/>
      <c r="P154" s="190"/>
      <c r="Q154" s="190"/>
      <c r="R154" s="190"/>
      <c r="S154" s="190"/>
      <c r="T154" s="191"/>
      <c r="AT154" s="185" t="s">
        <v>193</v>
      </c>
      <c r="AU154" s="185" t="s">
        <v>87</v>
      </c>
      <c r="AV154" s="16" t="s">
        <v>185</v>
      </c>
      <c r="AW154" s="16" t="s">
        <v>36</v>
      </c>
      <c r="AX154" s="16" t="s">
        <v>85</v>
      </c>
      <c r="AY154" s="185" t="s">
        <v>177</v>
      </c>
    </row>
    <row r="155" spans="1:65" s="2" customFormat="1" ht="16.5" customHeight="1">
      <c r="A155" s="34"/>
      <c r="B155" s="139"/>
      <c r="C155" s="140" t="s">
        <v>9</v>
      </c>
      <c r="D155" s="140" t="s">
        <v>180</v>
      </c>
      <c r="E155" s="141" t="s">
        <v>290</v>
      </c>
      <c r="F155" s="142" t="s">
        <v>291</v>
      </c>
      <c r="G155" s="143" t="s">
        <v>236</v>
      </c>
      <c r="H155" s="144">
        <v>13</v>
      </c>
      <c r="I155" s="145"/>
      <c r="J155" s="146">
        <f>ROUND(I155*H155,2)</f>
        <v>0</v>
      </c>
      <c r="K155" s="142" t="s">
        <v>184</v>
      </c>
      <c r="L155" s="35"/>
      <c r="M155" s="147" t="s">
        <v>3</v>
      </c>
      <c r="N155" s="148" t="s">
        <v>48</v>
      </c>
      <c r="O155" s="55"/>
      <c r="P155" s="149">
        <f>O155*H155</f>
        <v>0</v>
      </c>
      <c r="Q155" s="149">
        <v>0</v>
      </c>
      <c r="R155" s="149">
        <f>Q155*H155</f>
        <v>0</v>
      </c>
      <c r="S155" s="149">
        <v>8.4999999999999995E-4</v>
      </c>
      <c r="T155" s="150">
        <f>S155*H155</f>
        <v>1.1049999999999999E-2</v>
      </c>
      <c r="U155" s="34"/>
      <c r="V155" s="34"/>
      <c r="W155" s="34"/>
      <c r="X155" s="34"/>
      <c r="Y155" s="34"/>
      <c r="Z155" s="34"/>
      <c r="AA155" s="34"/>
      <c r="AB155" s="34"/>
      <c r="AC155" s="34"/>
      <c r="AD155" s="34"/>
      <c r="AE155" s="34"/>
      <c r="AR155" s="151" t="s">
        <v>237</v>
      </c>
      <c r="AT155" s="151" t="s">
        <v>180</v>
      </c>
      <c r="AU155" s="151" t="s">
        <v>87</v>
      </c>
      <c r="AY155" s="19" t="s">
        <v>177</v>
      </c>
      <c r="BE155" s="152">
        <f>IF(N155="základní",J155,0)</f>
        <v>0</v>
      </c>
      <c r="BF155" s="152">
        <f>IF(N155="snížená",J155,0)</f>
        <v>0</v>
      </c>
      <c r="BG155" s="152">
        <f>IF(N155="zákl. přenesená",J155,0)</f>
        <v>0</v>
      </c>
      <c r="BH155" s="152">
        <f>IF(N155="sníž. přenesená",J155,0)</f>
        <v>0</v>
      </c>
      <c r="BI155" s="152">
        <f>IF(N155="nulová",J155,0)</f>
        <v>0</v>
      </c>
      <c r="BJ155" s="19" t="s">
        <v>85</v>
      </c>
      <c r="BK155" s="152">
        <f>ROUND(I155*H155,2)</f>
        <v>0</v>
      </c>
      <c r="BL155" s="19" t="s">
        <v>237</v>
      </c>
      <c r="BM155" s="151" t="s">
        <v>292</v>
      </c>
    </row>
    <row r="156" spans="1:65" s="2" customFormat="1">
      <c r="A156" s="34"/>
      <c r="B156" s="35"/>
      <c r="C156" s="34"/>
      <c r="D156" s="153" t="s">
        <v>187</v>
      </c>
      <c r="E156" s="34"/>
      <c r="F156" s="154" t="s">
        <v>293</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187</v>
      </c>
      <c r="AU156" s="19" t="s">
        <v>87</v>
      </c>
    </row>
    <row r="157" spans="1:65" s="2" customFormat="1">
      <c r="A157" s="34"/>
      <c r="B157" s="35"/>
      <c r="C157" s="34"/>
      <c r="D157" s="158" t="s">
        <v>189</v>
      </c>
      <c r="E157" s="34"/>
      <c r="F157" s="159" t="s">
        <v>294</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189</v>
      </c>
      <c r="AU157" s="19" t="s">
        <v>87</v>
      </c>
    </row>
    <row r="158" spans="1:65" s="12" customFormat="1" ht="22.9" customHeight="1">
      <c r="B158" s="126"/>
      <c r="D158" s="127" t="s">
        <v>76</v>
      </c>
      <c r="E158" s="137" t="s">
        <v>295</v>
      </c>
      <c r="F158" s="137" t="s">
        <v>296</v>
      </c>
      <c r="I158" s="129"/>
      <c r="J158" s="138">
        <f>BK158</f>
        <v>0</v>
      </c>
      <c r="L158" s="126"/>
      <c r="M158" s="131"/>
      <c r="N158" s="132"/>
      <c r="O158" s="132"/>
      <c r="P158" s="133">
        <f>SUM(P159:P160)</f>
        <v>0</v>
      </c>
      <c r="Q158" s="132"/>
      <c r="R158" s="133">
        <f>SUM(R159:R160)</f>
        <v>0</v>
      </c>
      <c r="S158" s="132"/>
      <c r="T158" s="134">
        <f>SUM(T159:T160)</f>
        <v>0</v>
      </c>
      <c r="AR158" s="127" t="s">
        <v>87</v>
      </c>
      <c r="AT158" s="135" t="s">
        <v>76</v>
      </c>
      <c r="AU158" s="135" t="s">
        <v>85</v>
      </c>
      <c r="AY158" s="127" t="s">
        <v>177</v>
      </c>
      <c r="BK158" s="136">
        <f>SUM(BK159:BK160)</f>
        <v>0</v>
      </c>
    </row>
    <row r="159" spans="1:65" s="2" customFormat="1" ht="16.5" customHeight="1">
      <c r="A159" s="34"/>
      <c r="B159" s="139"/>
      <c r="C159" s="140" t="s">
        <v>237</v>
      </c>
      <c r="D159" s="140" t="s">
        <v>180</v>
      </c>
      <c r="E159" s="141" t="s">
        <v>297</v>
      </c>
      <c r="F159" s="142" t="s">
        <v>298</v>
      </c>
      <c r="G159" s="143" t="s">
        <v>243</v>
      </c>
      <c r="H159" s="144">
        <v>1</v>
      </c>
      <c r="I159" s="145"/>
      <c r="J159" s="146">
        <f>ROUND(I159*H159,2)</f>
        <v>0</v>
      </c>
      <c r="K159" s="142" t="s">
        <v>244</v>
      </c>
      <c r="L159" s="35"/>
      <c r="M159" s="147" t="s">
        <v>3</v>
      </c>
      <c r="N159" s="148" t="s">
        <v>48</v>
      </c>
      <c r="O159" s="55"/>
      <c r="P159" s="149">
        <f>O159*H159</f>
        <v>0</v>
      </c>
      <c r="Q159" s="149">
        <v>0</v>
      </c>
      <c r="R159" s="149">
        <f>Q159*H159</f>
        <v>0</v>
      </c>
      <c r="S159" s="149">
        <v>0</v>
      </c>
      <c r="T159" s="150">
        <f>S159*H159</f>
        <v>0</v>
      </c>
      <c r="U159" s="34"/>
      <c r="V159" s="34"/>
      <c r="W159" s="34"/>
      <c r="X159" s="34"/>
      <c r="Y159" s="34"/>
      <c r="Z159" s="34"/>
      <c r="AA159" s="34"/>
      <c r="AB159" s="34"/>
      <c r="AC159" s="34"/>
      <c r="AD159" s="34"/>
      <c r="AE159" s="34"/>
      <c r="AR159" s="151" t="s">
        <v>237</v>
      </c>
      <c r="AT159" s="151" t="s">
        <v>180</v>
      </c>
      <c r="AU159" s="151" t="s">
        <v>87</v>
      </c>
      <c r="AY159" s="19" t="s">
        <v>177</v>
      </c>
      <c r="BE159" s="152">
        <f>IF(N159="základní",J159,0)</f>
        <v>0</v>
      </c>
      <c r="BF159" s="152">
        <f>IF(N159="snížená",J159,0)</f>
        <v>0</v>
      </c>
      <c r="BG159" s="152">
        <f>IF(N159="zákl. přenesená",J159,0)</f>
        <v>0</v>
      </c>
      <c r="BH159" s="152">
        <f>IF(N159="sníž. přenesená",J159,0)</f>
        <v>0</v>
      </c>
      <c r="BI159" s="152">
        <f>IF(N159="nulová",J159,0)</f>
        <v>0</v>
      </c>
      <c r="BJ159" s="19" t="s">
        <v>85</v>
      </c>
      <c r="BK159" s="152">
        <f>ROUND(I159*H159,2)</f>
        <v>0</v>
      </c>
      <c r="BL159" s="19" t="s">
        <v>237</v>
      </c>
      <c r="BM159" s="151" t="s">
        <v>299</v>
      </c>
    </row>
    <row r="160" spans="1:65" s="2" customFormat="1">
      <c r="A160" s="34"/>
      <c r="B160" s="35"/>
      <c r="C160" s="34"/>
      <c r="D160" s="153" t="s">
        <v>187</v>
      </c>
      <c r="E160" s="34"/>
      <c r="F160" s="154" t="s">
        <v>298</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187</v>
      </c>
      <c r="AU160" s="19" t="s">
        <v>87</v>
      </c>
    </row>
    <row r="161" spans="1:65" s="12" customFormat="1" ht="22.9" customHeight="1">
      <c r="B161" s="126"/>
      <c r="D161" s="127" t="s">
        <v>76</v>
      </c>
      <c r="E161" s="137" t="s">
        <v>300</v>
      </c>
      <c r="F161" s="137" t="s">
        <v>301</v>
      </c>
      <c r="I161" s="129"/>
      <c r="J161" s="138">
        <f>BK161</f>
        <v>0</v>
      </c>
      <c r="L161" s="126"/>
      <c r="M161" s="131"/>
      <c r="N161" s="132"/>
      <c r="O161" s="132"/>
      <c r="P161" s="133">
        <f>SUM(P162:P170)</f>
        <v>0</v>
      </c>
      <c r="Q161" s="132"/>
      <c r="R161" s="133">
        <f>SUM(R162:R170)</f>
        <v>0</v>
      </c>
      <c r="S161" s="132"/>
      <c r="T161" s="134">
        <f>SUM(T162:T170)</f>
        <v>0</v>
      </c>
      <c r="AR161" s="127" t="s">
        <v>87</v>
      </c>
      <c r="AT161" s="135" t="s">
        <v>76</v>
      </c>
      <c r="AU161" s="135" t="s">
        <v>85</v>
      </c>
      <c r="AY161" s="127" t="s">
        <v>177</v>
      </c>
      <c r="BK161" s="136">
        <f>SUM(BK162:BK170)</f>
        <v>0</v>
      </c>
    </row>
    <row r="162" spans="1:65" s="2" customFormat="1" ht="16.5" customHeight="1">
      <c r="A162" s="34"/>
      <c r="B162" s="139"/>
      <c r="C162" s="140" t="s">
        <v>302</v>
      </c>
      <c r="D162" s="140" t="s">
        <v>180</v>
      </c>
      <c r="E162" s="141" t="s">
        <v>303</v>
      </c>
      <c r="F162" s="142" t="s">
        <v>304</v>
      </c>
      <c r="G162" s="143" t="s">
        <v>305</v>
      </c>
      <c r="H162" s="144">
        <v>576</v>
      </c>
      <c r="I162" s="145"/>
      <c r="J162" s="146">
        <f>ROUND(I162*H162,2)</f>
        <v>0</v>
      </c>
      <c r="K162" s="142" t="s">
        <v>184</v>
      </c>
      <c r="L162" s="35"/>
      <c r="M162" s="147" t="s">
        <v>3</v>
      </c>
      <c r="N162" s="148" t="s">
        <v>48</v>
      </c>
      <c r="O162" s="55"/>
      <c r="P162" s="149">
        <f>O162*H162</f>
        <v>0</v>
      </c>
      <c r="Q162" s="149">
        <v>0</v>
      </c>
      <c r="R162" s="149">
        <f>Q162*H162</f>
        <v>0</v>
      </c>
      <c r="S162" s="149">
        <v>0</v>
      </c>
      <c r="T162" s="150">
        <f>S162*H162</f>
        <v>0</v>
      </c>
      <c r="U162" s="34"/>
      <c r="V162" s="34"/>
      <c r="W162" s="34"/>
      <c r="X162" s="34"/>
      <c r="Y162" s="34"/>
      <c r="Z162" s="34"/>
      <c r="AA162" s="34"/>
      <c r="AB162" s="34"/>
      <c r="AC162" s="34"/>
      <c r="AD162" s="34"/>
      <c r="AE162" s="34"/>
      <c r="AR162" s="151" t="s">
        <v>237</v>
      </c>
      <c r="AT162" s="151" t="s">
        <v>180</v>
      </c>
      <c r="AU162" s="151" t="s">
        <v>87</v>
      </c>
      <c r="AY162" s="19" t="s">
        <v>177</v>
      </c>
      <c r="BE162" s="152">
        <f>IF(N162="základní",J162,0)</f>
        <v>0</v>
      </c>
      <c r="BF162" s="152">
        <f>IF(N162="snížená",J162,0)</f>
        <v>0</v>
      </c>
      <c r="BG162" s="152">
        <f>IF(N162="zákl. přenesená",J162,0)</f>
        <v>0</v>
      </c>
      <c r="BH162" s="152">
        <f>IF(N162="sníž. přenesená",J162,0)</f>
        <v>0</v>
      </c>
      <c r="BI162" s="152">
        <f>IF(N162="nulová",J162,0)</f>
        <v>0</v>
      </c>
      <c r="BJ162" s="19" t="s">
        <v>85</v>
      </c>
      <c r="BK162" s="152">
        <f>ROUND(I162*H162,2)</f>
        <v>0</v>
      </c>
      <c r="BL162" s="19" t="s">
        <v>237</v>
      </c>
      <c r="BM162" s="151" t="s">
        <v>306</v>
      </c>
    </row>
    <row r="163" spans="1:65" s="2" customFormat="1">
      <c r="A163" s="34"/>
      <c r="B163" s="35"/>
      <c r="C163" s="34"/>
      <c r="D163" s="153" t="s">
        <v>187</v>
      </c>
      <c r="E163" s="34"/>
      <c r="F163" s="154" t="s">
        <v>307</v>
      </c>
      <c r="G163" s="34"/>
      <c r="H163" s="34"/>
      <c r="I163" s="155"/>
      <c r="J163" s="34"/>
      <c r="K163" s="34"/>
      <c r="L163" s="35"/>
      <c r="M163" s="156"/>
      <c r="N163" s="157"/>
      <c r="O163" s="55"/>
      <c r="P163" s="55"/>
      <c r="Q163" s="55"/>
      <c r="R163" s="55"/>
      <c r="S163" s="55"/>
      <c r="T163" s="56"/>
      <c r="U163" s="34"/>
      <c r="V163" s="34"/>
      <c r="W163" s="34"/>
      <c r="X163" s="34"/>
      <c r="Y163" s="34"/>
      <c r="Z163" s="34"/>
      <c r="AA163" s="34"/>
      <c r="AB163" s="34"/>
      <c r="AC163" s="34"/>
      <c r="AD163" s="34"/>
      <c r="AE163" s="34"/>
      <c r="AT163" s="19" t="s">
        <v>187</v>
      </c>
      <c r="AU163" s="19" t="s">
        <v>87</v>
      </c>
    </row>
    <row r="164" spans="1:65" s="2" customFormat="1">
      <c r="A164" s="34"/>
      <c r="B164" s="35"/>
      <c r="C164" s="34"/>
      <c r="D164" s="158" t="s">
        <v>189</v>
      </c>
      <c r="E164" s="34"/>
      <c r="F164" s="159" t="s">
        <v>308</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189</v>
      </c>
      <c r="AU164" s="19" t="s">
        <v>87</v>
      </c>
    </row>
    <row r="165" spans="1:65" s="14" customFormat="1">
      <c r="B165" s="169"/>
      <c r="D165" s="153" t="s">
        <v>193</v>
      </c>
      <c r="E165" s="170" t="s">
        <v>3</v>
      </c>
      <c r="F165" s="171" t="s">
        <v>309</v>
      </c>
      <c r="H165" s="170" t="s">
        <v>3</v>
      </c>
      <c r="I165" s="172"/>
      <c r="L165" s="169"/>
      <c r="M165" s="173"/>
      <c r="N165" s="174"/>
      <c r="O165" s="174"/>
      <c r="P165" s="174"/>
      <c r="Q165" s="174"/>
      <c r="R165" s="174"/>
      <c r="S165" s="174"/>
      <c r="T165" s="175"/>
      <c r="AT165" s="170" t="s">
        <v>193</v>
      </c>
      <c r="AU165" s="170" t="s">
        <v>87</v>
      </c>
      <c r="AV165" s="14" t="s">
        <v>85</v>
      </c>
      <c r="AW165" s="14" t="s">
        <v>36</v>
      </c>
      <c r="AX165" s="14" t="s">
        <v>77</v>
      </c>
      <c r="AY165" s="170" t="s">
        <v>177</v>
      </c>
    </row>
    <row r="166" spans="1:65" s="13" customFormat="1">
      <c r="B166" s="161"/>
      <c r="D166" s="153" t="s">
        <v>193</v>
      </c>
      <c r="E166" s="162" t="s">
        <v>3</v>
      </c>
      <c r="F166" s="163" t="s">
        <v>310</v>
      </c>
      <c r="H166" s="164">
        <v>16</v>
      </c>
      <c r="I166" s="165"/>
      <c r="L166" s="161"/>
      <c r="M166" s="166"/>
      <c r="N166" s="167"/>
      <c r="O166" s="167"/>
      <c r="P166" s="167"/>
      <c r="Q166" s="167"/>
      <c r="R166" s="167"/>
      <c r="S166" s="167"/>
      <c r="T166" s="168"/>
      <c r="AT166" s="162" t="s">
        <v>193</v>
      </c>
      <c r="AU166" s="162" t="s">
        <v>87</v>
      </c>
      <c r="AV166" s="13" t="s">
        <v>87</v>
      </c>
      <c r="AW166" s="13" t="s">
        <v>36</v>
      </c>
      <c r="AX166" s="13" t="s">
        <v>77</v>
      </c>
      <c r="AY166" s="162" t="s">
        <v>177</v>
      </c>
    </row>
    <row r="167" spans="1:65" s="13" customFormat="1">
      <c r="B167" s="161"/>
      <c r="D167" s="153" t="s">
        <v>193</v>
      </c>
      <c r="E167" s="162" t="s">
        <v>3</v>
      </c>
      <c r="F167" s="163" t="s">
        <v>311</v>
      </c>
      <c r="H167" s="164">
        <v>200</v>
      </c>
      <c r="I167" s="165"/>
      <c r="L167" s="161"/>
      <c r="M167" s="166"/>
      <c r="N167" s="167"/>
      <c r="O167" s="167"/>
      <c r="P167" s="167"/>
      <c r="Q167" s="167"/>
      <c r="R167" s="167"/>
      <c r="S167" s="167"/>
      <c r="T167" s="168"/>
      <c r="AT167" s="162" t="s">
        <v>193</v>
      </c>
      <c r="AU167" s="162" t="s">
        <v>87</v>
      </c>
      <c r="AV167" s="13" t="s">
        <v>87</v>
      </c>
      <c r="AW167" s="13" t="s">
        <v>36</v>
      </c>
      <c r="AX167" s="13" t="s">
        <v>77</v>
      </c>
      <c r="AY167" s="162" t="s">
        <v>177</v>
      </c>
    </row>
    <row r="168" spans="1:65" s="13" customFormat="1">
      <c r="B168" s="161"/>
      <c r="D168" s="153" t="s">
        <v>193</v>
      </c>
      <c r="E168" s="162" t="s">
        <v>3</v>
      </c>
      <c r="F168" s="163" t="s">
        <v>311</v>
      </c>
      <c r="H168" s="164">
        <v>200</v>
      </c>
      <c r="I168" s="165"/>
      <c r="L168" s="161"/>
      <c r="M168" s="166"/>
      <c r="N168" s="167"/>
      <c r="O168" s="167"/>
      <c r="P168" s="167"/>
      <c r="Q168" s="167"/>
      <c r="R168" s="167"/>
      <c r="S168" s="167"/>
      <c r="T168" s="168"/>
      <c r="AT168" s="162" t="s">
        <v>193</v>
      </c>
      <c r="AU168" s="162" t="s">
        <v>87</v>
      </c>
      <c r="AV168" s="13" t="s">
        <v>87</v>
      </c>
      <c r="AW168" s="13" t="s">
        <v>36</v>
      </c>
      <c r="AX168" s="13" t="s">
        <v>77</v>
      </c>
      <c r="AY168" s="162" t="s">
        <v>177</v>
      </c>
    </row>
    <row r="169" spans="1:65" s="13" customFormat="1">
      <c r="B169" s="161"/>
      <c r="D169" s="153" t="s">
        <v>193</v>
      </c>
      <c r="E169" s="162" t="s">
        <v>3</v>
      </c>
      <c r="F169" s="163" t="s">
        <v>312</v>
      </c>
      <c r="H169" s="164">
        <v>160</v>
      </c>
      <c r="I169" s="165"/>
      <c r="L169" s="161"/>
      <c r="M169" s="166"/>
      <c r="N169" s="167"/>
      <c r="O169" s="167"/>
      <c r="P169" s="167"/>
      <c r="Q169" s="167"/>
      <c r="R169" s="167"/>
      <c r="S169" s="167"/>
      <c r="T169" s="168"/>
      <c r="AT169" s="162" t="s">
        <v>193</v>
      </c>
      <c r="AU169" s="162" t="s">
        <v>87</v>
      </c>
      <c r="AV169" s="13" t="s">
        <v>87</v>
      </c>
      <c r="AW169" s="13" t="s">
        <v>36</v>
      </c>
      <c r="AX169" s="13" t="s">
        <v>77</v>
      </c>
      <c r="AY169" s="162" t="s">
        <v>177</v>
      </c>
    </row>
    <row r="170" spans="1:65" s="16" customFormat="1">
      <c r="B170" s="184"/>
      <c r="D170" s="153" t="s">
        <v>193</v>
      </c>
      <c r="E170" s="185" t="s">
        <v>3</v>
      </c>
      <c r="F170" s="186" t="s">
        <v>201</v>
      </c>
      <c r="H170" s="187">
        <v>576</v>
      </c>
      <c r="I170" s="188"/>
      <c r="L170" s="184"/>
      <c r="M170" s="189"/>
      <c r="N170" s="190"/>
      <c r="O170" s="190"/>
      <c r="P170" s="190"/>
      <c r="Q170" s="190"/>
      <c r="R170" s="190"/>
      <c r="S170" s="190"/>
      <c r="T170" s="191"/>
      <c r="AT170" s="185" t="s">
        <v>193</v>
      </c>
      <c r="AU170" s="185" t="s">
        <v>87</v>
      </c>
      <c r="AV170" s="16" t="s">
        <v>185</v>
      </c>
      <c r="AW170" s="16" t="s">
        <v>36</v>
      </c>
      <c r="AX170" s="16" t="s">
        <v>85</v>
      </c>
      <c r="AY170" s="185" t="s">
        <v>177</v>
      </c>
    </row>
    <row r="171" spans="1:65" s="12" customFormat="1" ht="25.9" customHeight="1">
      <c r="B171" s="126"/>
      <c r="D171" s="127" t="s">
        <v>76</v>
      </c>
      <c r="E171" s="128" t="s">
        <v>313</v>
      </c>
      <c r="F171" s="128" t="s">
        <v>314</v>
      </c>
      <c r="I171" s="129"/>
      <c r="J171" s="130">
        <f>BK171</f>
        <v>0</v>
      </c>
      <c r="L171" s="126"/>
      <c r="M171" s="131"/>
      <c r="N171" s="132"/>
      <c r="O171" s="132"/>
      <c r="P171" s="133">
        <f>SUM(P172:P176)</f>
        <v>0</v>
      </c>
      <c r="Q171" s="132"/>
      <c r="R171" s="133">
        <f>SUM(R172:R176)</f>
        <v>0</v>
      </c>
      <c r="S171" s="132"/>
      <c r="T171" s="134">
        <f>SUM(T172:T176)</f>
        <v>0</v>
      </c>
      <c r="AR171" s="127" t="s">
        <v>185</v>
      </c>
      <c r="AT171" s="135" t="s">
        <v>76</v>
      </c>
      <c r="AU171" s="135" t="s">
        <v>77</v>
      </c>
      <c r="AY171" s="127" t="s">
        <v>177</v>
      </c>
      <c r="BK171" s="136">
        <f>SUM(BK172:BK176)</f>
        <v>0</v>
      </c>
    </row>
    <row r="172" spans="1:65" s="2" customFormat="1" ht="16.5" customHeight="1">
      <c r="A172" s="34"/>
      <c r="B172" s="139"/>
      <c r="C172" s="140" t="s">
        <v>315</v>
      </c>
      <c r="D172" s="140" t="s">
        <v>180</v>
      </c>
      <c r="E172" s="141" t="s">
        <v>316</v>
      </c>
      <c r="F172" s="142" t="s">
        <v>317</v>
      </c>
      <c r="G172" s="143" t="s">
        <v>305</v>
      </c>
      <c r="H172" s="144">
        <v>128</v>
      </c>
      <c r="I172" s="145"/>
      <c r="J172" s="146">
        <f>ROUND(I172*H172,2)</f>
        <v>0</v>
      </c>
      <c r="K172" s="142" t="s">
        <v>184</v>
      </c>
      <c r="L172" s="35"/>
      <c r="M172" s="147" t="s">
        <v>3</v>
      </c>
      <c r="N172" s="148" t="s">
        <v>48</v>
      </c>
      <c r="O172" s="55"/>
      <c r="P172" s="149">
        <f>O172*H172</f>
        <v>0</v>
      </c>
      <c r="Q172" s="149">
        <v>0</v>
      </c>
      <c r="R172" s="149">
        <f>Q172*H172</f>
        <v>0</v>
      </c>
      <c r="S172" s="149">
        <v>0</v>
      </c>
      <c r="T172" s="150">
        <f>S172*H172</f>
        <v>0</v>
      </c>
      <c r="U172" s="34"/>
      <c r="V172" s="34"/>
      <c r="W172" s="34"/>
      <c r="X172" s="34"/>
      <c r="Y172" s="34"/>
      <c r="Z172" s="34"/>
      <c r="AA172" s="34"/>
      <c r="AB172" s="34"/>
      <c r="AC172" s="34"/>
      <c r="AD172" s="34"/>
      <c r="AE172" s="34"/>
      <c r="AR172" s="151" t="s">
        <v>318</v>
      </c>
      <c r="AT172" s="151" t="s">
        <v>180</v>
      </c>
      <c r="AU172" s="151" t="s">
        <v>85</v>
      </c>
      <c r="AY172" s="19" t="s">
        <v>177</v>
      </c>
      <c r="BE172" s="152">
        <f>IF(N172="základní",J172,0)</f>
        <v>0</v>
      </c>
      <c r="BF172" s="152">
        <f>IF(N172="snížená",J172,0)</f>
        <v>0</v>
      </c>
      <c r="BG172" s="152">
        <f>IF(N172="zákl. přenesená",J172,0)</f>
        <v>0</v>
      </c>
      <c r="BH172" s="152">
        <f>IF(N172="sníž. přenesená",J172,0)</f>
        <v>0</v>
      </c>
      <c r="BI172" s="152">
        <f>IF(N172="nulová",J172,0)</f>
        <v>0</v>
      </c>
      <c r="BJ172" s="19" t="s">
        <v>85</v>
      </c>
      <c r="BK172" s="152">
        <f>ROUND(I172*H172,2)</f>
        <v>0</v>
      </c>
      <c r="BL172" s="19" t="s">
        <v>318</v>
      </c>
      <c r="BM172" s="151" t="s">
        <v>319</v>
      </c>
    </row>
    <row r="173" spans="1:65" s="2" customFormat="1">
      <c r="A173" s="34"/>
      <c r="B173" s="35"/>
      <c r="C173" s="34"/>
      <c r="D173" s="153" t="s">
        <v>187</v>
      </c>
      <c r="E173" s="34"/>
      <c r="F173" s="154" t="s">
        <v>320</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187</v>
      </c>
      <c r="AU173" s="19" t="s">
        <v>85</v>
      </c>
    </row>
    <row r="174" spans="1:65" s="2" customFormat="1">
      <c r="A174" s="34"/>
      <c r="B174" s="35"/>
      <c r="C174" s="34"/>
      <c r="D174" s="158" t="s">
        <v>189</v>
      </c>
      <c r="E174" s="34"/>
      <c r="F174" s="159" t="s">
        <v>321</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189</v>
      </c>
      <c r="AU174" s="19" t="s">
        <v>85</v>
      </c>
    </row>
    <row r="175" spans="1:65" s="14" customFormat="1">
      <c r="B175" s="169"/>
      <c r="D175" s="153" t="s">
        <v>193</v>
      </c>
      <c r="E175" s="170" t="s">
        <v>3</v>
      </c>
      <c r="F175" s="171" t="s">
        <v>322</v>
      </c>
      <c r="H175" s="170" t="s">
        <v>3</v>
      </c>
      <c r="I175" s="172"/>
      <c r="L175" s="169"/>
      <c r="M175" s="173"/>
      <c r="N175" s="174"/>
      <c r="O175" s="174"/>
      <c r="P175" s="174"/>
      <c r="Q175" s="174"/>
      <c r="R175" s="174"/>
      <c r="S175" s="174"/>
      <c r="T175" s="175"/>
      <c r="AT175" s="170" t="s">
        <v>193</v>
      </c>
      <c r="AU175" s="170" t="s">
        <v>85</v>
      </c>
      <c r="AV175" s="14" t="s">
        <v>85</v>
      </c>
      <c r="AW175" s="14" t="s">
        <v>36</v>
      </c>
      <c r="AX175" s="14" t="s">
        <v>77</v>
      </c>
      <c r="AY175" s="170" t="s">
        <v>177</v>
      </c>
    </row>
    <row r="176" spans="1:65" s="13" customFormat="1">
      <c r="B176" s="161"/>
      <c r="D176" s="153" t="s">
        <v>193</v>
      </c>
      <c r="E176" s="162" t="s">
        <v>3</v>
      </c>
      <c r="F176" s="163" t="s">
        <v>323</v>
      </c>
      <c r="H176" s="164">
        <v>128</v>
      </c>
      <c r="I176" s="165"/>
      <c r="L176" s="161"/>
      <c r="M176" s="192"/>
      <c r="N176" s="193"/>
      <c r="O176" s="193"/>
      <c r="P176" s="193"/>
      <c r="Q176" s="193"/>
      <c r="R176" s="193"/>
      <c r="S176" s="193"/>
      <c r="T176" s="194"/>
      <c r="AT176" s="162" t="s">
        <v>193</v>
      </c>
      <c r="AU176" s="162" t="s">
        <v>85</v>
      </c>
      <c r="AV176" s="13" t="s">
        <v>87</v>
      </c>
      <c r="AW176" s="13" t="s">
        <v>36</v>
      </c>
      <c r="AX176" s="13" t="s">
        <v>85</v>
      </c>
      <c r="AY176" s="162" t="s">
        <v>177</v>
      </c>
    </row>
    <row r="177" spans="1:31" s="2" customFormat="1" ht="6.95" customHeight="1">
      <c r="A177" s="34"/>
      <c r="B177" s="44"/>
      <c r="C177" s="45"/>
      <c r="D177" s="45"/>
      <c r="E177" s="45"/>
      <c r="F177" s="45"/>
      <c r="G177" s="45"/>
      <c r="H177" s="45"/>
      <c r="I177" s="45"/>
      <c r="J177" s="45"/>
      <c r="K177" s="45"/>
      <c r="L177" s="35"/>
      <c r="M177" s="34"/>
      <c r="O177" s="34"/>
      <c r="P177" s="34"/>
      <c r="Q177" s="34"/>
      <c r="R177" s="34"/>
      <c r="S177" s="34"/>
      <c r="T177" s="34"/>
      <c r="U177" s="34"/>
      <c r="V177" s="34"/>
      <c r="W177" s="34"/>
      <c r="X177" s="34"/>
      <c r="Y177" s="34"/>
      <c r="Z177" s="34"/>
      <c r="AA177" s="34"/>
      <c r="AB177" s="34"/>
      <c r="AC177" s="34"/>
      <c r="AD177" s="34"/>
      <c r="AE177" s="34"/>
    </row>
  </sheetData>
  <autoFilter ref="C87:K176"/>
  <mergeCells count="9">
    <mergeCell ref="E50:H50"/>
    <mergeCell ref="E78:H78"/>
    <mergeCell ref="E80:H80"/>
    <mergeCell ref="L2:V2"/>
    <mergeCell ref="E7:H7"/>
    <mergeCell ref="E9:H9"/>
    <mergeCell ref="E18:H18"/>
    <mergeCell ref="E27:H27"/>
    <mergeCell ref="E48:H48"/>
  </mergeCells>
  <hyperlinks>
    <hyperlink ref="F93" r:id="rId1"/>
    <hyperlink ref="F104" r:id="rId2"/>
    <hyperlink ref="F109" r:id="rId3"/>
    <hyperlink ref="F113" r:id="rId4"/>
    <hyperlink ref="F122" r:id="rId5"/>
    <hyperlink ref="F128" r:id="rId6"/>
    <hyperlink ref="F139" r:id="rId7"/>
    <hyperlink ref="F142" r:id="rId8"/>
    <hyperlink ref="F145" r:id="rId9"/>
    <hyperlink ref="F148" r:id="rId10"/>
    <hyperlink ref="F151" r:id="rId11"/>
    <hyperlink ref="F157" r:id="rId12"/>
    <hyperlink ref="F164" r:id="rId13"/>
    <hyperlink ref="F174" r:id="rId14"/>
  </hyperlinks>
  <pageMargins left="0.39374999999999999" right="0.39374999999999999" top="0.39374999999999999" bottom="0.39374999999999999" header="0" footer="0"/>
  <pageSetup paperSize="9" scale="84" fitToHeight="100" orientation="landscape" blackAndWhite="1" r:id="rId15"/>
  <headerFooter>
    <oddFooter>&amp;CStrana &amp;P z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7"/>
  <sheetViews>
    <sheetView showGridLines="0" topLeftCell="A251" workbookViewId="0">
      <selection activeCell="V257" sqref="V25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90</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324</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ROUND(J86,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ROUND((SUM(BE86:BE266)),  2)</f>
        <v>0</v>
      </c>
      <c r="G33" s="34"/>
      <c r="H33" s="34"/>
      <c r="I33" s="98">
        <v>0.21</v>
      </c>
      <c r="J33" s="97">
        <f>ROUND(((SUM(BE86:BE266))*I33),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ROUND((SUM(BF86:BF266)),  2)</f>
        <v>0</v>
      </c>
      <c r="G34" s="34"/>
      <c r="H34" s="34"/>
      <c r="I34" s="98">
        <v>0.15</v>
      </c>
      <c r="J34" s="97">
        <f>ROUND(((SUM(BF86:BF266))*I34),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ROUND((SUM(BG86:BG266)),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ROUND((SUM(BH86:BH266)),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ROUND((SUM(BI86:BI266)),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2 - Sanace betonové konstrukce ponechávané části</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J86</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J87</f>
        <v>0</v>
      </c>
      <c r="L60" s="108"/>
    </row>
    <row r="61" spans="1:47" s="10" customFormat="1" ht="19.899999999999999" customHeight="1">
      <c r="B61" s="112"/>
      <c r="D61" s="113" t="s">
        <v>325</v>
      </c>
      <c r="E61" s="114"/>
      <c r="F61" s="114"/>
      <c r="G61" s="114"/>
      <c r="H61" s="114"/>
      <c r="I61" s="114"/>
      <c r="J61" s="115">
        <f>J88</f>
        <v>0</v>
      </c>
      <c r="L61" s="112"/>
    </row>
    <row r="62" spans="1:47" s="10" customFormat="1" ht="19.899999999999999" customHeight="1">
      <c r="B62" s="112"/>
      <c r="D62" s="113" t="s">
        <v>154</v>
      </c>
      <c r="E62" s="114"/>
      <c r="F62" s="114"/>
      <c r="G62" s="114"/>
      <c r="H62" s="114"/>
      <c r="I62" s="114"/>
      <c r="J62" s="115">
        <f>J230</f>
        <v>0</v>
      </c>
      <c r="L62" s="112"/>
    </row>
    <row r="63" spans="1:47" s="10" customFormat="1" ht="19.899999999999999" customHeight="1">
      <c r="B63" s="112"/>
      <c r="D63" s="113" t="s">
        <v>326</v>
      </c>
      <c r="E63" s="114"/>
      <c r="F63" s="114"/>
      <c r="G63" s="114"/>
      <c r="H63" s="114"/>
      <c r="I63" s="114"/>
      <c r="J63" s="115">
        <f>J253</f>
        <v>0</v>
      </c>
      <c r="L63" s="112"/>
    </row>
    <row r="64" spans="1:47" s="9" customFormat="1" ht="24.95" customHeight="1">
      <c r="B64" s="108"/>
      <c r="D64" s="109" t="s">
        <v>161</v>
      </c>
      <c r="E64" s="110"/>
      <c r="F64" s="110"/>
      <c r="G64" s="110"/>
      <c r="H64" s="110"/>
      <c r="I64" s="110"/>
      <c r="J64" s="111">
        <f>J258</f>
        <v>0</v>
      </c>
      <c r="L64" s="108"/>
    </row>
    <row r="65" spans="1:31" s="9" customFormat="1" ht="24.95" customHeight="1">
      <c r="B65" s="108"/>
      <c r="D65" s="109" t="s">
        <v>327</v>
      </c>
      <c r="E65" s="110"/>
      <c r="F65" s="110"/>
      <c r="G65" s="110"/>
      <c r="H65" s="110"/>
      <c r="I65" s="110"/>
      <c r="J65" s="111">
        <f>J262</f>
        <v>0</v>
      </c>
      <c r="L65" s="108"/>
    </row>
    <row r="66" spans="1:31" s="10" customFormat="1" ht="19.899999999999999" customHeight="1">
      <c r="B66" s="112"/>
      <c r="D66" s="113" t="s">
        <v>328</v>
      </c>
      <c r="E66" s="114"/>
      <c r="F66" s="114"/>
      <c r="G66" s="114"/>
      <c r="H66" s="114"/>
      <c r="I66" s="114"/>
      <c r="J66" s="115">
        <f>J263</f>
        <v>0</v>
      </c>
      <c r="L66" s="112"/>
    </row>
    <row r="67" spans="1:31" s="2" customFormat="1" ht="21.75" customHeight="1">
      <c r="A67" s="34"/>
      <c r="B67" s="35"/>
      <c r="C67" s="34"/>
      <c r="D67" s="34"/>
      <c r="E67" s="34"/>
      <c r="F67" s="34"/>
      <c r="G67" s="34"/>
      <c r="H67" s="34"/>
      <c r="I67" s="34"/>
      <c r="J67" s="34"/>
      <c r="K67" s="34"/>
      <c r="L67" s="91"/>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1"/>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1"/>
      <c r="S72" s="34"/>
      <c r="T72" s="34"/>
      <c r="U72" s="34"/>
      <c r="V72" s="34"/>
      <c r="W72" s="34"/>
      <c r="X72" s="34"/>
      <c r="Y72" s="34"/>
      <c r="Z72" s="34"/>
      <c r="AA72" s="34"/>
      <c r="AB72" s="34"/>
      <c r="AC72" s="34"/>
      <c r="AD72" s="34"/>
      <c r="AE72" s="34"/>
    </row>
    <row r="73" spans="1:31" s="2" customFormat="1" ht="24.95" customHeight="1">
      <c r="A73" s="34"/>
      <c r="B73" s="35"/>
      <c r="C73" s="23" t="s">
        <v>162</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c r="A76" s="34"/>
      <c r="B76" s="35"/>
      <c r="C76" s="34"/>
      <c r="D76" s="34"/>
      <c r="E76" s="436" t="str">
        <f>E7</f>
        <v>ZŠ P. HOLÉHO - PŘESTAVBA PLAVECKÉHO PAVILONU</v>
      </c>
      <c r="F76" s="437"/>
      <c r="G76" s="437"/>
      <c r="H76" s="437"/>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146</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432" t="str">
        <f>E9</f>
        <v>E 2 - Sanace betonové konstrukce ponechávané části</v>
      </c>
      <c r="F78" s="435"/>
      <c r="G78" s="435"/>
      <c r="H78" s="435"/>
      <c r="I78" s="34"/>
      <c r="J78" s="34"/>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Prokopa Holého 2632, Louny, 440 01</v>
      </c>
      <c r="G80" s="34"/>
      <c r="H80" s="34"/>
      <c r="I80" s="29" t="s">
        <v>23</v>
      </c>
      <c r="J80" s="52" t="str">
        <f>IF(J12="","",J12)</f>
        <v>21. 9. 2022</v>
      </c>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Město Louny</v>
      </c>
      <c r="G82" s="34"/>
      <c r="H82" s="34"/>
      <c r="I82" s="29" t="s">
        <v>32</v>
      </c>
      <c r="J82" s="32" t="str">
        <f>E21</f>
        <v>RYSIK Design s.r.o.</v>
      </c>
      <c r="K82" s="34"/>
      <c r="L82" s="91"/>
      <c r="S82" s="34"/>
      <c r="T82" s="34"/>
      <c r="U82" s="34"/>
      <c r="V82" s="34"/>
      <c r="W82" s="34"/>
      <c r="X82" s="34"/>
      <c r="Y82" s="34"/>
      <c r="Z82" s="34"/>
      <c r="AA82" s="34"/>
      <c r="AB82" s="34"/>
      <c r="AC82" s="34"/>
      <c r="AD82" s="34"/>
      <c r="AE82" s="34"/>
    </row>
    <row r="83" spans="1:65" s="2" customFormat="1" ht="25.7" customHeight="1">
      <c r="A83" s="34"/>
      <c r="B83" s="35"/>
      <c r="C83" s="29" t="s">
        <v>30</v>
      </c>
      <c r="D83" s="34"/>
      <c r="E83" s="34"/>
      <c r="F83" s="27" t="str">
        <f>IF(E18="","",E18)</f>
        <v>Vyplň údaj</v>
      </c>
      <c r="G83" s="34"/>
      <c r="H83" s="34"/>
      <c r="I83" s="29" t="s">
        <v>37</v>
      </c>
      <c r="J83" s="32" t="str">
        <f>E24</f>
        <v>ing. Kateřina Tumpachová</v>
      </c>
      <c r="K83" s="34"/>
      <c r="L83" s="91"/>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11" customFormat="1" ht="29.25" customHeight="1">
      <c r="A85" s="116"/>
      <c r="B85" s="117"/>
      <c r="C85" s="118" t="s">
        <v>163</v>
      </c>
      <c r="D85" s="119" t="s">
        <v>62</v>
      </c>
      <c r="E85" s="119" t="s">
        <v>58</v>
      </c>
      <c r="F85" s="119" t="s">
        <v>59</v>
      </c>
      <c r="G85" s="119" t="s">
        <v>164</v>
      </c>
      <c r="H85" s="119" t="s">
        <v>165</v>
      </c>
      <c r="I85" s="119" t="s">
        <v>166</v>
      </c>
      <c r="J85" s="119" t="s">
        <v>151</v>
      </c>
      <c r="K85" s="120" t="s">
        <v>167</v>
      </c>
      <c r="L85" s="121"/>
      <c r="M85" s="59" t="s">
        <v>3</v>
      </c>
      <c r="N85" s="60" t="s">
        <v>47</v>
      </c>
      <c r="O85" s="60" t="s">
        <v>168</v>
      </c>
      <c r="P85" s="60" t="s">
        <v>169</v>
      </c>
      <c r="Q85" s="60" t="s">
        <v>170</v>
      </c>
      <c r="R85" s="60" t="s">
        <v>171</v>
      </c>
      <c r="S85" s="60" t="s">
        <v>172</v>
      </c>
      <c r="T85" s="61" t="s">
        <v>173</v>
      </c>
      <c r="U85" s="116"/>
      <c r="V85" s="116"/>
      <c r="W85" s="116"/>
      <c r="X85" s="116"/>
      <c r="Y85" s="116"/>
      <c r="Z85" s="116"/>
      <c r="AA85" s="116"/>
      <c r="AB85" s="116"/>
      <c r="AC85" s="116"/>
      <c r="AD85" s="116"/>
      <c r="AE85" s="116"/>
    </row>
    <row r="86" spans="1:65" s="2" customFormat="1" ht="22.9" customHeight="1">
      <c r="A86" s="34"/>
      <c r="B86" s="35"/>
      <c r="C86" s="66" t="s">
        <v>174</v>
      </c>
      <c r="D86" s="34"/>
      <c r="E86" s="34"/>
      <c r="F86" s="34"/>
      <c r="G86" s="34"/>
      <c r="H86" s="34"/>
      <c r="I86" s="34"/>
      <c r="J86" s="122">
        <f>BK86</f>
        <v>0</v>
      </c>
      <c r="K86" s="34"/>
      <c r="L86" s="35"/>
      <c r="M86" s="62"/>
      <c r="N86" s="53"/>
      <c r="O86" s="63"/>
      <c r="P86" s="123">
        <f>P87+P258+P262</f>
        <v>0</v>
      </c>
      <c r="Q86" s="63"/>
      <c r="R86" s="123">
        <f>R87+R258+R262</f>
        <v>60.747800812350015</v>
      </c>
      <c r="S86" s="63"/>
      <c r="T86" s="124">
        <f>T87+T258+T262</f>
        <v>126.48892599999999</v>
      </c>
      <c r="U86" s="34"/>
      <c r="V86" s="34"/>
      <c r="W86" s="34"/>
      <c r="X86" s="34"/>
      <c r="Y86" s="34"/>
      <c r="Z86" s="34"/>
      <c r="AA86" s="34"/>
      <c r="AB86" s="34"/>
      <c r="AC86" s="34"/>
      <c r="AD86" s="34"/>
      <c r="AE86" s="34"/>
      <c r="AT86" s="19" t="s">
        <v>76</v>
      </c>
      <c r="AU86" s="19" t="s">
        <v>152</v>
      </c>
      <c r="BK86" s="125">
        <f>BK87+BK258+BK262</f>
        <v>0</v>
      </c>
    </row>
    <row r="87" spans="1:65" s="12" customFormat="1" ht="25.9" customHeight="1">
      <c r="B87" s="126"/>
      <c r="D87" s="127" t="s">
        <v>76</v>
      </c>
      <c r="E87" s="128" t="s">
        <v>175</v>
      </c>
      <c r="F87" s="128" t="s">
        <v>176</v>
      </c>
      <c r="I87" s="129"/>
      <c r="J87" s="130">
        <f>BK87</f>
        <v>0</v>
      </c>
      <c r="L87" s="126"/>
      <c r="M87" s="131"/>
      <c r="N87" s="132"/>
      <c r="O87" s="132"/>
      <c r="P87" s="133">
        <f>P88+P230+P253</f>
        <v>0</v>
      </c>
      <c r="Q87" s="132"/>
      <c r="R87" s="133">
        <f>R88+R230+R253</f>
        <v>60.747800812350015</v>
      </c>
      <c r="S87" s="132"/>
      <c r="T87" s="134">
        <f>T88+T230+T253</f>
        <v>126.48892599999999</v>
      </c>
      <c r="AR87" s="127" t="s">
        <v>85</v>
      </c>
      <c r="AT87" s="135" t="s">
        <v>76</v>
      </c>
      <c r="AU87" s="135" t="s">
        <v>77</v>
      </c>
      <c r="AY87" s="127" t="s">
        <v>177</v>
      </c>
      <c r="BK87" s="136">
        <f>BK88+BK230+BK253</f>
        <v>0</v>
      </c>
    </row>
    <row r="88" spans="1:65" s="12" customFormat="1" ht="22.9" customHeight="1">
      <c r="B88" s="126"/>
      <c r="D88" s="127" t="s">
        <v>76</v>
      </c>
      <c r="E88" s="137" t="s">
        <v>252</v>
      </c>
      <c r="F88" s="137" t="s">
        <v>329</v>
      </c>
      <c r="I88" s="129"/>
      <c r="J88" s="138">
        <f>BK88</f>
        <v>0</v>
      </c>
      <c r="L88" s="126"/>
      <c r="M88" s="131"/>
      <c r="N88" s="132"/>
      <c r="O88" s="132"/>
      <c r="P88" s="133">
        <f>SUM(P89:P229)</f>
        <v>0</v>
      </c>
      <c r="Q88" s="132"/>
      <c r="R88" s="133">
        <f>SUM(R89:R229)</f>
        <v>60.747800812350015</v>
      </c>
      <c r="S88" s="132"/>
      <c r="T88" s="134">
        <f>SUM(T89:T229)</f>
        <v>126.48892599999999</v>
      </c>
      <c r="AR88" s="127" t="s">
        <v>85</v>
      </c>
      <c r="AT88" s="135" t="s">
        <v>76</v>
      </c>
      <c r="AU88" s="135" t="s">
        <v>85</v>
      </c>
      <c r="AY88" s="127" t="s">
        <v>177</v>
      </c>
      <c r="BK88" s="136">
        <f>SUM(BK89:BK229)</f>
        <v>0</v>
      </c>
    </row>
    <row r="89" spans="1:65" s="2" customFormat="1" ht="24.2" customHeight="1">
      <c r="A89" s="34"/>
      <c r="B89" s="139"/>
      <c r="C89" s="140" t="s">
        <v>85</v>
      </c>
      <c r="D89" s="140" t="s">
        <v>180</v>
      </c>
      <c r="E89" s="141" t="s">
        <v>330</v>
      </c>
      <c r="F89" s="142" t="s">
        <v>331</v>
      </c>
      <c r="G89" s="143" t="s">
        <v>332</v>
      </c>
      <c r="H89" s="144">
        <v>969.6</v>
      </c>
      <c r="I89" s="145"/>
      <c r="J89" s="146">
        <f>ROUND(I89*H89,2)</f>
        <v>0</v>
      </c>
      <c r="K89" s="142" t="s">
        <v>184</v>
      </c>
      <c r="L89" s="35"/>
      <c r="M89" s="147" t="s">
        <v>3</v>
      </c>
      <c r="N89" s="148" t="s">
        <v>48</v>
      </c>
      <c r="O89" s="55"/>
      <c r="P89" s="149">
        <f>O89*H89</f>
        <v>0</v>
      </c>
      <c r="Q89" s="149">
        <v>2.1000000000000001E-4</v>
      </c>
      <c r="R89" s="149">
        <f>Q89*H89</f>
        <v>0.20361600000000002</v>
      </c>
      <c r="S89" s="149">
        <v>0</v>
      </c>
      <c r="T89" s="150">
        <f>S89*H89</f>
        <v>0</v>
      </c>
      <c r="U89" s="34"/>
      <c r="V89" s="34"/>
      <c r="W89" s="34"/>
      <c r="X89" s="34"/>
      <c r="Y89" s="34"/>
      <c r="Z89" s="34"/>
      <c r="AA89" s="34"/>
      <c r="AB89" s="34"/>
      <c r="AC89" s="34"/>
      <c r="AD89" s="34"/>
      <c r="AE89" s="34"/>
      <c r="AR89" s="151" t="s">
        <v>185</v>
      </c>
      <c r="AT89" s="151" t="s">
        <v>180</v>
      </c>
      <c r="AU89" s="151" t="s">
        <v>87</v>
      </c>
      <c r="AY89" s="19" t="s">
        <v>177</v>
      </c>
      <c r="BE89" s="152">
        <f>IF(N89="základní",J89,0)</f>
        <v>0</v>
      </c>
      <c r="BF89" s="152">
        <f>IF(N89="snížená",J89,0)</f>
        <v>0</v>
      </c>
      <c r="BG89" s="152">
        <f>IF(N89="zákl. přenesená",J89,0)</f>
        <v>0</v>
      </c>
      <c r="BH89" s="152">
        <f>IF(N89="sníž. přenesená",J89,0)</f>
        <v>0</v>
      </c>
      <c r="BI89" s="152">
        <f>IF(N89="nulová",J89,0)</f>
        <v>0</v>
      </c>
      <c r="BJ89" s="19" t="s">
        <v>85</v>
      </c>
      <c r="BK89" s="152">
        <f>ROUND(I89*H89,2)</f>
        <v>0</v>
      </c>
      <c r="BL89" s="19" t="s">
        <v>185</v>
      </c>
      <c r="BM89" s="151" t="s">
        <v>333</v>
      </c>
    </row>
    <row r="90" spans="1:65" s="2" customFormat="1">
      <c r="A90" s="34"/>
      <c r="B90" s="35"/>
      <c r="C90" s="34"/>
      <c r="D90" s="153" t="s">
        <v>187</v>
      </c>
      <c r="E90" s="34"/>
      <c r="F90" s="154" t="s">
        <v>334</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187</v>
      </c>
      <c r="AU90" s="19" t="s">
        <v>87</v>
      </c>
    </row>
    <row r="91" spans="1:65" s="2" customFormat="1">
      <c r="A91" s="34"/>
      <c r="B91" s="35"/>
      <c r="C91" s="34"/>
      <c r="D91" s="158" t="s">
        <v>189</v>
      </c>
      <c r="E91" s="34"/>
      <c r="F91" s="159" t="s">
        <v>335</v>
      </c>
      <c r="G91" s="34"/>
      <c r="H91" s="34"/>
      <c r="I91" s="155"/>
      <c r="J91" s="34"/>
      <c r="K91" s="34"/>
      <c r="L91" s="35"/>
      <c r="M91" s="156"/>
      <c r="N91" s="157"/>
      <c r="O91" s="55"/>
      <c r="P91" s="55"/>
      <c r="Q91" s="55"/>
      <c r="R91" s="55"/>
      <c r="S91" s="55"/>
      <c r="T91" s="56"/>
      <c r="U91" s="34"/>
      <c r="V91" s="34"/>
      <c r="W91" s="34"/>
      <c r="X91" s="34"/>
      <c r="Y91" s="34"/>
      <c r="Z91" s="34"/>
      <c r="AA91" s="34"/>
      <c r="AB91" s="34"/>
      <c r="AC91" s="34"/>
      <c r="AD91" s="34"/>
      <c r="AE91" s="34"/>
      <c r="AT91" s="19" t="s">
        <v>189</v>
      </c>
      <c r="AU91" s="19" t="s">
        <v>87</v>
      </c>
    </row>
    <row r="92" spans="1:65" s="2" customFormat="1" ht="48.75">
      <c r="A92" s="34"/>
      <c r="B92" s="35"/>
      <c r="C92" s="34"/>
      <c r="D92" s="153" t="s">
        <v>191</v>
      </c>
      <c r="E92" s="34"/>
      <c r="F92" s="160" t="s">
        <v>336</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191</v>
      </c>
      <c r="AU92" s="19" t="s">
        <v>87</v>
      </c>
    </row>
    <row r="93" spans="1:65" s="13" customFormat="1">
      <c r="B93" s="161"/>
      <c r="D93" s="153" t="s">
        <v>193</v>
      </c>
      <c r="E93" s="162" t="s">
        <v>3</v>
      </c>
      <c r="F93" s="163" t="s">
        <v>337</v>
      </c>
      <c r="H93" s="164">
        <v>312</v>
      </c>
      <c r="I93" s="165"/>
      <c r="L93" s="161"/>
      <c r="M93" s="166"/>
      <c r="N93" s="167"/>
      <c r="O93" s="167"/>
      <c r="P93" s="167"/>
      <c r="Q93" s="167"/>
      <c r="R93" s="167"/>
      <c r="S93" s="167"/>
      <c r="T93" s="168"/>
      <c r="AT93" s="162" t="s">
        <v>193</v>
      </c>
      <c r="AU93" s="162" t="s">
        <v>87</v>
      </c>
      <c r="AV93" s="13" t="s">
        <v>87</v>
      </c>
      <c r="AW93" s="13" t="s">
        <v>36</v>
      </c>
      <c r="AX93" s="13" t="s">
        <v>77</v>
      </c>
      <c r="AY93" s="162" t="s">
        <v>177</v>
      </c>
    </row>
    <row r="94" spans="1:65" s="13" customFormat="1">
      <c r="B94" s="161"/>
      <c r="D94" s="153" t="s">
        <v>193</v>
      </c>
      <c r="E94" s="162" t="s">
        <v>3</v>
      </c>
      <c r="F94" s="163" t="s">
        <v>338</v>
      </c>
      <c r="H94" s="164">
        <v>657.6</v>
      </c>
      <c r="I94" s="165"/>
      <c r="L94" s="161"/>
      <c r="M94" s="166"/>
      <c r="N94" s="167"/>
      <c r="O94" s="167"/>
      <c r="P94" s="167"/>
      <c r="Q94" s="167"/>
      <c r="R94" s="167"/>
      <c r="S94" s="167"/>
      <c r="T94" s="168"/>
      <c r="AT94" s="162" t="s">
        <v>193</v>
      </c>
      <c r="AU94" s="162" t="s">
        <v>87</v>
      </c>
      <c r="AV94" s="13" t="s">
        <v>87</v>
      </c>
      <c r="AW94" s="13" t="s">
        <v>36</v>
      </c>
      <c r="AX94" s="13" t="s">
        <v>77</v>
      </c>
      <c r="AY94" s="162" t="s">
        <v>177</v>
      </c>
    </row>
    <row r="95" spans="1:65" s="16" customFormat="1">
      <c r="B95" s="184"/>
      <c r="D95" s="153" t="s">
        <v>193</v>
      </c>
      <c r="E95" s="185" t="s">
        <v>3</v>
      </c>
      <c r="F95" s="186" t="s">
        <v>201</v>
      </c>
      <c r="H95" s="187">
        <v>969.6</v>
      </c>
      <c r="I95" s="188"/>
      <c r="L95" s="184"/>
      <c r="M95" s="189"/>
      <c r="N95" s="190"/>
      <c r="O95" s="190"/>
      <c r="P95" s="190"/>
      <c r="Q95" s="190"/>
      <c r="R95" s="190"/>
      <c r="S95" s="190"/>
      <c r="T95" s="191"/>
      <c r="AT95" s="185" t="s">
        <v>193</v>
      </c>
      <c r="AU95" s="185" t="s">
        <v>87</v>
      </c>
      <c r="AV95" s="16" t="s">
        <v>185</v>
      </c>
      <c r="AW95" s="16" t="s">
        <v>36</v>
      </c>
      <c r="AX95" s="16" t="s">
        <v>85</v>
      </c>
      <c r="AY95" s="185" t="s">
        <v>177</v>
      </c>
    </row>
    <row r="96" spans="1:65" s="2" customFormat="1" ht="16.5" customHeight="1">
      <c r="A96" s="34"/>
      <c r="B96" s="139"/>
      <c r="C96" s="140" t="s">
        <v>87</v>
      </c>
      <c r="D96" s="140" t="s">
        <v>180</v>
      </c>
      <c r="E96" s="141" t="s">
        <v>339</v>
      </c>
      <c r="F96" s="142" t="s">
        <v>340</v>
      </c>
      <c r="G96" s="143" t="s">
        <v>332</v>
      </c>
      <c r="H96" s="144">
        <v>969.6</v>
      </c>
      <c r="I96" s="145"/>
      <c r="J96" s="146">
        <f>ROUND(I96*H96,2)</f>
        <v>0</v>
      </c>
      <c r="K96" s="142" t="s">
        <v>184</v>
      </c>
      <c r="L96" s="35"/>
      <c r="M96" s="147" t="s">
        <v>3</v>
      </c>
      <c r="N96" s="148" t="s">
        <v>48</v>
      </c>
      <c r="O96" s="55"/>
      <c r="P96" s="149">
        <f>O96*H96</f>
        <v>0</v>
      </c>
      <c r="Q96" s="149">
        <v>3.4999999999999997E-5</v>
      </c>
      <c r="R96" s="149">
        <f>Q96*H96</f>
        <v>3.3936000000000001E-2</v>
      </c>
      <c r="S96" s="149">
        <v>0</v>
      </c>
      <c r="T96" s="150">
        <f>S96*H96</f>
        <v>0</v>
      </c>
      <c r="U96" s="34"/>
      <c r="V96" s="34"/>
      <c r="W96" s="34"/>
      <c r="X96" s="34"/>
      <c r="Y96" s="34"/>
      <c r="Z96" s="34"/>
      <c r="AA96" s="34"/>
      <c r="AB96" s="34"/>
      <c r="AC96" s="34"/>
      <c r="AD96" s="34"/>
      <c r="AE96" s="34"/>
      <c r="AR96" s="151" t="s">
        <v>185</v>
      </c>
      <c r="AT96" s="151" t="s">
        <v>180</v>
      </c>
      <c r="AU96" s="151" t="s">
        <v>87</v>
      </c>
      <c r="AY96" s="19" t="s">
        <v>177</v>
      </c>
      <c r="BE96" s="152">
        <f>IF(N96="základní",J96,0)</f>
        <v>0</v>
      </c>
      <c r="BF96" s="152">
        <f>IF(N96="snížená",J96,0)</f>
        <v>0</v>
      </c>
      <c r="BG96" s="152">
        <f>IF(N96="zákl. přenesená",J96,0)</f>
        <v>0</v>
      </c>
      <c r="BH96" s="152">
        <f>IF(N96="sníž. přenesená",J96,0)</f>
        <v>0</v>
      </c>
      <c r="BI96" s="152">
        <f>IF(N96="nulová",J96,0)</f>
        <v>0</v>
      </c>
      <c r="BJ96" s="19" t="s">
        <v>85</v>
      </c>
      <c r="BK96" s="152">
        <f>ROUND(I96*H96,2)</f>
        <v>0</v>
      </c>
      <c r="BL96" s="19" t="s">
        <v>185</v>
      </c>
      <c r="BM96" s="151" t="s">
        <v>341</v>
      </c>
    </row>
    <row r="97" spans="1:65" s="2" customFormat="1">
      <c r="A97" s="34"/>
      <c r="B97" s="35"/>
      <c r="C97" s="34"/>
      <c r="D97" s="153" t="s">
        <v>187</v>
      </c>
      <c r="E97" s="34"/>
      <c r="F97" s="154" t="s">
        <v>342</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187</v>
      </c>
      <c r="AU97" s="19" t="s">
        <v>87</v>
      </c>
    </row>
    <row r="98" spans="1:65" s="2" customFormat="1">
      <c r="A98" s="34"/>
      <c r="B98" s="35"/>
      <c r="C98" s="34"/>
      <c r="D98" s="158" t="s">
        <v>189</v>
      </c>
      <c r="E98" s="34"/>
      <c r="F98" s="159" t="s">
        <v>343</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189</v>
      </c>
      <c r="AU98" s="19" t="s">
        <v>87</v>
      </c>
    </row>
    <row r="99" spans="1:65" s="2" customFormat="1" ht="165.75">
      <c r="A99" s="34"/>
      <c r="B99" s="35"/>
      <c r="C99" s="34"/>
      <c r="D99" s="153" t="s">
        <v>191</v>
      </c>
      <c r="E99" s="34"/>
      <c r="F99" s="160" t="s">
        <v>344</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191</v>
      </c>
      <c r="AU99" s="19" t="s">
        <v>87</v>
      </c>
    </row>
    <row r="100" spans="1:65" s="2" customFormat="1" ht="16.5" customHeight="1">
      <c r="A100" s="34"/>
      <c r="B100" s="139"/>
      <c r="C100" s="140" t="s">
        <v>198</v>
      </c>
      <c r="D100" s="140" t="s">
        <v>180</v>
      </c>
      <c r="E100" s="141" t="s">
        <v>345</v>
      </c>
      <c r="F100" s="142" t="s">
        <v>346</v>
      </c>
      <c r="G100" s="143" t="s">
        <v>332</v>
      </c>
      <c r="H100" s="144">
        <v>158.916</v>
      </c>
      <c r="I100" s="145"/>
      <c r="J100" s="146">
        <f>ROUND(I100*H100,2)</f>
        <v>0</v>
      </c>
      <c r="K100" s="142" t="s">
        <v>184</v>
      </c>
      <c r="L100" s="35"/>
      <c r="M100" s="147" t="s">
        <v>3</v>
      </c>
      <c r="N100" s="148" t="s">
        <v>48</v>
      </c>
      <c r="O100" s="55"/>
      <c r="P100" s="149">
        <f>O100*H100</f>
        <v>0</v>
      </c>
      <c r="Q100" s="149">
        <v>0</v>
      </c>
      <c r="R100" s="149">
        <f>Q100*H100</f>
        <v>0</v>
      </c>
      <c r="S100" s="149">
        <v>6.6000000000000003E-2</v>
      </c>
      <c r="T100" s="150">
        <f>S100*H100</f>
        <v>10.488456000000001</v>
      </c>
      <c r="U100" s="34"/>
      <c r="V100" s="34"/>
      <c r="W100" s="34"/>
      <c r="X100" s="34"/>
      <c r="Y100" s="34"/>
      <c r="Z100" s="34"/>
      <c r="AA100" s="34"/>
      <c r="AB100" s="34"/>
      <c r="AC100" s="34"/>
      <c r="AD100" s="34"/>
      <c r="AE100" s="34"/>
      <c r="AR100" s="151" t="s">
        <v>185</v>
      </c>
      <c r="AT100" s="151" t="s">
        <v>180</v>
      </c>
      <c r="AU100" s="151" t="s">
        <v>87</v>
      </c>
      <c r="AY100" s="19" t="s">
        <v>177</v>
      </c>
      <c r="BE100" s="152">
        <f>IF(N100="základní",J100,0)</f>
        <v>0</v>
      </c>
      <c r="BF100" s="152">
        <f>IF(N100="snížená",J100,0)</f>
        <v>0</v>
      </c>
      <c r="BG100" s="152">
        <f>IF(N100="zákl. přenesená",J100,0)</f>
        <v>0</v>
      </c>
      <c r="BH100" s="152">
        <f>IF(N100="sníž. přenesená",J100,0)</f>
        <v>0</v>
      </c>
      <c r="BI100" s="152">
        <f>IF(N100="nulová",J100,0)</f>
        <v>0</v>
      </c>
      <c r="BJ100" s="19" t="s">
        <v>85</v>
      </c>
      <c r="BK100" s="152">
        <f>ROUND(I100*H100,2)</f>
        <v>0</v>
      </c>
      <c r="BL100" s="19" t="s">
        <v>185</v>
      </c>
      <c r="BM100" s="151" t="s">
        <v>347</v>
      </c>
    </row>
    <row r="101" spans="1:65" s="2" customFormat="1">
      <c r="A101" s="34"/>
      <c r="B101" s="35"/>
      <c r="C101" s="34"/>
      <c r="D101" s="153" t="s">
        <v>187</v>
      </c>
      <c r="E101" s="34"/>
      <c r="F101" s="154" t="s">
        <v>348</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187</v>
      </c>
      <c r="AU101" s="19" t="s">
        <v>87</v>
      </c>
    </row>
    <row r="102" spans="1:65" s="2" customFormat="1">
      <c r="A102" s="34"/>
      <c r="B102" s="35"/>
      <c r="C102" s="34"/>
      <c r="D102" s="158" t="s">
        <v>189</v>
      </c>
      <c r="E102" s="34"/>
      <c r="F102" s="159" t="s">
        <v>349</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189</v>
      </c>
      <c r="AU102" s="19" t="s">
        <v>87</v>
      </c>
    </row>
    <row r="103" spans="1:65" s="2" customFormat="1" ht="39">
      <c r="A103" s="34"/>
      <c r="B103" s="35"/>
      <c r="C103" s="34"/>
      <c r="D103" s="153" t="s">
        <v>191</v>
      </c>
      <c r="E103" s="34"/>
      <c r="F103" s="160" t="s">
        <v>350</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191</v>
      </c>
      <c r="AU103" s="19" t="s">
        <v>87</v>
      </c>
    </row>
    <row r="104" spans="1:65" s="13" customFormat="1">
      <c r="B104" s="161"/>
      <c r="D104" s="153" t="s">
        <v>193</v>
      </c>
      <c r="E104" s="162" t="s">
        <v>3</v>
      </c>
      <c r="F104" s="163" t="s">
        <v>351</v>
      </c>
      <c r="H104" s="164">
        <v>158.916</v>
      </c>
      <c r="I104" s="165"/>
      <c r="L104" s="161"/>
      <c r="M104" s="166"/>
      <c r="N104" s="167"/>
      <c r="O104" s="167"/>
      <c r="P104" s="167"/>
      <c r="Q104" s="167"/>
      <c r="R104" s="167"/>
      <c r="S104" s="167"/>
      <c r="T104" s="168"/>
      <c r="AT104" s="162" t="s">
        <v>193</v>
      </c>
      <c r="AU104" s="162" t="s">
        <v>87</v>
      </c>
      <c r="AV104" s="13" t="s">
        <v>87</v>
      </c>
      <c r="AW104" s="13" t="s">
        <v>36</v>
      </c>
      <c r="AX104" s="13" t="s">
        <v>85</v>
      </c>
      <c r="AY104" s="162" t="s">
        <v>177</v>
      </c>
    </row>
    <row r="105" spans="1:65" s="2" customFormat="1" ht="16.5" customHeight="1">
      <c r="A105" s="34"/>
      <c r="B105" s="139"/>
      <c r="C105" s="140" t="s">
        <v>185</v>
      </c>
      <c r="D105" s="140" t="s">
        <v>180</v>
      </c>
      <c r="E105" s="141" t="s">
        <v>352</v>
      </c>
      <c r="F105" s="142" t="s">
        <v>353</v>
      </c>
      <c r="G105" s="143" t="s">
        <v>332</v>
      </c>
      <c r="H105" s="144">
        <v>255.24199999999999</v>
      </c>
      <c r="I105" s="145"/>
      <c r="J105" s="146">
        <f>ROUND(I105*H105,2)</f>
        <v>0</v>
      </c>
      <c r="K105" s="142" t="s">
        <v>184</v>
      </c>
      <c r="L105" s="35"/>
      <c r="M105" s="147" t="s">
        <v>3</v>
      </c>
      <c r="N105" s="148" t="s">
        <v>48</v>
      </c>
      <c r="O105" s="55"/>
      <c r="P105" s="149">
        <f>O105*H105</f>
        <v>0</v>
      </c>
      <c r="Q105" s="149">
        <v>0</v>
      </c>
      <c r="R105" s="149">
        <f>Q105*H105</f>
        <v>0</v>
      </c>
      <c r="S105" s="149">
        <v>0.11</v>
      </c>
      <c r="T105" s="150">
        <f>S105*H105</f>
        <v>28.076619999999998</v>
      </c>
      <c r="U105" s="34"/>
      <c r="V105" s="34"/>
      <c r="W105" s="34"/>
      <c r="X105" s="34"/>
      <c r="Y105" s="34"/>
      <c r="Z105" s="34"/>
      <c r="AA105" s="34"/>
      <c r="AB105" s="34"/>
      <c r="AC105" s="34"/>
      <c r="AD105" s="34"/>
      <c r="AE105" s="34"/>
      <c r="AR105" s="151" t="s">
        <v>185</v>
      </c>
      <c r="AT105" s="151" t="s">
        <v>180</v>
      </c>
      <c r="AU105" s="151" t="s">
        <v>87</v>
      </c>
      <c r="AY105" s="19" t="s">
        <v>177</v>
      </c>
      <c r="BE105" s="152">
        <f>IF(N105="základní",J105,0)</f>
        <v>0</v>
      </c>
      <c r="BF105" s="152">
        <f>IF(N105="snížená",J105,0)</f>
        <v>0</v>
      </c>
      <c r="BG105" s="152">
        <f>IF(N105="zákl. přenesená",J105,0)</f>
        <v>0</v>
      </c>
      <c r="BH105" s="152">
        <f>IF(N105="sníž. přenesená",J105,0)</f>
        <v>0</v>
      </c>
      <c r="BI105" s="152">
        <f>IF(N105="nulová",J105,0)</f>
        <v>0</v>
      </c>
      <c r="BJ105" s="19" t="s">
        <v>85</v>
      </c>
      <c r="BK105" s="152">
        <f>ROUND(I105*H105,2)</f>
        <v>0</v>
      </c>
      <c r="BL105" s="19" t="s">
        <v>185</v>
      </c>
      <c r="BM105" s="151" t="s">
        <v>354</v>
      </c>
    </row>
    <row r="106" spans="1:65" s="2" customFormat="1">
      <c r="A106" s="34"/>
      <c r="B106" s="35"/>
      <c r="C106" s="34"/>
      <c r="D106" s="153" t="s">
        <v>187</v>
      </c>
      <c r="E106" s="34"/>
      <c r="F106" s="154" t="s">
        <v>355</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187</v>
      </c>
      <c r="AU106" s="19" t="s">
        <v>87</v>
      </c>
    </row>
    <row r="107" spans="1:65" s="2" customFormat="1">
      <c r="A107" s="34"/>
      <c r="B107" s="35"/>
      <c r="C107" s="34"/>
      <c r="D107" s="158" t="s">
        <v>189</v>
      </c>
      <c r="E107" s="34"/>
      <c r="F107" s="159" t="s">
        <v>356</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189</v>
      </c>
      <c r="AU107" s="19" t="s">
        <v>87</v>
      </c>
    </row>
    <row r="108" spans="1:65" s="2" customFormat="1" ht="39">
      <c r="A108" s="34"/>
      <c r="B108" s="35"/>
      <c r="C108" s="34"/>
      <c r="D108" s="153" t="s">
        <v>191</v>
      </c>
      <c r="E108" s="34"/>
      <c r="F108" s="160" t="s">
        <v>350</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191</v>
      </c>
      <c r="AU108" s="19" t="s">
        <v>87</v>
      </c>
    </row>
    <row r="109" spans="1:65" s="2" customFormat="1" ht="16.5" customHeight="1">
      <c r="A109" s="34"/>
      <c r="B109" s="139"/>
      <c r="C109" s="140" t="s">
        <v>200</v>
      </c>
      <c r="D109" s="140" t="s">
        <v>180</v>
      </c>
      <c r="E109" s="141" t="s">
        <v>357</v>
      </c>
      <c r="F109" s="142" t="s">
        <v>358</v>
      </c>
      <c r="G109" s="143" t="s">
        <v>332</v>
      </c>
      <c r="H109" s="144">
        <v>133.79599999999999</v>
      </c>
      <c r="I109" s="145"/>
      <c r="J109" s="146">
        <f>ROUND(I109*H109,2)</f>
        <v>0</v>
      </c>
      <c r="K109" s="142" t="s">
        <v>184</v>
      </c>
      <c r="L109" s="35"/>
      <c r="M109" s="147" t="s">
        <v>3</v>
      </c>
      <c r="N109" s="148" t="s">
        <v>48</v>
      </c>
      <c r="O109" s="55"/>
      <c r="P109" s="149">
        <f>O109*H109</f>
        <v>0</v>
      </c>
      <c r="Q109" s="149">
        <v>0</v>
      </c>
      <c r="R109" s="149">
        <f>Q109*H109</f>
        <v>0</v>
      </c>
      <c r="S109" s="149">
        <v>6.6000000000000003E-2</v>
      </c>
      <c r="T109" s="150">
        <f>S109*H109</f>
        <v>8.8305360000000004</v>
      </c>
      <c r="U109" s="34"/>
      <c r="V109" s="34"/>
      <c r="W109" s="34"/>
      <c r="X109" s="34"/>
      <c r="Y109" s="34"/>
      <c r="Z109" s="34"/>
      <c r="AA109" s="34"/>
      <c r="AB109" s="34"/>
      <c r="AC109" s="34"/>
      <c r="AD109" s="34"/>
      <c r="AE109" s="34"/>
      <c r="AR109" s="151" t="s">
        <v>185</v>
      </c>
      <c r="AT109" s="151" t="s">
        <v>180</v>
      </c>
      <c r="AU109" s="151" t="s">
        <v>87</v>
      </c>
      <c r="AY109" s="19" t="s">
        <v>177</v>
      </c>
      <c r="BE109" s="152">
        <f>IF(N109="základní",J109,0)</f>
        <v>0</v>
      </c>
      <c r="BF109" s="152">
        <f>IF(N109="snížená",J109,0)</f>
        <v>0</v>
      </c>
      <c r="BG109" s="152">
        <f>IF(N109="zákl. přenesená",J109,0)</f>
        <v>0</v>
      </c>
      <c r="BH109" s="152">
        <f>IF(N109="sníž. přenesená",J109,0)</f>
        <v>0</v>
      </c>
      <c r="BI109" s="152">
        <f>IF(N109="nulová",J109,0)</f>
        <v>0</v>
      </c>
      <c r="BJ109" s="19" t="s">
        <v>85</v>
      </c>
      <c r="BK109" s="152">
        <f>ROUND(I109*H109,2)</f>
        <v>0</v>
      </c>
      <c r="BL109" s="19" t="s">
        <v>185</v>
      </c>
      <c r="BM109" s="151" t="s">
        <v>359</v>
      </c>
    </row>
    <row r="110" spans="1:65" s="2" customFormat="1">
      <c r="A110" s="34"/>
      <c r="B110" s="35"/>
      <c r="C110" s="34"/>
      <c r="D110" s="153" t="s">
        <v>187</v>
      </c>
      <c r="E110" s="34"/>
      <c r="F110" s="154" t="s">
        <v>360</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187</v>
      </c>
      <c r="AU110" s="19" t="s">
        <v>87</v>
      </c>
    </row>
    <row r="111" spans="1:65" s="2" customFormat="1">
      <c r="A111" s="34"/>
      <c r="B111" s="35"/>
      <c r="C111" s="34"/>
      <c r="D111" s="158" t="s">
        <v>189</v>
      </c>
      <c r="E111" s="34"/>
      <c r="F111" s="159" t="s">
        <v>361</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189</v>
      </c>
      <c r="AU111" s="19" t="s">
        <v>87</v>
      </c>
    </row>
    <row r="112" spans="1:65" s="2" customFormat="1" ht="39">
      <c r="A112" s="34"/>
      <c r="B112" s="35"/>
      <c r="C112" s="34"/>
      <c r="D112" s="153" t="s">
        <v>191</v>
      </c>
      <c r="E112" s="34"/>
      <c r="F112" s="160" t="s">
        <v>350</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191</v>
      </c>
      <c r="AU112" s="19" t="s">
        <v>87</v>
      </c>
    </row>
    <row r="113" spans="1:65" s="2" customFormat="1" ht="16.5" customHeight="1">
      <c r="A113" s="34"/>
      <c r="B113" s="139"/>
      <c r="C113" s="140" t="s">
        <v>233</v>
      </c>
      <c r="D113" s="140" t="s">
        <v>180</v>
      </c>
      <c r="E113" s="141" t="s">
        <v>362</v>
      </c>
      <c r="F113" s="142" t="s">
        <v>363</v>
      </c>
      <c r="G113" s="143" t="s">
        <v>332</v>
      </c>
      <c r="H113" s="144">
        <v>222.99299999999999</v>
      </c>
      <c r="I113" s="145"/>
      <c r="J113" s="146">
        <f>ROUND(I113*H113,2)</f>
        <v>0</v>
      </c>
      <c r="K113" s="142" t="s">
        <v>184</v>
      </c>
      <c r="L113" s="35"/>
      <c r="M113" s="147" t="s">
        <v>3</v>
      </c>
      <c r="N113" s="148" t="s">
        <v>48</v>
      </c>
      <c r="O113" s="55"/>
      <c r="P113" s="149">
        <f>O113*H113</f>
        <v>0</v>
      </c>
      <c r="Q113" s="149">
        <v>0</v>
      </c>
      <c r="R113" s="149">
        <f>Q113*H113</f>
        <v>0</v>
      </c>
      <c r="S113" s="149">
        <v>0.11</v>
      </c>
      <c r="T113" s="150">
        <f>S113*H113</f>
        <v>24.529229999999998</v>
      </c>
      <c r="U113" s="34"/>
      <c r="V113" s="34"/>
      <c r="W113" s="34"/>
      <c r="X113" s="34"/>
      <c r="Y113" s="34"/>
      <c r="Z113" s="34"/>
      <c r="AA113" s="34"/>
      <c r="AB113" s="34"/>
      <c r="AC113" s="34"/>
      <c r="AD113" s="34"/>
      <c r="AE113" s="34"/>
      <c r="AR113" s="151" t="s">
        <v>185</v>
      </c>
      <c r="AT113" s="151" t="s">
        <v>180</v>
      </c>
      <c r="AU113" s="151" t="s">
        <v>87</v>
      </c>
      <c r="AY113" s="19" t="s">
        <v>177</v>
      </c>
      <c r="BE113" s="152">
        <f>IF(N113="základní",J113,0)</f>
        <v>0</v>
      </c>
      <c r="BF113" s="152">
        <f>IF(N113="snížená",J113,0)</f>
        <v>0</v>
      </c>
      <c r="BG113" s="152">
        <f>IF(N113="zákl. přenesená",J113,0)</f>
        <v>0</v>
      </c>
      <c r="BH113" s="152">
        <f>IF(N113="sníž. přenesená",J113,0)</f>
        <v>0</v>
      </c>
      <c r="BI113" s="152">
        <f>IF(N113="nulová",J113,0)</f>
        <v>0</v>
      </c>
      <c r="BJ113" s="19" t="s">
        <v>85</v>
      </c>
      <c r="BK113" s="152">
        <f>ROUND(I113*H113,2)</f>
        <v>0</v>
      </c>
      <c r="BL113" s="19" t="s">
        <v>185</v>
      </c>
      <c r="BM113" s="151" t="s">
        <v>364</v>
      </c>
    </row>
    <row r="114" spans="1:65" s="2" customFormat="1">
      <c r="A114" s="34"/>
      <c r="B114" s="35"/>
      <c r="C114" s="34"/>
      <c r="D114" s="153" t="s">
        <v>187</v>
      </c>
      <c r="E114" s="34"/>
      <c r="F114" s="154" t="s">
        <v>365</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187</v>
      </c>
      <c r="AU114" s="19" t="s">
        <v>87</v>
      </c>
    </row>
    <row r="115" spans="1:65" s="2" customFormat="1">
      <c r="A115" s="34"/>
      <c r="B115" s="35"/>
      <c r="C115" s="34"/>
      <c r="D115" s="158" t="s">
        <v>189</v>
      </c>
      <c r="E115" s="34"/>
      <c r="F115" s="159" t="s">
        <v>366</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189</v>
      </c>
      <c r="AU115" s="19" t="s">
        <v>87</v>
      </c>
    </row>
    <row r="116" spans="1:65" s="2" customFormat="1" ht="39">
      <c r="A116" s="34"/>
      <c r="B116" s="35"/>
      <c r="C116" s="34"/>
      <c r="D116" s="153" t="s">
        <v>191</v>
      </c>
      <c r="E116" s="34"/>
      <c r="F116" s="160" t="s">
        <v>350</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191</v>
      </c>
      <c r="AU116" s="19" t="s">
        <v>87</v>
      </c>
    </row>
    <row r="117" spans="1:65" s="2" customFormat="1" ht="16.5" customHeight="1">
      <c r="A117" s="34"/>
      <c r="B117" s="139"/>
      <c r="C117" s="140" t="s">
        <v>241</v>
      </c>
      <c r="D117" s="140" t="s">
        <v>180</v>
      </c>
      <c r="E117" s="141" t="s">
        <v>367</v>
      </c>
      <c r="F117" s="142" t="s">
        <v>368</v>
      </c>
      <c r="G117" s="143" t="s">
        <v>332</v>
      </c>
      <c r="H117" s="144">
        <v>414.15800000000002</v>
      </c>
      <c r="I117" s="145"/>
      <c r="J117" s="146">
        <f>ROUND(I117*H117,2)</f>
        <v>0</v>
      </c>
      <c r="K117" s="142" t="s">
        <v>184</v>
      </c>
      <c r="L117" s="35"/>
      <c r="M117" s="147" t="s">
        <v>3</v>
      </c>
      <c r="N117" s="148" t="s">
        <v>48</v>
      </c>
      <c r="O117" s="55"/>
      <c r="P117" s="149">
        <f>O117*H117</f>
        <v>0</v>
      </c>
      <c r="Q117" s="149">
        <v>0</v>
      </c>
      <c r="R117" s="149">
        <f>Q117*H117</f>
        <v>0</v>
      </c>
      <c r="S117" s="149">
        <v>7.0000000000000007E-2</v>
      </c>
      <c r="T117" s="150">
        <f>S117*H117</f>
        <v>28.991060000000004</v>
      </c>
      <c r="U117" s="34"/>
      <c r="V117" s="34"/>
      <c r="W117" s="34"/>
      <c r="X117" s="34"/>
      <c r="Y117" s="34"/>
      <c r="Z117" s="34"/>
      <c r="AA117" s="34"/>
      <c r="AB117" s="34"/>
      <c r="AC117" s="34"/>
      <c r="AD117" s="34"/>
      <c r="AE117" s="34"/>
      <c r="AR117" s="151" t="s">
        <v>185</v>
      </c>
      <c r="AT117" s="151" t="s">
        <v>180</v>
      </c>
      <c r="AU117" s="151" t="s">
        <v>87</v>
      </c>
      <c r="AY117" s="19" t="s">
        <v>177</v>
      </c>
      <c r="BE117" s="152">
        <f>IF(N117="základní",J117,0)</f>
        <v>0</v>
      </c>
      <c r="BF117" s="152">
        <f>IF(N117="snížená",J117,0)</f>
        <v>0</v>
      </c>
      <c r="BG117" s="152">
        <f>IF(N117="zákl. přenesená",J117,0)</f>
        <v>0</v>
      </c>
      <c r="BH117" s="152">
        <f>IF(N117="sníž. přenesená",J117,0)</f>
        <v>0</v>
      </c>
      <c r="BI117" s="152">
        <f>IF(N117="nulová",J117,0)</f>
        <v>0</v>
      </c>
      <c r="BJ117" s="19" t="s">
        <v>85</v>
      </c>
      <c r="BK117" s="152">
        <f>ROUND(I117*H117,2)</f>
        <v>0</v>
      </c>
      <c r="BL117" s="19" t="s">
        <v>185</v>
      </c>
      <c r="BM117" s="151" t="s">
        <v>369</v>
      </c>
    </row>
    <row r="118" spans="1:65" s="2" customFormat="1">
      <c r="A118" s="34"/>
      <c r="B118" s="35"/>
      <c r="C118" s="34"/>
      <c r="D118" s="153" t="s">
        <v>187</v>
      </c>
      <c r="E118" s="34"/>
      <c r="F118" s="154" t="s">
        <v>370</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187</v>
      </c>
      <c r="AU118" s="19" t="s">
        <v>87</v>
      </c>
    </row>
    <row r="119" spans="1:65" s="2" customFormat="1">
      <c r="A119" s="34"/>
      <c r="B119" s="35"/>
      <c r="C119" s="34"/>
      <c r="D119" s="158" t="s">
        <v>189</v>
      </c>
      <c r="E119" s="34"/>
      <c r="F119" s="159" t="s">
        <v>371</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189</v>
      </c>
      <c r="AU119" s="19" t="s">
        <v>87</v>
      </c>
    </row>
    <row r="120" spans="1:65" s="2" customFormat="1" ht="58.5">
      <c r="A120" s="34"/>
      <c r="B120" s="35"/>
      <c r="C120" s="34"/>
      <c r="D120" s="153" t="s">
        <v>191</v>
      </c>
      <c r="E120" s="34"/>
      <c r="F120" s="160" t="s">
        <v>372</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191</v>
      </c>
      <c r="AU120" s="19" t="s">
        <v>87</v>
      </c>
    </row>
    <row r="121" spans="1:65" s="2" customFormat="1" ht="16.5" customHeight="1">
      <c r="A121" s="34"/>
      <c r="B121" s="139"/>
      <c r="C121" s="140" t="s">
        <v>248</v>
      </c>
      <c r="D121" s="140" t="s">
        <v>180</v>
      </c>
      <c r="E121" s="141" t="s">
        <v>373</v>
      </c>
      <c r="F121" s="142" t="s">
        <v>374</v>
      </c>
      <c r="G121" s="143" t="s">
        <v>332</v>
      </c>
      <c r="H121" s="144">
        <v>356.78899999999999</v>
      </c>
      <c r="I121" s="145"/>
      <c r="J121" s="146">
        <f>ROUND(I121*H121,2)</f>
        <v>0</v>
      </c>
      <c r="K121" s="142" t="s">
        <v>184</v>
      </c>
      <c r="L121" s="35"/>
      <c r="M121" s="147" t="s">
        <v>3</v>
      </c>
      <c r="N121" s="148" t="s">
        <v>48</v>
      </c>
      <c r="O121" s="55"/>
      <c r="P121" s="149">
        <f>O121*H121</f>
        <v>0</v>
      </c>
      <c r="Q121" s="149">
        <v>0</v>
      </c>
      <c r="R121" s="149">
        <f>Q121*H121</f>
        <v>0</v>
      </c>
      <c r="S121" s="149">
        <v>7.0000000000000007E-2</v>
      </c>
      <c r="T121" s="150">
        <f>S121*H121</f>
        <v>24.97523</v>
      </c>
      <c r="U121" s="34"/>
      <c r="V121" s="34"/>
      <c r="W121" s="34"/>
      <c r="X121" s="34"/>
      <c r="Y121" s="34"/>
      <c r="Z121" s="34"/>
      <c r="AA121" s="34"/>
      <c r="AB121" s="34"/>
      <c r="AC121" s="34"/>
      <c r="AD121" s="34"/>
      <c r="AE121" s="34"/>
      <c r="AR121" s="151" t="s">
        <v>185</v>
      </c>
      <c r="AT121" s="151" t="s">
        <v>180</v>
      </c>
      <c r="AU121" s="151" t="s">
        <v>87</v>
      </c>
      <c r="AY121" s="19" t="s">
        <v>177</v>
      </c>
      <c r="BE121" s="152">
        <f>IF(N121="základní",J121,0)</f>
        <v>0</v>
      </c>
      <c r="BF121" s="152">
        <f>IF(N121="snížená",J121,0)</f>
        <v>0</v>
      </c>
      <c r="BG121" s="152">
        <f>IF(N121="zákl. přenesená",J121,0)</f>
        <v>0</v>
      </c>
      <c r="BH121" s="152">
        <f>IF(N121="sníž. přenesená",J121,0)</f>
        <v>0</v>
      </c>
      <c r="BI121" s="152">
        <f>IF(N121="nulová",J121,0)</f>
        <v>0</v>
      </c>
      <c r="BJ121" s="19" t="s">
        <v>85</v>
      </c>
      <c r="BK121" s="152">
        <f>ROUND(I121*H121,2)</f>
        <v>0</v>
      </c>
      <c r="BL121" s="19" t="s">
        <v>185</v>
      </c>
      <c r="BM121" s="151" t="s">
        <v>375</v>
      </c>
    </row>
    <row r="122" spans="1:65" s="2" customFormat="1">
      <c r="A122" s="34"/>
      <c r="B122" s="35"/>
      <c r="C122" s="34"/>
      <c r="D122" s="153" t="s">
        <v>187</v>
      </c>
      <c r="E122" s="34"/>
      <c r="F122" s="154" t="s">
        <v>376</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187</v>
      </c>
      <c r="AU122" s="19" t="s">
        <v>87</v>
      </c>
    </row>
    <row r="123" spans="1:65" s="2" customFormat="1">
      <c r="A123" s="34"/>
      <c r="B123" s="35"/>
      <c r="C123" s="34"/>
      <c r="D123" s="158" t="s">
        <v>189</v>
      </c>
      <c r="E123" s="34"/>
      <c r="F123" s="159" t="s">
        <v>377</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189</v>
      </c>
      <c r="AU123" s="19" t="s">
        <v>87</v>
      </c>
    </row>
    <row r="124" spans="1:65" s="2" customFormat="1" ht="58.5">
      <c r="A124" s="34"/>
      <c r="B124" s="35"/>
      <c r="C124" s="34"/>
      <c r="D124" s="153" t="s">
        <v>191</v>
      </c>
      <c r="E124" s="34"/>
      <c r="F124" s="160" t="s">
        <v>372</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191</v>
      </c>
      <c r="AU124" s="19" t="s">
        <v>87</v>
      </c>
    </row>
    <row r="125" spans="1:65" s="2" customFormat="1" ht="16.5" customHeight="1">
      <c r="A125" s="34"/>
      <c r="B125" s="139"/>
      <c r="C125" s="140" t="s">
        <v>252</v>
      </c>
      <c r="D125" s="140" t="s">
        <v>180</v>
      </c>
      <c r="E125" s="141" t="s">
        <v>378</v>
      </c>
      <c r="F125" s="142" t="s">
        <v>379</v>
      </c>
      <c r="G125" s="143" t="s">
        <v>332</v>
      </c>
      <c r="H125" s="144">
        <v>414.15800000000002</v>
      </c>
      <c r="I125" s="145"/>
      <c r="J125" s="146">
        <f>ROUND(I125*H125,2)</f>
        <v>0</v>
      </c>
      <c r="K125" s="142" t="s">
        <v>184</v>
      </c>
      <c r="L125" s="35"/>
      <c r="M125" s="147" t="s">
        <v>3</v>
      </c>
      <c r="N125" s="148" t="s">
        <v>48</v>
      </c>
      <c r="O125" s="55"/>
      <c r="P125" s="149">
        <f>O125*H125</f>
        <v>0</v>
      </c>
      <c r="Q125" s="149">
        <v>0</v>
      </c>
      <c r="R125" s="149">
        <f>Q125*H125</f>
        <v>0</v>
      </c>
      <c r="S125" s="149">
        <v>0</v>
      </c>
      <c r="T125" s="150">
        <f>S125*H125</f>
        <v>0</v>
      </c>
      <c r="U125" s="34"/>
      <c r="V125" s="34"/>
      <c r="W125" s="34"/>
      <c r="X125" s="34"/>
      <c r="Y125" s="34"/>
      <c r="Z125" s="34"/>
      <c r="AA125" s="34"/>
      <c r="AB125" s="34"/>
      <c r="AC125" s="34"/>
      <c r="AD125" s="34"/>
      <c r="AE125" s="34"/>
      <c r="AR125" s="151" t="s">
        <v>185</v>
      </c>
      <c r="AT125" s="151" t="s">
        <v>180</v>
      </c>
      <c r="AU125" s="151" t="s">
        <v>87</v>
      </c>
      <c r="AY125" s="19" t="s">
        <v>177</v>
      </c>
      <c r="BE125" s="152">
        <f>IF(N125="základní",J125,0)</f>
        <v>0</v>
      </c>
      <c r="BF125" s="152">
        <f>IF(N125="snížená",J125,0)</f>
        <v>0</v>
      </c>
      <c r="BG125" s="152">
        <f>IF(N125="zákl. přenesená",J125,0)</f>
        <v>0</v>
      </c>
      <c r="BH125" s="152">
        <f>IF(N125="sníž. přenesená",J125,0)</f>
        <v>0</v>
      </c>
      <c r="BI125" s="152">
        <f>IF(N125="nulová",J125,0)</f>
        <v>0</v>
      </c>
      <c r="BJ125" s="19" t="s">
        <v>85</v>
      </c>
      <c r="BK125" s="152">
        <f>ROUND(I125*H125,2)</f>
        <v>0</v>
      </c>
      <c r="BL125" s="19" t="s">
        <v>185</v>
      </c>
      <c r="BM125" s="151" t="s">
        <v>380</v>
      </c>
    </row>
    <row r="126" spans="1:65" s="2" customFormat="1">
      <c r="A126" s="34"/>
      <c r="B126" s="35"/>
      <c r="C126" s="34"/>
      <c r="D126" s="153" t="s">
        <v>187</v>
      </c>
      <c r="E126" s="34"/>
      <c r="F126" s="154" t="s">
        <v>381</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187</v>
      </c>
      <c r="AU126" s="19" t="s">
        <v>87</v>
      </c>
    </row>
    <row r="127" spans="1:65" s="2" customFormat="1">
      <c r="A127" s="34"/>
      <c r="B127" s="35"/>
      <c r="C127" s="34"/>
      <c r="D127" s="158" t="s">
        <v>189</v>
      </c>
      <c r="E127" s="34"/>
      <c r="F127" s="159" t="s">
        <v>382</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189</v>
      </c>
      <c r="AU127" s="19" t="s">
        <v>87</v>
      </c>
    </row>
    <row r="128" spans="1:65" s="2" customFormat="1" ht="58.5">
      <c r="A128" s="34"/>
      <c r="B128" s="35"/>
      <c r="C128" s="34"/>
      <c r="D128" s="153" t="s">
        <v>191</v>
      </c>
      <c r="E128" s="34"/>
      <c r="F128" s="160" t="s">
        <v>383</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191</v>
      </c>
      <c r="AU128" s="19" t="s">
        <v>87</v>
      </c>
    </row>
    <row r="129" spans="1:65" s="13" customFormat="1">
      <c r="B129" s="161"/>
      <c r="D129" s="153" t="s">
        <v>193</v>
      </c>
      <c r="E129" s="162" t="s">
        <v>3</v>
      </c>
      <c r="F129" s="163" t="s">
        <v>384</v>
      </c>
      <c r="H129" s="164">
        <v>414.15800000000002</v>
      </c>
      <c r="I129" s="165"/>
      <c r="L129" s="161"/>
      <c r="M129" s="166"/>
      <c r="N129" s="167"/>
      <c r="O129" s="167"/>
      <c r="P129" s="167"/>
      <c r="Q129" s="167"/>
      <c r="R129" s="167"/>
      <c r="S129" s="167"/>
      <c r="T129" s="168"/>
      <c r="AT129" s="162" t="s">
        <v>193</v>
      </c>
      <c r="AU129" s="162" t="s">
        <v>87</v>
      </c>
      <c r="AV129" s="13" t="s">
        <v>87</v>
      </c>
      <c r="AW129" s="13" t="s">
        <v>36</v>
      </c>
      <c r="AX129" s="13" t="s">
        <v>85</v>
      </c>
      <c r="AY129" s="162" t="s">
        <v>177</v>
      </c>
    </row>
    <row r="130" spans="1:65" s="2" customFormat="1" ht="16.5" customHeight="1">
      <c r="A130" s="34"/>
      <c r="B130" s="139"/>
      <c r="C130" s="140" t="s">
        <v>258</v>
      </c>
      <c r="D130" s="140" t="s">
        <v>180</v>
      </c>
      <c r="E130" s="141" t="s">
        <v>385</v>
      </c>
      <c r="F130" s="142" t="s">
        <v>386</v>
      </c>
      <c r="G130" s="143" t="s">
        <v>332</v>
      </c>
      <c r="H130" s="144">
        <v>356.78899999999999</v>
      </c>
      <c r="I130" s="145"/>
      <c r="J130" s="146">
        <f>ROUND(I130*H130,2)</f>
        <v>0</v>
      </c>
      <c r="K130" s="142" t="s">
        <v>184</v>
      </c>
      <c r="L130" s="35"/>
      <c r="M130" s="147" t="s">
        <v>3</v>
      </c>
      <c r="N130" s="148" t="s">
        <v>48</v>
      </c>
      <c r="O130" s="55"/>
      <c r="P130" s="149">
        <f>O130*H130</f>
        <v>0</v>
      </c>
      <c r="Q130" s="149">
        <v>0</v>
      </c>
      <c r="R130" s="149">
        <f>Q130*H130</f>
        <v>0</v>
      </c>
      <c r="S130" s="149">
        <v>0</v>
      </c>
      <c r="T130" s="150">
        <f>S130*H130</f>
        <v>0</v>
      </c>
      <c r="U130" s="34"/>
      <c r="V130" s="34"/>
      <c r="W130" s="34"/>
      <c r="X130" s="34"/>
      <c r="Y130" s="34"/>
      <c r="Z130" s="34"/>
      <c r="AA130" s="34"/>
      <c r="AB130" s="34"/>
      <c r="AC130" s="34"/>
      <c r="AD130" s="34"/>
      <c r="AE130" s="34"/>
      <c r="AR130" s="151" t="s">
        <v>185</v>
      </c>
      <c r="AT130" s="151" t="s">
        <v>180</v>
      </c>
      <c r="AU130" s="151" t="s">
        <v>87</v>
      </c>
      <c r="AY130" s="19" t="s">
        <v>177</v>
      </c>
      <c r="BE130" s="152">
        <f>IF(N130="základní",J130,0)</f>
        <v>0</v>
      </c>
      <c r="BF130" s="152">
        <f>IF(N130="snížená",J130,0)</f>
        <v>0</v>
      </c>
      <c r="BG130" s="152">
        <f>IF(N130="zákl. přenesená",J130,0)</f>
        <v>0</v>
      </c>
      <c r="BH130" s="152">
        <f>IF(N130="sníž. přenesená",J130,0)</f>
        <v>0</v>
      </c>
      <c r="BI130" s="152">
        <f>IF(N130="nulová",J130,0)</f>
        <v>0</v>
      </c>
      <c r="BJ130" s="19" t="s">
        <v>85</v>
      </c>
      <c r="BK130" s="152">
        <f>ROUND(I130*H130,2)</f>
        <v>0</v>
      </c>
      <c r="BL130" s="19" t="s">
        <v>185</v>
      </c>
      <c r="BM130" s="151" t="s">
        <v>387</v>
      </c>
    </row>
    <row r="131" spans="1:65" s="2" customFormat="1">
      <c r="A131" s="34"/>
      <c r="B131" s="35"/>
      <c r="C131" s="34"/>
      <c r="D131" s="153" t="s">
        <v>187</v>
      </c>
      <c r="E131" s="34"/>
      <c r="F131" s="154" t="s">
        <v>388</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187</v>
      </c>
      <c r="AU131" s="19" t="s">
        <v>87</v>
      </c>
    </row>
    <row r="132" spans="1:65" s="2" customFormat="1">
      <c r="A132" s="34"/>
      <c r="B132" s="35"/>
      <c r="C132" s="34"/>
      <c r="D132" s="158" t="s">
        <v>189</v>
      </c>
      <c r="E132" s="34"/>
      <c r="F132" s="159" t="s">
        <v>389</v>
      </c>
      <c r="G132" s="34"/>
      <c r="H132" s="34"/>
      <c r="I132" s="155"/>
      <c r="J132" s="34"/>
      <c r="K132" s="34"/>
      <c r="L132" s="35"/>
      <c r="M132" s="156"/>
      <c r="N132" s="157"/>
      <c r="O132" s="55"/>
      <c r="P132" s="55"/>
      <c r="Q132" s="55"/>
      <c r="R132" s="55"/>
      <c r="S132" s="55"/>
      <c r="T132" s="56"/>
      <c r="U132" s="34"/>
      <c r="V132" s="34"/>
      <c r="W132" s="34"/>
      <c r="X132" s="34"/>
      <c r="Y132" s="34"/>
      <c r="Z132" s="34"/>
      <c r="AA132" s="34"/>
      <c r="AB132" s="34"/>
      <c r="AC132" s="34"/>
      <c r="AD132" s="34"/>
      <c r="AE132" s="34"/>
      <c r="AT132" s="19" t="s">
        <v>189</v>
      </c>
      <c r="AU132" s="19" t="s">
        <v>87</v>
      </c>
    </row>
    <row r="133" spans="1:65" s="2" customFormat="1" ht="58.5">
      <c r="A133" s="34"/>
      <c r="B133" s="35"/>
      <c r="C133" s="34"/>
      <c r="D133" s="153" t="s">
        <v>191</v>
      </c>
      <c r="E133" s="34"/>
      <c r="F133" s="160" t="s">
        <v>383</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191</v>
      </c>
      <c r="AU133" s="19" t="s">
        <v>87</v>
      </c>
    </row>
    <row r="134" spans="1:65" s="13" customFormat="1">
      <c r="B134" s="161"/>
      <c r="D134" s="153" t="s">
        <v>193</v>
      </c>
      <c r="E134" s="162" t="s">
        <v>3</v>
      </c>
      <c r="F134" s="163" t="s">
        <v>390</v>
      </c>
      <c r="H134" s="164">
        <v>356.78899999999999</v>
      </c>
      <c r="I134" s="165"/>
      <c r="L134" s="161"/>
      <c r="M134" s="166"/>
      <c r="N134" s="167"/>
      <c r="O134" s="167"/>
      <c r="P134" s="167"/>
      <c r="Q134" s="167"/>
      <c r="R134" s="167"/>
      <c r="S134" s="167"/>
      <c r="T134" s="168"/>
      <c r="AT134" s="162" t="s">
        <v>193</v>
      </c>
      <c r="AU134" s="162" t="s">
        <v>87</v>
      </c>
      <c r="AV134" s="13" t="s">
        <v>87</v>
      </c>
      <c r="AW134" s="13" t="s">
        <v>36</v>
      </c>
      <c r="AX134" s="13" t="s">
        <v>85</v>
      </c>
      <c r="AY134" s="162" t="s">
        <v>177</v>
      </c>
    </row>
    <row r="135" spans="1:65" s="2" customFormat="1" ht="16.5" customHeight="1">
      <c r="A135" s="34"/>
      <c r="B135" s="139"/>
      <c r="C135" s="140" t="s">
        <v>265</v>
      </c>
      <c r="D135" s="140" t="s">
        <v>180</v>
      </c>
      <c r="E135" s="141" t="s">
        <v>391</v>
      </c>
      <c r="F135" s="142" t="s">
        <v>392</v>
      </c>
      <c r="G135" s="143" t="s">
        <v>332</v>
      </c>
      <c r="H135" s="144">
        <v>158.916</v>
      </c>
      <c r="I135" s="145"/>
      <c r="J135" s="146">
        <f>ROUND(I135*H135,2)</f>
        <v>0</v>
      </c>
      <c r="K135" s="142" t="s">
        <v>184</v>
      </c>
      <c r="L135" s="35"/>
      <c r="M135" s="147" t="s">
        <v>3</v>
      </c>
      <c r="N135" s="148" t="s">
        <v>48</v>
      </c>
      <c r="O135" s="55"/>
      <c r="P135" s="149">
        <f>O135*H135</f>
        <v>0</v>
      </c>
      <c r="Q135" s="149">
        <v>3.8850000000000003E-2</v>
      </c>
      <c r="R135" s="149">
        <f>Q135*H135</f>
        <v>6.1738866000000003</v>
      </c>
      <c r="S135" s="149">
        <v>0</v>
      </c>
      <c r="T135" s="150">
        <f>S135*H135</f>
        <v>0</v>
      </c>
      <c r="U135" s="34"/>
      <c r="V135" s="34"/>
      <c r="W135" s="34"/>
      <c r="X135" s="34"/>
      <c r="Y135" s="34"/>
      <c r="Z135" s="34"/>
      <c r="AA135" s="34"/>
      <c r="AB135" s="34"/>
      <c r="AC135" s="34"/>
      <c r="AD135" s="34"/>
      <c r="AE135" s="34"/>
      <c r="AR135" s="151" t="s">
        <v>185</v>
      </c>
      <c r="AT135" s="151" t="s">
        <v>180</v>
      </c>
      <c r="AU135" s="151" t="s">
        <v>87</v>
      </c>
      <c r="AY135" s="19" t="s">
        <v>177</v>
      </c>
      <c r="BE135" s="152">
        <f>IF(N135="základní",J135,0)</f>
        <v>0</v>
      </c>
      <c r="BF135" s="152">
        <f>IF(N135="snížená",J135,0)</f>
        <v>0</v>
      </c>
      <c r="BG135" s="152">
        <f>IF(N135="zákl. přenesená",J135,0)</f>
        <v>0</v>
      </c>
      <c r="BH135" s="152">
        <f>IF(N135="sníž. přenesená",J135,0)</f>
        <v>0</v>
      </c>
      <c r="BI135" s="152">
        <f>IF(N135="nulová",J135,0)</f>
        <v>0</v>
      </c>
      <c r="BJ135" s="19" t="s">
        <v>85</v>
      </c>
      <c r="BK135" s="152">
        <f>ROUND(I135*H135,2)</f>
        <v>0</v>
      </c>
      <c r="BL135" s="19" t="s">
        <v>185</v>
      </c>
      <c r="BM135" s="151" t="s">
        <v>393</v>
      </c>
    </row>
    <row r="136" spans="1:65" s="2" customFormat="1">
      <c r="A136" s="34"/>
      <c r="B136" s="35"/>
      <c r="C136" s="34"/>
      <c r="D136" s="153" t="s">
        <v>187</v>
      </c>
      <c r="E136" s="34"/>
      <c r="F136" s="154" t="s">
        <v>394</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187</v>
      </c>
      <c r="AU136" s="19" t="s">
        <v>87</v>
      </c>
    </row>
    <row r="137" spans="1:65" s="2" customFormat="1">
      <c r="A137" s="34"/>
      <c r="B137" s="35"/>
      <c r="C137" s="34"/>
      <c r="D137" s="158" t="s">
        <v>189</v>
      </c>
      <c r="E137" s="34"/>
      <c r="F137" s="159" t="s">
        <v>395</v>
      </c>
      <c r="G137" s="34"/>
      <c r="H137" s="34"/>
      <c r="I137" s="155"/>
      <c r="J137" s="34"/>
      <c r="K137" s="34"/>
      <c r="L137" s="35"/>
      <c r="M137" s="156"/>
      <c r="N137" s="157"/>
      <c r="O137" s="55"/>
      <c r="P137" s="55"/>
      <c r="Q137" s="55"/>
      <c r="R137" s="55"/>
      <c r="S137" s="55"/>
      <c r="T137" s="56"/>
      <c r="U137" s="34"/>
      <c r="V137" s="34"/>
      <c r="W137" s="34"/>
      <c r="X137" s="34"/>
      <c r="Y137" s="34"/>
      <c r="Z137" s="34"/>
      <c r="AA137" s="34"/>
      <c r="AB137" s="34"/>
      <c r="AC137" s="34"/>
      <c r="AD137" s="34"/>
      <c r="AE137" s="34"/>
      <c r="AT137" s="19" t="s">
        <v>189</v>
      </c>
      <c r="AU137" s="19" t="s">
        <v>87</v>
      </c>
    </row>
    <row r="138" spans="1:65" s="2" customFormat="1" ht="107.25">
      <c r="A138" s="34"/>
      <c r="B138" s="35"/>
      <c r="C138" s="34"/>
      <c r="D138" s="153" t="s">
        <v>191</v>
      </c>
      <c r="E138" s="34"/>
      <c r="F138" s="160" t="s">
        <v>396</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191</v>
      </c>
      <c r="AU138" s="19" t="s">
        <v>87</v>
      </c>
    </row>
    <row r="139" spans="1:65" s="14" customFormat="1">
      <c r="B139" s="169"/>
      <c r="D139" s="153" t="s">
        <v>193</v>
      </c>
      <c r="E139" s="170" t="s">
        <v>3</v>
      </c>
      <c r="F139" s="171" t="s">
        <v>397</v>
      </c>
      <c r="H139" s="170" t="s">
        <v>3</v>
      </c>
      <c r="I139" s="172"/>
      <c r="L139" s="169"/>
      <c r="M139" s="173"/>
      <c r="N139" s="174"/>
      <c r="O139" s="174"/>
      <c r="P139" s="174"/>
      <c r="Q139" s="174"/>
      <c r="R139" s="174"/>
      <c r="S139" s="174"/>
      <c r="T139" s="175"/>
      <c r="AT139" s="170" t="s">
        <v>193</v>
      </c>
      <c r="AU139" s="170" t="s">
        <v>87</v>
      </c>
      <c r="AV139" s="14" t="s">
        <v>85</v>
      </c>
      <c r="AW139" s="14" t="s">
        <v>36</v>
      </c>
      <c r="AX139" s="14" t="s">
        <v>77</v>
      </c>
      <c r="AY139" s="170" t="s">
        <v>177</v>
      </c>
    </row>
    <row r="140" spans="1:65" s="13" customFormat="1">
      <c r="B140" s="161"/>
      <c r="D140" s="153" t="s">
        <v>193</v>
      </c>
      <c r="E140" s="162" t="s">
        <v>3</v>
      </c>
      <c r="F140" s="163" t="s">
        <v>398</v>
      </c>
      <c r="H140" s="164">
        <v>13.385</v>
      </c>
      <c r="I140" s="165"/>
      <c r="L140" s="161"/>
      <c r="M140" s="166"/>
      <c r="N140" s="167"/>
      <c r="O140" s="167"/>
      <c r="P140" s="167"/>
      <c r="Q140" s="167"/>
      <c r="R140" s="167"/>
      <c r="S140" s="167"/>
      <c r="T140" s="168"/>
      <c r="AT140" s="162" t="s">
        <v>193</v>
      </c>
      <c r="AU140" s="162" t="s">
        <v>87</v>
      </c>
      <c r="AV140" s="13" t="s">
        <v>87</v>
      </c>
      <c r="AW140" s="13" t="s">
        <v>36</v>
      </c>
      <c r="AX140" s="13" t="s">
        <v>77</v>
      </c>
      <c r="AY140" s="162" t="s">
        <v>177</v>
      </c>
    </row>
    <row r="141" spans="1:65" s="13" customFormat="1" ht="22.5">
      <c r="B141" s="161"/>
      <c r="D141" s="153" t="s">
        <v>193</v>
      </c>
      <c r="E141" s="162" t="s">
        <v>3</v>
      </c>
      <c r="F141" s="163" t="s">
        <v>399</v>
      </c>
      <c r="H141" s="164">
        <v>26.821999999999999</v>
      </c>
      <c r="I141" s="165"/>
      <c r="L141" s="161"/>
      <c r="M141" s="166"/>
      <c r="N141" s="167"/>
      <c r="O141" s="167"/>
      <c r="P141" s="167"/>
      <c r="Q141" s="167"/>
      <c r="R141" s="167"/>
      <c r="S141" s="167"/>
      <c r="T141" s="168"/>
      <c r="AT141" s="162" t="s">
        <v>193</v>
      </c>
      <c r="AU141" s="162" t="s">
        <v>87</v>
      </c>
      <c r="AV141" s="13" t="s">
        <v>87</v>
      </c>
      <c r="AW141" s="13" t="s">
        <v>36</v>
      </c>
      <c r="AX141" s="13" t="s">
        <v>77</v>
      </c>
      <c r="AY141" s="162" t="s">
        <v>177</v>
      </c>
    </row>
    <row r="142" spans="1:65" s="13" customFormat="1">
      <c r="B142" s="161"/>
      <c r="D142" s="153" t="s">
        <v>193</v>
      </c>
      <c r="E142" s="162" t="s">
        <v>3</v>
      </c>
      <c r="F142" s="163" t="s">
        <v>400</v>
      </c>
      <c r="H142" s="164">
        <v>21.221</v>
      </c>
      <c r="I142" s="165"/>
      <c r="L142" s="161"/>
      <c r="M142" s="166"/>
      <c r="N142" s="167"/>
      <c r="O142" s="167"/>
      <c r="P142" s="167"/>
      <c r="Q142" s="167"/>
      <c r="R142" s="167"/>
      <c r="S142" s="167"/>
      <c r="T142" s="168"/>
      <c r="AT142" s="162" t="s">
        <v>193</v>
      </c>
      <c r="AU142" s="162" t="s">
        <v>87</v>
      </c>
      <c r="AV142" s="13" t="s">
        <v>87</v>
      </c>
      <c r="AW142" s="13" t="s">
        <v>36</v>
      </c>
      <c r="AX142" s="13" t="s">
        <v>77</v>
      </c>
      <c r="AY142" s="162" t="s">
        <v>177</v>
      </c>
    </row>
    <row r="143" spans="1:65" s="15" customFormat="1">
      <c r="B143" s="176"/>
      <c r="D143" s="153" t="s">
        <v>193</v>
      </c>
      <c r="E143" s="177" t="s">
        <v>3</v>
      </c>
      <c r="F143" s="178" t="s">
        <v>197</v>
      </c>
      <c r="H143" s="179">
        <v>61.427999999999997</v>
      </c>
      <c r="I143" s="180"/>
      <c r="L143" s="176"/>
      <c r="M143" s="181"/>
      <c r="N143" s="182"/>
      <c r="O143" s="182"/>
      <c r="P143" s="182"/>
      <c r="Q143" s="182"/>
      <c r="R143" s="182"/>
      <c r="S143" s="182"/>
      <c r="T143" s="183"/>
      <c r="AT143" s="177" t="s">
        <v>193</v>
      </c>
      <c r="AU143" s="177" t="s">
        <v>87</v>
      </c>
      <c r="AV143" s="15" t="s">
        <v>198</v>
      </c>
      <c r="AW143" s="15" t="s">
        <v>36</v>
      </c>
      <c r="AX143" s="15" t="s">
        <v>77</v>
      </c>
      <c r="AY143" s="177" t="s">
        <v>177</v>
      </c>
    </row>
    <row r="144" spans="1:65" s="14" customFormat="1">
      <c r="B144" s="169"/>
      <c r="D144" s="153" t="s">
        <v>193</v>
      </c>
      <c r="E144" s="170" t="s">
        <v>3</v>
      </c>
      <c r="F144" s="171" t="s">
        <v>401</v>
      </c>
      <c r="H144" s="170" t="s">
        <v>3</v>
      </c>
      <c r="I144" s="172"/>
      <c r="L144" s="169"/>
      <c r="M144" s="173"/>
      <c r="N144" s="174"/>
      <c r="O144" s="174"/>
      <c r="P144" s="174"/>
      <c r="Q144" s="174"/>
      <c r="R144" s="174"/>
      <c r="S144" s="174"/>
      <c r="T144" s="175"/>
      <c r="AT144" s="170" t="s">
        <v>193</v>
      </c>
      <c r="AU144" s="170" t="s">
        <v>87</v>
      </c>
      <c r="AV144" s="14" t="s">
        <v>85</v>
      </c>
      <c r="AW144" s="14" t="s">
        <v>36</v>
      </c>
      <c r="AX144" s="14" t="s">
        <v>77</v>
      </c>
      <c r="AY144" s="170" t="s">
        <v>177</v>
      </c>
    </row>
    <row r="145" spans="1:65" s="13" customFormat="1">
      <c r="B145" s="161"/>
      <c r="D145" s="153" t="s">
        <v>193</v>
      </c>
      <c r="E145" s="162" t="s">
        <v>3</v>
      </c>
      <c r="F145" s="163" t="s">
        <v>402</v>
      </c>
      <c r="H145" s="164">
        <v>25.44</v>
      </c>
      <c r="I145" s="165"/>
      <c r="L145" s="161"/>
      <c r="M145" s="166"/>
      <c r="N145" s="167"/>
      <c r="O145" s="167"/>
      <c r="P145" s="167"/>
      <c r="Q145" s="167"/>
      <c r="R145" s="167"/>
      <c r="S145" s="167"/>
      <c r="T145" s="168"/>
      <c r="AT145" s="162" t="s">
        <v>193</v>
      </c>
      <c r="AU145" s="162" t="s">
        <v>87</v>
      </c>
      <c r="AV145" s="13" t="s">
        <v>87</v>
      </c>
      <c r="AW145" s="13" t="s">
        <v>36</v>
      </c>
      <c r="AX145" s="13" t="s">
        <v>77</v>
      </c>
      <c r="AY145" s="162" t="s">
        <v>177</v>
      </c>
    </row>
    <row r="146" spans="1:65" s="13" customFormat="1">
      <c r="B146" s="161"/>
      <c r="D146" s="153" t="s">
        <v>193</v>
      </c>
      <c r="E146" s="162" t="s">
        <v>3</v>
      </c>
      <c r="F146" s="163" t="s">
        <v>403</v>
      </c>
      <c r="H146" s="164">
        <v>34.128</v>
      </c>
      <c r="I146" s="165"/>
      <c r="L146" s="161"/>
      <c r="M146" s="166"/>
      <c r="N146" s="167"/>
      <c r="O146" s="167"/>
      <c r="P146" s="167"/>
      <c r="Q146" s="167"/>
      <c r="R146" s="167"/>
      <c r="S146" s="167"/>
      <c r="T146" s="168"/>
      <c r="AT146" s="162" t="s">
        <v>193</v>
      </c>
      <c r="AU146" s="162" t="s">
        <v>87</v>
      </c>
      <c r="AV146" s="13" t="s">
        <v>87</v>
      </c>
      <c r="AW146" s="13" t="s">
        <v>36</v>
      </c>
      <c r="AX146" s="13" t="s">
        <v>77</v>
      </c>
      <c r="AY146" s="162" t="s">
        <v>177</v>
      </c>
    </row>
    <row r="147" spans="1:65" s="13" customFormat="1">
      <c r="B147" s="161"/>
      <c r="D147" s="153" t="s">
        <v>193</v>
      </c>
      <c r="E147" s="162" t="s">
        <v>3</v>
      </c>
      <c r="F147" s="163" t="s">
        <v>404</v>
      </c>
      <c r="H147" s="164">
        <v>37.92</v>
      </c>
      <c r="I147" s="165"/>
      <c r="L147" s="161"/>
      <c r="M147" s="166"/>
      <c r="N147" s="167"/>
      <c r="O147" s="167"/>
      <c r="P147" s="167"/>
      <c r="Q147" s="167"/>
      <c r="R147" s="167"/>
      <c r="S147" s="167"/>
      <c r="T147" s="168"/>
      <c r="AT147" s="162" t="s">
        <v>193</v>
      </c>
      <c r="AU147" s="162" t="s">
        <v>87</v>
      </c>
      <c r="AV147" s="13" t="s">
        <v>87</v>
      </c>
      <c r="AW147" s="13" t="s">
        <v>36</v>
      </c>
      <c r="AX147" s="13" t="s">
        <v>77</v>
      </c>
      <c r="AY147" s="162" t="s">
        <v>177</v>
      </c>
    </row>
    <row r="148" spans="1:65" s="15" customFormat="1">
      <c r="B148" s="176"/>
      <c r="D148" s="153" t="s">
        <v>193</v>
      </c>
      <c r="E148" s="177" t="s">
        <v>3</v>
      </c>
      <c r="F148" s="178" t="s">
        <v>197</v>
      </c>
      <c r="H148" s="179">
        <v>97.488</v>
      </c>
      <c r="I148" s="180"/>
      <c r="L148" s="176"/>
      <c r="M148" s="181"/>
      <c r="N148" s="182"/>
      <c r="O148" s="182"/>
      <c r="P148" s="182"/>
      <c r="Q148" s="182"/>
      <c r="R148" s="182"/>
      <c r="S148" s="182"/>
      <c r="T148" s="183"/>
      <c r="AT148" s="177" t="s">
        <v>193</v>
      </c>
      <c r="AU148" s="177" t="s">
        <v>87</v>
      </c>
      <c r="AV148" s="15" t="s">
        <v>198</v>
      </c>
      <c r="AW148" s="15" t="s">
        <v>36</v>
      </c>
      <c r="AX148" s="15" t="s">
        <v>77</v>
      </c>
      <c r="AY148" s="177" t="s">
        <v>177</v>
      </c>
    </row>
    <row r="149" spans="1:65" s="16" customFormat="1">
      <c r="B149" s="184"/>
      <c r="D149" s="153" t="s">
        <v>193</v>
      </c>
      <c r="E149" s="185" t="s">
        <v>3</v>
      </c>
      <c r="F149" s="186" t="s">
        <v>201</v>
      </c>
      <c r="H149" s="187">
        <v>158.916</v>
      </c>
      <c r="I149" s="188"/>
      <c r="L149" s="184"/>
      <c r="M149" s="189"/>
      <c r="N149" s="190"/>
      <c r="O149" s="190"/>
      <c r="P149" s="190"/>
      <c r="Q149" s="190"/>
      <c r="R149" s="190"/>
      <c r="S149" s="190"/>
      <c r="T149" s="191"/>
      <c r="AT149" s="185" t="s">
        <v>193</v>
      </c>
      <c r="AU149" s="185" t="s">
        <v>87</v>
      </c>
      <c r="AV149" s="16" t="s">
        <v>185</v>
      </c>
      <c r="AW149" s="16" t="s">
        <v>36</v>
      </c>
      <c r="AX149" s="16" t="s">
        <v>85</v>
      </c>
      <c r="AY149" s="185" t="s">
        <v>177</v>
      </c>
    </row>
    <row r="150" spans="1:65" s="2" customFormat="1" ht="16.5" customHeight="1">
      <c r="A150" s="34"/>
      <c r="B150" s="139"/>
      <c r="C150" s="140" t="s">
        <v>271</v>
      </c>
      <c r="D150" s="140" t="s">
        <v>180</v>
      </c>
      <c r="E150" s="141" t="s">
        <v>405</v>
      </c>
      <c r="F150" s="142" t="s">
        <v>406</v>
      </c>
      <c r="G150" s="143" t="s">
        <v>332</v>
      </c>
      <c r="H150" s="144">
        <v>255.24199999999999</v>
      </c>
      <c r="I150" s="145"/>
      <c r="J150" s="146">
        <f>ROUND(I150*H150,2)</f>
        <v>0</v>
      </c>
      <c r="K150" s="142" t="s">
        <v>184</v>
      </c>
      <c r="L150" s="35"/>
      <c r="M150" s="147" t="s">
        <v>3</v>
      </c>
      <c r="N150" s="148" t="s">
        <v>48</v>
      </c>
      <c r="O150" s="55"/>
      <c r="P150" s="149">
        <f>O150*H150</f>
        <v>0</v>
      </c>
      <c r="Q150" s="149">
        <v>8.0570000000000003E-2</v>
      </c>
      <c r="R150" s="149">
        <f>Q150*H150</f>
        <v>20.56484794</v>
      </c>
      <c r="S150" s="149">
        <v>0</v>
      </c>
      <c r="T150" s="150">
        <f>S150*H150</f>
        <v>0</v>
      </c>
      <c r="U150" s="34"/>
      <c r="V150" s="34"/>
      <c r="W150" s="34"/>
      <c r="X150" s="34"/>
      <c r="Y150" s="34"/>
      <c r="Z150" s="34"/>
      <c r="AA150" s="34"/>
      <c r="AB150" s="34"/>
      <c r="AC150" s="34"/>
      <c r="AD150" s="34"/>
      <c r="AE150" s="34"/>
      <c r="AR150" s="151" t="s">
        <v>185</v>
      </c>
      <c r="AT150" s="151" t="s">
        <v>180</v>
      </c>
      <c r="AU150" s="151" t="s">
        <v>87</v>
      </c>
      <c r="AY150" s="19" t="s">
        <v>177</v>
      </c>
      <c r="BE150" s="152">
        <f>IF(N150="základní",J150,0)</f>
        <v>0</v>
      </c>
      <c r="BF150" s="152">
        <f>IF(N150="snížená",J150,0)</f>
        <v>0</v>
      </c>
      <c r="BG150" s="152">
        <f>IF(N150="zákl. přenesená",J150,0)</f>
        <v>0</v>
      </c>
      <c r="BH150" s="152">
        <f>IF(N150="sníž. přenesená",J150,0)</f>
        <v>0</v>
      </c>
      <c r="BI150" s="152">
        <f>IF(N150="nulová",J150,0)</f>
        <v>0</v>
      </c>
      <c r="BJ150" s="19" t="s">
        <v>85</v>
      </c>
      <c r="BK150" s="152">
        <f>ROUND(I150*H150,2)</f>
        <v>0</v>
      </c>
      <c r="BL150" s="19" t="s">
        <v>185</v>
      </c>
      <c r="BM150" s="151" t="s">
        <v>407</v>
      </c>
    </row>
    <row r="151" spans="1:65" s="2" customFormat="1">
      <c r="A151" s="34"/>
      <c r="B151" s="35"/>
      <c r="C151" s="34"/>
      <c r="D151" s="153" t="s">
        <v>187</v>
      </c>
      <c r="E151" s="34"/>
      <c r="F151" s="154" t="s">
        <v>408</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187</v>
      </c>
      <c r="AU151" s="19" t="s">
        <v>87</v>
      </c>
    </row>
    <row r="152" spans="1:65" s="2" customFormat="1">
      <c r="A152" s="34"/>
      <c r="B152" s="35"/>
      <c r="C152" s="34"/>
      <c r="D152" s="158" t="s">
        <v>189</v>
      </c>
      <c r="E152" s="34"/>
      <c r="F152" s="159" t="s">
        <v>409</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189</v>
      </c>
      <c r="AU152" s="19" t="s">
        <v>87</v>
      </c>
    </row>
    <row r="153" spans="1:65" s="2" customFormat="1" ht="107.25">
      <c r="A153" s="34"/>
      <c r="B153" s="35"/>
      <c r="C153" s="34"/>
      <c r="D153" s="153" t="s">
        <v>191</v>
      </c>
      <c r="E153" s="34"/>
      <c r="F153" s="160" t="s">
        <v>396</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191</v>
      </c>
      <c r="AU153" s="19" t="s">
        <v>87</v>
      </c>
    </row>
    <row r="154" spans="1:65" s="14" customFormat="1">
      <c r="B154" s="169"/>
      <c r="D154" s="153" t="s">
        <v>193</v>
      </c>
      <c r="E154" s="170" t="s">
        <v>3</v>
      </c>
      <c r="F154" s="171" t="s">
        <v>410</v>
      </c>
      <c r="H154" s="170" t="s">
        <v>3</v>
      </c>
      <c r="I154" s="172"/>
      <c r="L154" s="169"/>
      <c r="M154" s="173"/>
      <c r="N154" s="174"/>
      <c r="O154" s="174"/>
      <c r="P154" s="174"/>
      <c r="Q154" s="174"/>
      <c r="R154" s="174"/>
      <c r="S154" s="174"/>
      <c r="T154" s="175"/>
      <c r="AT154" s="170" t="s">
        <v>193</v>
      </c>
      <c r="AU154" s="170" t="s">
        <v>87</v>
      </c>
      <c r="AV154" s="14" t="s">
        <v>85</v>
      </c>
      <c r="AW154" s="14" t="s">
        <v>36</v>
      </c>
      <c r="AX154" s="14" t="s">
        <v>77</v>
      </c>
      <c r="AY154" s="170" t="s">
        <v>177</v>
      </c>
    </row>
    <row r="155" spans="1:65" s="13" customFormat="1">
      <c r="B155" s="161"/>
      <c r="D155" s="153" t="s">
        <v>193</v>
      </c>
      <c r="E155" s="162" t="s">
        <v>3</v>
      </c>
      <c r="F155" s="163" t="s">
        <v>411</v>
      </c>
      <c r="H155" s="164">
        <v>33.463000000000001</v>
      </c>
      <c r="I155" s="165"/>
      <c r="L155" s="161"/>
      <c r="M155" s="166"/>
      <c r="N155" s="167"/>
      <c r="O155" s="167"/>
      <c r="P155" s="167"/>
      <c r="Q155" s="167"/>
      <c r="R155" s="167"/>
      <c r="S155" s="167"/>
      <c r="T155" s="168"/>
      <c r="AT155" s="162" t="s">
        <v>193</v>
      </c>
      <c r="AU155" s="162" t="s">
        <v>87</v>
      </c>
      <c r="AV155" s="13" t="s">
        <v>87</v>
      </c>
      <c r="AW155" s="13" t="s">
        <v>36</v>
      </c>
      <c r="AX155" s="13" t="s">
        <v>77</v>
      </c>
      <c r="AY155" s="162" t="s">
        <v>177</v>
      </c>
    </row>
    <row r="156" spans="1:65" s="13" customFormat="1" ht="22.5">
      <c r="B156" s="161"/>
      <c r="D156" s="153" t="s">
        <v>193</v>
      </c>
      <c r="E156" s="162" t="s">
        <v>3</v>
      </c>
      <c r="F156" s="163" t="s">
        <v>412</v>
      </c>
      <c r="H156" s="164">
        <v>56.677999999999997</v>
      </c>
      <c r="I156" s="165"/>
      <c r="L156" s="161"/>
      <c r="M156" s="166"/>
      <c r="N156" s="167"/>
      <c r="O156" s="167"/>
      <c r="P156" s="167"/>
      <c r="Q156" s="167"/>
      <c r="R156" s="167"/>
      <c r="S156" s="167"/>
      <c r="T156" s="168"/>
      <c r="AT156" s="162" t="s">
        <v>193</v>
      </c>
      <c r="AU156" s="162" t="s">
        <v>87</v>
      </c>
      <c r="AV156" s="13" t="s">
        <v>87</v>
      </c>
      <c r="AW156" s="13" t="s">
        <v>36</v>
      </c>
      <c r="AX156" s="13" t="s">
        <v>77</v>
      </c>
      <c r="AY156" s="162" t="s">
        <v>177</v>
      </c>
    </row>
    <row r="157" spans="1:65" s="13" customFormat="1">
      <c r="B157" s="161"/>
      <c r="D157" s="153" t="s">
        <v>193</v>
      </c>
      <c r="E157" s="162" t="s">
        <v>3</v>
      </c>
      <c r="F157" s="163" t="s">
        <v>413</v>
      </c>
      <c r="H157" s="164">
        <v>67.613</v>
      </c>
      <c r="I157" s="165"/>
      <c r="L157" s="161"/>
      <c r="M157" s="166"/>
      <c r="N157" s="167"/>
      <c r="O157" s="167"/>
      <c r="P157" s="167"/>
      <c r="Q157" s="167"/>
      <c r="R157" s="167"/>
      <c r="S157" s="167"/>
      <c r="T157" s="168"/>
      <c r="AT157" s="162" t="s">
        <v>193</v>
      </c>
      <c r="AU157" s="162" t="s">
        <v>87</v>
      </c>
      <c r="AV157" s="13" t="s">
        <v>87</v>
      </c>
      <c r="AW157" s="13" t="s">
        <v>36</v>
      </c>
      <c r="AX157" s="13" t="s">
        <v>77</v>
      </c>
      <c r="AY157" s="162" t="s">
        <v>177</v>
      </c>
    </row>
    <row r="158" spans="1:65" s="15" customFormat="1">
      <c r="B158" s="176"/>
      <c r="D158" s="153" t="s">
        <v>193</v>
      </c>
      <c r="E158" s="177" t="s">
        <v>3</v>
      </c>
      <c r="F158" s="178" t="s">
        <v>197</v>
      </c>
      <c r="H158" s="179">
        <v>157.75399999999999</v>
      </c>
      <c r="I158" s="180"/>
      <c r="L158" s="176"/>
      <c r="M158" s="181"/>
      <c r="N158" s="182"/>
      <c r="O158" s="182"/>
      <c r="P158" s="182"/>
      <c r="Q158" s="182"/>
      <c r="R158" s="182"/>
      <c r="S158" s="182"/>
      <c r="T158" s="183"/>
      <c r="AT158" s="177" t="s">
        <v>193</v>
      </c>
      <c r="AU158" s="177" t="s">
        <v>87</v>
      </c>
      <c r="AV158" s="15" t="s">
        <v>198</v>
      </c>
      <c r="AW158" s="15" t="s">
        <v>36</v>
      </c>
      <c r="AX158" s="15" t="s">
        <v>77</v>
      </c>
      <c r="AY158" s="177" t="s">
        <v>177</v>
      </c>
    </row>
    <row r="159" spans="1:65" s="14" customFormat="1">
      <c r="B159" s="169"/>
      <c r="D159" s="153" t="s">
        <v>193</v>
      </c>
      <c r="E159" s="170" t="s">
        <v>3</v>
      </c>
      <c r="F159" s="171" t="s">
        <v>414</v>
      </c>
      <c r="H159" s="170" t="s">
        <v>3</v>
      </c>
      <c r="I159" s="172"/>
      <c r="L159" s="169"/>
      <c r="M159" s="173"/>
      <c r="N159" s="174"/>
      <c r="O159" s="174"/>
      <c r="P159" s="174"/>
      <c r="Q159" s="174"/>
      <c r="R159" s="174"/>
      <c r="S159" s="174"/>
      <c r="T159" s="175"/>
      <c r="AT159" s="170" t="s">
        <v>193</v>
      </c>
      <c r="AU159" s="170" t="s">
        <v>87</v>
      </c>
      <c r="AV159" s="14" t="s">
        <v>85</v>
      </c>
      <c r="AW159" s="14" t="s">
        <v>36</v>
      </c>
      <c r="AX159" s="14" t="s">
        <v>77</v>
      </c>
      <c r="AY159" s="170" t="s">
        <v>177</v>
      </c>
    </row>
    <row r="160" spans="1:65" s="13" customFormat="1">
      <c r="B160" s="161"/>
      <c r="D160" s="153" t="s">
        <v>193</v>
      </c>
      <c r="E160" s="162" t="s">
        <v>3</v>
      </c>
      <c r="F160" s="163" t="s">
        <v>415</v>
      </c>
      <c r="H160" s="164">
        <v>25.44</v>
      </c>
      <c r="I160" s="165"/>
      <c r="L160" s="161"/>
      <c r="M160" s="166"/>
      <c r="N160" s="167"/>
      <c r="O160" s="167"/>
      <c r="P160" s="167"/>
      <c r="Q160" s="167"/>
      <c r="R160" s="167"/>
      <c r="S160" s="167"/>
      <c r="T160" s="168"/>
      <c r="AT160" s="162" t="s">
        <v>193</v>
      </c>
      <c r="AU160" s="162" t="s">
        <v>87</v>
      </c>
      <c r="AV160" s="13" t="s">
        <v>87</v>
      </c>
      <c r="AW160" s="13" t="s">
        <v>36</v>
      </c>
      <c r="AX160" s="13" t="s">
        <v>77</v>
      </c>
      <c r="AY160" s="162" t="s">
        <v>177</v>
      </c>
    </row>
    <row r="161" spans="1:65" s="13" customFormat="1">
      <c r="B161" s="161"/>
      <c r="D161" s="153" t="s">
        <v>193</v>
      </c>
      <c r="E161" s="162" t="s">
        <v>3</v>
      </c>
      <c r="F161" s="163" t="s">
        <v>416</v>
      </c>
      <c r="H161" s="164">
        <v>34.128</v>
      </c>
      <c r="I161" s="165"/>
      <c r="L161" s="161"/>
      <c r="M161" s="166"/>
      <c r="N161" s="167"/>
      <c r="O161" s="167"/>
      <c r="P161" s="167"/>
      <c r="Q161" s="167"/>
      <c r="R161" s="167"/>
      <c r="S161" s="167"/>
      <c r="T161" s="168"/>
      <c r="AT161" s="162" t="s">
        <v>193</v>
      </c>
      <c r="AU161" s="162" t="s">
        <v>87</v>
      </c>
      <c r="AV161" s="13" t="s">
        <v>87</v>
      </c>
      <c r="AW161" s="13" t="s">
        <v>36</v>
      </c>
      <c r="AX161" s="13" t="s">
        <v>77</v>
      </c>
      <c r="AY161" s="162" t="s">
        <v>177</v>
      </c>
    </row>
    <row r="162" spans="1:65" s="13" customFormat="1">
      <c r="B162" s="161"/>
      <c r="D162" s="153" t="s">
        <v>193</v>
      </c>
      <c r="E162" s="162" t="s">
        <v>3</v>
      </c>
      <c r="F162" s="163" t="s">
        <v>417</v>
      </c>
      <c r="H162" s="164">
        <v>37.92</v>
      </c>
      <c r="I162" s="165"/>
      <c r="L162" s="161"/>
      <c r="M162" s="166"/>
      <c r="N162" s="167"/>
      <c r="O162" s="167"/>
      <c r="P162" s="167"/>
      <c r="Q162" s="167"/>
      <c r="R162" s="167"/>
      <c r="S162" s="167"/>
      <c r="T162" s="168"/>
      <c r="AT162" s="162" t="s">
        <v>193</v>
      </c>
      <c r="AU162" s="162" t="s">
        <v>87</v>
      </c>
      <c r="AV162" s="13" t="s">
        <v>87</v>
      </c>
      <c r="AW162" s="13" t="s">
        <v>36</v>
      </c>
      <c r="AX162" s="13" t="s">
        <v>77</v>
      </c>
      <c r="AY162" s="162" t="s">
        <v>177</v>
      </c>
    </row>
    <row r="163" spans="1:65" s="15" customFormat="1">
      <c r="B163" s="176"/>
      <c r="D163" s="153" t="s">
        <v>193</v>
      </c>
      <c r="E163" s="177" t="s">
        <v>3</v>
      </c>
      <c r="F163" s="178" t="s">
        <v>197</v>
      </c>
      <c r="H163" s="179">
        <v>97.488</v>
      </c>
      <c r="I163" s="180"/>
      <c r="L163" s="176"/>
      <c r="M163" s="181"/>
      <c r="N163" s="182"/>
      <c r="O163" s="182"/>
      <c r="P163" s="182"/>
      <c r="Q163" s="182"/>
      <c r="R163" s="182"/>
      <c r="S163" s="182"/>
      <c r="T163" s="183"/>
      <c r="AT163" s="177" t="s">
        <v>193</v>
      </c>
      <c r="AU163" s="177" t="s">
        <v>87</v>
      </c>
      <c r="AV163" s="15" t="s">
        <v>198</v>
      </c>
      <c r="AW163" s="15" t="s">
        <v>36</v>
      </c>
      <c r="AX163" s="15" t="s">
        <v>77</v>
      </c>
      <c r="AY163" s="177" t="s">
        <v>177</v>
      </c>
    </row>
    <row r="164" spans="1:65" s="16" customFormat="1">
      <c r="B164" s="184"/>
      <c r="D164" s="153" t="s">
        <v>193</v>
      </c>
      <c r="E164" s="185" t="s">
        <v>3</v>
      </c>
      <c r="F164" s="186" t="s">
        <v>201</v>
      </c>
      <c r="H164" s="187">
        <v>255.24200000000002</v>
      </c>
      <c r="I164" s="188"/>
      <c r="L164" s="184"/>
      <c r="M164" s="189"/>
      <c r="N164" s="190"/>
      <c r="O164" s="190"/>
      <c r="P164" s="190"/>
      <c r="Q164" s="190"/>
      <c r="R164" s="190"/>
      <c r="S164" s="190"/>
      <c r="T164" s="191"/>
      <c r="AT164" s="185" t="s">
        <v>193</v>
      </c>
      <c r="AU164" s="185" t="s">
        <v>87</v>
      </c>
      <c r="AV164" s="16" t="s">
        <v>185</v>
      </c>
      <c r="AW164" s="16" t="s">
        <v>36</v>
      </c>
      <c r="AX164" s="16" t="s">
        <v>85</v>
      </c>
      <c r="AY164" s="185" t="s">
        <v>177</v>
      </c>
    </row>
    <row r="165" spans="1:65" s="2" customFormat="1" ht="16.5" customHeight="1">
      <c r="A165" s="34"/>
      <c r="B165" s="139"/>
      <c r="C165" s="140" t="s">
        <v>277</v>
      </c>
      <c r="D165" s="140" t="s">
        <v>180</v>
      </c>
      <c r="E165" s="141" t="s">
        <v>418</v>
      </c>
      <c r="F165" s="142" t="s">
        <v>419</v>
      </c>
      <c r="G165" s="143" t="s">
        <v>332</v>
      </c>
      <c r="H165" s="144">
        <v>133.79599999999999</v>
      </c>
      <c r="I165" s="145"/>
      <c r="J165" s="146">
        <f>ROUND(I165*H165,2)</f>
        <v>0</v>
      </c>
      <c r="K165" s="142" t="s">
        <v>184</v>
      </c>
      <c r="L165" s="35"/>
      <c r="M165" s="147" t="s">
        <v>3</v>
      </c>
      <c r="N165" s="148" t="s">
        <v>48</v>
      </c>
      <c r="O165" s="55"/>
      <c r="P165" s="149">
        <f>O165*H165</f>
        <v>0</v>
      </c>
      <c r="Q165" s="149">
        <v>4.2200000000000001E-2</v>
      </c>
      <c r="R165" s="149">
        <f>Q165*H165</f>
        <v>5.6461911999999996</v>
      </c>
      <c r="S165" s="149">
        <v>0</v>
      </c>
      <c r="T165" s="150">
        <f>S165*H165</f>
        <v>0</v>
      </c>
      <c r="U165" s="34"/>
      <c r="V165" s="34"/>
      <c r="W165" s="34"/>
      <c r="X165" s="34"/>
      <c r="Y165" s="34"/>
      <c r="Z165" s="34"/>
      <c r="AA165" s="34"/>
      <c r="AB165" s="34"/>
      <c r="AC165" s="34"/>
      <c r="AD165" s="34"/>
      <c r="AE165" s="34"/>
      <c r="AR165" s="151" t="s">
        <v>185</v>
      </c>
      <c r="AT165" s="151" t="s">
        <v>180</v>
      </c>
      <c r="AU165" s="151" t="s">
        <v>87</v>
      </c>
      <c r="AY165" s="19" t="s">
        <v>177</v>
      </c>
      <c r="BE165" s="152">
        <f>IF(N165="základní",J165,0)</f>
        <v>0</v>
      </c>
      <c r="BF165" s="152">
        <f>IF(N165="snížená",J165,0)</f>
        <v>0</v>
      </c>
      <c r="BG165" s="152">
        <f>IF(N165="zákl. přenesená",J165,0)</f>
        <v>0</v>
      </c>
      <c r="BH165" s="152">
        <f>IF(N165="sníž. přenesená",J165,0)</f>
        <v>0</v>
      </c>
      <c r="BI165" s="152">
        <f>IF(N165="nulová",J165,0)</f>
        <v>0</v>
      </c>
      <c r="BJ165" s="19" t="s">
        <v>85</v>
      </c>
      <c r="BK165" s="152">
        <f>ROUND(I165*H165,2)</f>
        <v>0</v>
      </c>
      <c r="BL165" s="19" t="s">
        <v>185</v>
      </c>
      <c r="BM165" s="151" t="s">
        <v>420</v>
      </c>
    </row>
    <row r="166" spans="1:65" s="2" customFormat="1">
      <c r="A166" s="34"/>
      <c r="B166" s="35"/>
      <c r="C166" s="34"/>
      <c r="D166" s="153" t="s">
        <v>187</v>
      </c>
      <c r="E166" s="34"/>
      <c r="F166" s="154" t="s">
        <v>421</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187</v>
      </c>
      <c r="AU166" s="19" t="s">
        <v>87</v>
      </c>
    </row>
    <row r="167" spans="1:65" s="2" customFormat="1">
      <c r="A167" s="34"/>
      <c r="B167" s="35"/>
      <c r="C167" s="34"/>
      <c r="D167" s="158" t="s">
        <v>189</v>
      </c>
      <c r="E167" s="34"/>
      <c r="F167" s="159" t="s">
        <v>422</v>
      </c>
      <c r="G167" s="34"/>
      <c r="H167" s="34"/>
      <c r="I167" s="155"/>
      <c r="J167" s="34"/>
      <c r="K167" s="34"/>
      <c r="L167" s="35"/>
      <c r="M167" s="156"/>
      <c r="N167" s="157"/>
      <c r="O167" s="55"/>
      <c r="P167" s="55"/>
      <c r="Q167" s="55"/>
      <c r="R167" s="55"/>
      <c r="S167" s="55"/>
      <c r="T167" s="56"/>
      <c r="U167" s="34"/>
      <c r="V167" s="34"/>
      <c r="W167" s="34"/>
      <c r="X167" s="34"/>
      <c r="Y167" s="34"/>
      <c r="Z167" s="34"/>
      <c r="AA167" s="34"/>
      <c r="AB167" s="34"/>
      <c r="AC167" s="34"/>
      <c r="AD167" s="34"/>
      <c r="AE167" s="34"/>
      <c r="AT167" s="19" t="s">
        <v>189</v>
      </c>
      <c r="AU167" s="19" t="s">
        <v>87</v>
      </c>
    </row>
    <row r="168" spans="1:65" s="2" customFormat="1" ht="107.25">
      <c r="A168" s="34"/>
      <c r="B168" s="35"/>
      <c r="C168" s="34"/>
      <c r="D168" s="153" t="s">
        <v>191</v>
      </c>
      <c r="E168" s="34"/>
      <c r="F168" s="160" t="s">
        <v>396</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191</v>
      </c>
      <c r="AU168" s="19" t="s">
        <v>87</v>
      </c>
    </row>
    <row r="169" spans="1:65" s="14" customFormat="1">
      <c r="B169" s="169"/>
      <c r="D169" s="153" t="s">
        <v>193</v>
      </c>
      <c r="E169" s="170" t="s">
        <v>3</v>
      </c>
      <c r="F169" s="171" t="s">
        <v>423</v>
      </c>
      <c r="H169" s="170" t="s">
        <v>3</v>
      </c>
      <c r="I169" s="172"/>
      <c r="L169" s="169"/>
      <c r="M169" s="173"/>
      <c r="N169" s="174"/>
      <c r="O169" s="174"/>
      <c r="P169" s="174"/>
      <c r="Q169" s="174"/>
      <c r="R169" s="174"/>
      <c r="S169" s="174"/>
      <c r="T169" s="175"/>
      <c r="AT169" s="170" t="s">
        <v>193</v>
      </c>
      <c r="AU169" s="170" t="s">
        <v>87</v>
      </c>
      <c r="AV169" s="14" t="s">
        <v>85</v>
      </c>
      <c r="AW169" s="14" t="s">
        <v>36</v>
      </c>
      <c r="AX169" s="14" t="s">
        <v>77</v>
      </c>
      <c r="AY169" s="170" t="s">
        <v>177</v>
      </c>
    </row>
    <row r="170" spans="1:65" s="13" customFormat="1">
      <c r="B170" s="161"/>
      <c r="D170" s="153" t="s">
        <v>193</v>
      </c>
      <c r="E170" s="162" t="s">
        <v>3</v>
      </c>
      <c r="F170" s="163" t="s">
        <v>424</v>
      </c>
      <c r="H170" s="164">
        <v>46.893999999999998</v>
      </c>
      <c r="I170" s="165"/>
      <c r="L170" s="161"/>
      <c r="M170" s="166"/>
      <c r="N170" s="167"/>
      <c r="O170" s="167"/>
      <c r="P170" s="167"/>
      <c r="Q170" s="167"/>
      <c r="R170" s="167"/>
      <c r="S170" s="167"/>
      <c r="T170" s="168"/>
      <c r="AT170" s="162" t="s">
        <v>193</v>
      </c>
      <c r="AU170" s="162" t="s">
        <v>87</v>
      </c>
      <c r="AV170" s="13" t="s">
        <v>87</v>
      </c>
      <c r="AW170" s="13" t="s">
        <v>36</v>
      </c>
      <c r="AX170" s="13" t="s">
        <v>77</v>
      </c>
      <c r="AY170" s="162" t="s">
        <v>177</v>
      </c>
    </row>
    <row r="171" spans="1:65" s="13" customFormat="1">
      <c r="B171" s="161"/>
      <c r="D171" s="153" t="s">
        <v>193</v>
      </c>
      <c r="E171" s="162" t="s">
        <v>3</v>
      </c>
      <c r="F171" s="163" t="s">
        <v>425</v>
      </c>
      <c r="H171" s="164">
        <v>40.258000000000003</v>
      </c>
      <c r="I171" s="165"/>
      <c r="L171" s="161"/>
      <c r="M171" s="166"/>
      <c r="N171" s="167"/>
      <c r="O171" s="167"/>
      <c r="P171" s="167"/>
      <c r="Q171" s="167"/>
      <c r="R171" s="167"/>
      <c r="S171" s="167"/>
      <c r="T171" s="168"/>
      <c r="AT171" s="162" t="s">
        <v>193</v>
      </c>
      <c r="AU171" s="162" t="s">
        <v>87</v>
      </c>
      <c r="AV171" s="13" t="s">
        <v>87</v>
      </c>
      <c r="AW171" s="13" t="s">
        <v>36</v>
      </c>
      <c r="AX171" s="13" t="s">
        <v>77</v>
      </c>
      <c r="AY171" s="162" t="s">
        <v>177</v>
      </c>
    </row>
    <row r="172" spans="1:65" s="13" customFormat="1">
      <c r="B172" s="161"/>
      <c r="D172" s="153" t="s">
        <v>193</v>
      </c>
      <c r="E172" s="162" t="s">
        <v>3</v>
      </c>
      <c r="F172" s="163" t="s">
        <v>426</v>
      </c>
      <c r="H172" s="164">
        <v>46.643999999999998</v>
      </c>
      <c r="I172" s="165"/>
      <c r="L172" s="161"/>
      <c r="M172" s="166"/>
      <c r="N172" s="167"/>
      <c r="O172" s="167"/>
      <c r="P172" s="167"/>
      <c r="Q172" s="167"/>
      <c r="R172" s="167"/>
      <c r="S172" s="167"/>
      <c r="T172" s="168"/>
      <c r="AT172" s="162" t="s">
        <v>193</v>
      </c>
      <c r="AU172" s="162" t="s">
        <v>87</v>
      </c>
      <c r="AV172" s="13" t="s">
        <v>87</v>
      </c>
      <c r="AW172" s="13" t="s">
        <v>36</v>
      </c>
      <c r="AX172" s="13" t="s">
        <v>77</v>
      </c>
      <c r="AY172" s="162" t="s">
        <v>177</v>
      </c>
    </row>
    <row r="173" spans="1:65" s="16" customFormat="1">
      <c r="B173" s="184"/>
      <c r="D173" s="153" t="s">
        <v>193</v>
      </c>
      <c r="E173" s="185" t="s">
        <v>3</v>
      </c>
      <c r="F173" s="186" t="s">
        <v>201</v>
      </c>
      <c r="H173" s="187">
        <v>133.79599999999999</v>
      </c>
      <c r="I173" s="188"/>
      <c r="L173" s="184"/>
      <c r="M173" s="189"/>
      <c r="N173" s="190"/>
      <c r="O173" s="190"/>
      <c r="P173" s="190"/>
      <c r="Q173" s="190"/>
      <c r="R173" s="190"/>
      <c r="S173" s="190"/>
      <c r="T173" s="191"/>
      <c r="AT173" s="185" t="s">
        <v>193</v>
      </c>
      <c r="AU173" s="185" t="s">
        <v>87</v>
      </c>
      <c r="AV173" s="16" t="s">
        <v>185</v>
      </c>
      <c r="AW173" s="16" t="s">
        <v>36</v>
      </c>
      <c r="AX173" s="16" t="s">
        <v>85</v>
      </c>
      <c r="AY173" s="185" t="s">
        <v>177</v>
      </c>
    </row>
    <row r="174" spans="1:65" s="2" customFormat="1" ht="16.5" customHeight="1">
      <c r="A174" s="34"/>
      <c r="B174" s="139"/>
      <c r="C174" s="140" t="s">
        <v>283</v>
      </c>
      <c r="D174" s="140" t="s">
        <v>180</v>
      </c>
      <c r="E174" s="141" t="s">
        <v>427</v>
      </c>
      <c r="F174" s="142" t="s">
        <v>428</v>
      </c>
      <c r="G174" s="143" t="s">
        <v>332</v>
      </c>
      <c r="H174" s="144">
        <v>222.99299999999999</v>
      </c>
      <c r="I174" s="145"/>
      <c r="J174" s="146">
        <f>ROUND(I174*H174,2)</f>
        <v>0</v>
      </c>
      <c r="K174" s="142" t="s">
        <v>184</v>
      </c>
      <c r="L174" s="35"/>
      <c r="M174" s="147" t="s">
        <v>3</v>
      </c>
      <c r="N174" s="148" t="s">
        <v>48</v>
      </c>
      <c r="O174" s="55"/>
      <c r="P174" s="149">
        <f>O174*H174</f>
        <v>0</v>
      </c>
      <c r="Q174" s="149">
        <v>8.4470000000000003E-2</v>
      </c>
      <c r="R174" s="149">
        <f>Q174*H174</f>
        <v>18.836218710000001</v>
      </c>
      <c r="S174" s="149">
        <v>0</v>
      </c>
      <c r="T174" s="150">
        <f>S174*H174</f>
        <v>0</v>
      </c>
      <c r="U174" s="34"/>
      <c r="V174" s="34"/>
      <c r="W174" s="34"/>
      <c r="X174" s="34"/>
      <c r="Y174" s="34"/>
      <c r="Z174" s="34"/>
      <c r="AA174" s="34"/>
      <c r="AB174" s="34"/>
      <c r="AC174" s="34"/>
      <c r="AD174" s="34"/>
      <c r="AE174" s="34"/>
      <c r="AR174" s="151" t="s">
        <v>185</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429</v>
      </c>
    </row>
    <row r="175" spans="1:65" s="2" customFormat="1">
      <c r="A175" s="34"/>
      <c r="B175" s="35"/>
      <c r="C175" s="34"/>
      <c r="D175" s="153" t="s">
        <v>187</v>
      </c>
      <c r="E175" s="34"/>
      <c r="F175" s="154" t="s">
        <v>430</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431</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2" customFormat="1" ht="107.25">
      <c r="A177" s="34"/>
      <c r="B177" s="35"/>
      <c r="C177" s="34"/>
      <c r="D177" s="153" t="s">
        <v>191</v>
      </c>
      <c r="E177" s="34"/>
      <c r="F177" s="160" t="s">
        <v>396</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87</v>
      </c>
    </row>
    <row r="178" spans="1:65" s="14" customFormat="1">
      <c r="B178" s="169"/>
      <c r="D178" s="153" t="s">
        <v>193</v>
      </c>
      <c r="E178" s="170" t="s">
        <v>3</v>
      </c>
      <c r="F178" s="171" t="s">
        <v>432</v>
      </c>
      <c r="H178" s="170" t="s">
        <v>3</v>
      </c>
      <c r="I178" s="172"/>
      <c r="L178" s="169"/>
      <c r="M178" s="173"/>
      <c r="N178" s="174"/>
      <c r="O178" s="174"/>
      <c r="P178" s="174"/>
      <c r="Q178" s="174"/>
      <c r="R178" s="174"/>
      <c r="S178" s="174"/>
      <c r="T178" s="175"/>
      <c r="AT178" s="170" t="s">
        <v>193</v>
      </c>
      <c r="AU178" s="170" t="s">
        <v>87</v>
      </c>
      <c r="AV178" s="14" t="s">
        <v>85</v>
      </c>
      <c r="AW178" s="14" t="s">
        <v>36</v>
      </c>
      <c r="AX178" s="14" t="s">
        <v>77</v>
      </c>
      <c r="AY178" s="170" t="s">
        <v>177</v>
      </c>
    </row>
    <row r="179" spans="1:65" s="13" customFormat="1">
      <c r="B179" s="161"/>
      <c r="D179" s="153" t="s">
        <v>193</v>
      </c>
      <c r="E179" s="162" t="s">
        <v>3</v>
      </c>
      <c r="F179" s="163" t="s">
        <v>433</v>
      </c>
      <c r="H179" s="164">
        <v>78.156000000000006</v>
      </c>
      <c r="I179" s="165"/>
      <c r="L179" s="161"/>
      <c r="M179" s="166"/>
      <c r="N179" s="167"/>
      <c r="O179" s="167"/>
      <c r="P179" s="167"/>
      <c r="Q179" s="167"/>
      <c r="R179" s="167"/>
      <c r="S179" s="167"/>
      <c r="T179" s="168"/>
      <c r="AT179" s="162" t="s">
        <v>193</v>
      </c>
      <c r="AU179" s="162" t="s">
        <v>87</v>
      </c>
      <c r="AV179" s="13" t="s">
        <v>87</v>
      </c>
      <c r="AW179" s="13" t="s">
        <v>36</v>
      </c>
      <c r="AX179" s="13" t="s">
        <v>77</v>
      </c>
      <c r="AY179" s="162" t="s">
        <v>177</v>
      </c>
    </row>
    <row r="180" spans="1:65" s="13" customFormat="1">
      <c r="B180" s="161"/>
      <c r="D180" s="153" t="s">
        <v>193</v>
      </c>
      <c r="E180" s="162" t="s">
        <v>3</v>
      </c>
      <c r="F180" s="163" t="s">
        <v>434</v>
      </c>
      <c r="H180" s="164">
        <v>67.096999999999994</v>
      </c>
      <c r="I180" s="165"/>
      <c r="L180" s="161"/>
      <c r="M180" s="166"/>
      <c r="N180" s="167"/>
      <c r="O180" s="167"/>
      <c r="P180" s="167"/>
      <c r="Q180" s="167"/>
      <c r="R180" s="167"/>
      <c r="S180" s="167"/>
      <c r="T180" s="168"/>
      <c r="AT180" s="162" t="s">
        <v>193</v>
      </c>
      <c r="AU180" s="162" t="s">
        <v>87</v>
      </c>
      <c r="AV180" s="13" t="s">
        <v>87</v>
      </c>
      <c r="AW180" s="13" t="s">
        <v>36</v>
      </c>
      <c r="AX180" s="13" t="s">
        <v>77</v>
      </c>
      <c r="AY180" s="162" t="s">
        <v>177</v>
      </c>
    </row>
    <row r="181" spans="1:65" s="13" customFormat="1">
      <c r="B181" s="161"/>
      <c r="D181" s="153" t="s">
        <v>193</v>
      </c>
      <c r="E181" s="162" t="s">
        <v>3</v>
      </c>
      <c r="F181" s="163" t="s">
        <v>435</v>
      </c>
      <c r="H181" s="164">
        <v>77.739999999999995</v>
      </c>
      <c r="I181" s="165"/>
      <c r="L181" s="161"/>
      <c r="M181" s="166"/>
      <c r="N181" s="167"/>
      <c r="O181" s="167"/>
      <c r="P181" s="167"/>
      <c r="Q181" s="167"/>
      <c r="R181" s="167"/>
      <c r="S181" s="167"/>
      <c r="T181" s="168"/>
      <c r="AT181" s="162" t="s">
        <v>193</v>
      </c>
      <c r="AU181" s="162" t="s">
        <v>87</v>
      </c>
      <c r="AV181" s="13" t="s">
        <v>87</v>
      </c>
      <c r="AW181" s="13" t="s">
        <v>36</v>
      </c>
      <c r="AX181" s="13" t="s">
        <v>77</v>
      </c>
      <c r="AY181" s="162" t="s">
        <v>177</v>
      </c>
    </row>
    <row r="182" spans="1:65" s="16" customFormat="1">
      <c r="B182" s="184"/>
      <c r="D182" s="153" t="s">
        <v>193</v>
      </c>
      <c r="E182" s="185" t="s">
        <v>3</v>
      </c>
      <c r="F182" s="186" t="s">
        <v>201</v>
      </c>
      <c r="H182" s="187">
        <v>222.99299999999999</v>
      </c>
      <c r="I182" s="188"/>
      <c r="L182" s="184"/>
      <c r="M182" s="189"/>
      <c r="N182" s="190"/>
      <c r="O182" s="190"/>
      <c r="P182" s="190"/>
      <c r="Q182" s="190"/>
      <c r="R182" s="190"/>
      <c r="S182" s="190"/>
      <c r="T182" s="191"/>
      <c r="AT182" s="185" t="s">
        <v>193</v>
      </c>
      <c r="AU182" s="185" t="s">
        <v>87</v>
      </c>
      <c r="AV182" s="16" t="s">
        <v>185</v>
      </c>
      <c r="AW182" s="16" t="s">
        <v>36</v>
      </c>
      <c r="AX182" s="16" t="s">
        <v>85</v>
      </c>
      <c r="AY182" s="185" t="s">
        <v>177</v>
      </c>
    </row>
    <row r="183" spans="1:65" s="2" customFormat="1" ht="16.5" customHeight="1">
      <c r="A183" s="34"/>
      <c r="B183" s="139"/>
      <c r="C183" s="140" t="s">
        <v>9</v>
      </c>
      <c r="D183" s="140" t="s">
        <v>180</v>
      </c>
      <c r="E183" s="141" t="s">
        <v>436</v>
      </c>
      <c r="F183" s="142" t="s">
        <v>437</v>
      </c>
      <c r="G183" s="143" t="s">
        <v>332</v>
      </c>
      <c r="H183" s="144">
        <v>194.976</v>
      </c>
      <c r="I183" s="145"/>
      <c r="J183" s="146">
        <f>ROUND(I183*H183,2)</f>
        <v>0</v>
      </c>
      <c r="K183" s="142" t="s">
        <v>184</v>
      </c>
      <c r="L183" s="35"/>
      <c r="M183" s="147" t="s">
        <v>3</v>
      </c>
      <c r="N183" s="148" t="s">
        <v>48</v>
      </c>
      <c r="O183" s="55"/>
      <c r="P183" s="149">
        <f>O183*H183</f>
        <v>0</v>
      </c>
      <c r="Q183" s="149">
        <v>0</v>
      </c>
      <c r="R183" s="149">
        <f>Q183*H183</f>
        <v>0</v>
      </c>
      <c r="S183" s="149">
        <v>0</v>
      </c>
      <c r="T183" s="150">
        <f>S183*H183</f>
        <v>0</v>
      </c>
      <c r="U183" s="34"/>
      <c r="V183" s="34"/>
      <c r="W183" s="34"/>
      <c r="X183" s="34"/>
      <c r="Y183" s="34"/>
      <c r="Z183" s="34"/>
      <c r="AA183" s="34"/>
      <c r="AB183" s="34"/>
      <c r="AC183" s="34"/>
      <c r="AD183" s="34"/>
      <c r="AE183" s="34"/>
      <c r="AR183" s="151" t="s">
        <v>185</v>
      </c>
      <c r="AT183" s="151" t="s">
        <v>180</v>
      </c>
      <c r="AU183" s="151" t="s">
        <v>87</v>
      </c>
      <c r="AY183" s="19" t="s">
        <v>177</v>
      </c>
      <c r="BE183" s="152">
        <f>IF(N183="základní",J183,0)</f>
        <v>0</v>
      </c>
      <c r="BF183" s="152">
        <f>IF(N183="snížená",J183,0)</f>
        <v>0</v>
      </c>
      <c r="BG183" s="152">
        <f>IF(N183="zákl. přenesená",J183,0)</f>
        <v>0</v>
      </c>
      <c r="BH183" s="152">
        <f>IF(N183="sníž. přenesená",J183,0)</f>
        <v>0</v>
      </c>
      <c r="BI183" s="152">
        <f>IF(N183="nulová",J183,0)</f>
        <v>0</v>
      </c>
      <c r="BJ183" s="19" t="s">
        <v>85</v>
      </c>
      <c r="BK183" s="152">
        <f>ROUND(I183*H183,2)</f>
        <v>0</v>
      </c>
      <c r="BL183" s="19" t="s">
        <v>185</v>
      </c>
      <c r="BM183" s="151" t="s">
        <v>438</v>
      </c>
    </row>
    <row r="184" spans="1:65" s="2" customFormat="1">
      <c r="A184" s="34"/>
      <c r="B184" s="35"/>
      <c r="C184" s="34"/>
      <c r="D184" s="153" t="s">
        <v>187</v>
      </c>
      <c r="E184" s="34"/>
      <c r="F184" s="154" t="s">
        <v>439</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187</v>
      </c>
      <c r="AU184" s="19" t="s">
        <v>87</v>
      </c>
    </row>
    <row r="185" spans="1:65" s="2" customFormat="1">
      <c r="A185" s="34"/>
      <c r="B185" s="35"/>
      <c r="C185" s="34"/>
      <c r="D185" s="158" t="s">
        <v>189</v>
      </c>
      <c r="E185" s="34"/>
      <c r="F185" s="159" t="s">
        <v>440</v>
      </c>
      <c r="G185" s="34"/>
      <c r="H185" s="34"/>
      <c r="I185" s="155"/>
      <c r="J185" s="34"/>
      <c r="K185" s="34"/>
      <c r="L185" s="35"/>
      <c r="M185" s="156"/>
      <c r="N185" s="157"/>
      <c r="O185" s="55"/>
      <c r="P185" s="55"/>
      <c r="Q185" s="55"/>
      <c r="R185" s="55"/>
      <c r="S185" s="55"/>
      <c r="T185" s="56"/>
      <c r="U185" s="34"/>
      <c r="V185" s="34"/>
      <c r="W185" s="34"/>
      <c r="X185" s="34"/>
      <c r="Y185" s="34"/>
      <c r="Z185" s="34"/>
      <c r="AA185" s="34"/>
      <c r="AB185" s="34"/>
      <c r="AC185" s="34"/>
      <c r="AD185" s="34"/>
      <c r="AE185" s="34"/>
      <c r="AT185" s="19" t="s">
        <v>189</v>
      </c>
      <c r="AU185" s="19" t="s">
        <v>87</v>
      </c>
    </row>
    <row r="186" spans="1:65" s="2" customFormat="1" ht="107.25">
      <c r="A186" s="34"/>
      <c r="B186" s="35"/>
      <c r="C186" s="34"/>
      <c r="D186" s="153" t="s">
        <v>191</v>
      </c>
      <c r="E186" s="34"/>
      <c r="F186" s="160" t="s">
        <v>396</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191</v>
      </c>
      <c r="AU186" s="19" t="s">
        <v>87</v>
      </c>
    </row>
    <row r="187" spans="1:65" s="14" customFormat="1">
      <c r="B187" s="169"/>
      <c r="D187" s="153" t="s">
        <v>193</v>
      </c>
      <c r="E187" s="170" t="s">
        <v>3</v>
      </c>
      <c r="F187" s="171" t="s">
        <v>441</v>
      </c>
      <c r="H187" s="170" t="s">
        <v>3</v>
      </c>
      <c r="I187" s="172"/>
      <c r="L187" s="169"/>
      <c r="M187" s="173"/>
      <c r="N187" s="174"/>
      <c r="O187" s="174"/>
      <c r="P187" s="174"/>
      <c r="Q187" s="174"/>
      <c r="R187" s="174"/>
      <c r="S187" s="174"/>
      <c r="T187" s="175"/>
      <c r="AT187" s="170" t="s">
        <v>193</v>
      </c>
      <c r="AU187" s="170" t="s">
        <v>87</v>
      </c>
      <c r="AV187" s="14" t="s">
        <v>85</v>
      </c>
      <c r="AW187" s="14" t="s">
        <v>36</v>
      </c>
      <c r="AX187" s="14" t="s">
        <v>77</v>
      </c>
      <c r="AY187" s="170" t="s">
        <v>177</v>
      </c>
    </row>
    <row r="188" spans="1:65" s="13" customFormat="1">
      <c r="B188" s="161"/>
      <c r="D188" s="153" t="s">
        <v>193</v>
      </c>
      <c r="E188" s="162" t="s">
        <v>3</v>
      </c>
      <c r="F188" s="163" t="s">
        <v>442</v>
      </c>
      <c r="H188" s="164">
        <v>194.976</v>
      </c>
      <c r="I188" s="165"/>
      <c r="L188" s="161"/>
      <c r="M188" s="166"/>
      <c r="N188" s="167"/>
      <c r="O188" s="167"/>
      <c r="P188" s="167"/>
      <c r="Q188" s="167"/>
      <c r="R188" s="167"/>
      <c r="S188" s="167"/>
      <c r="T188" s="168"/>
      <c r="AT188" s="162" t="s">
        <v>193</v>
      </c>
      <c r="AU188" s="162" t="s">
        <v>87</v>
      </c>
      <c r="AV188" s="13" t="s">
        <v>87</v>
      </c>
      <c r="AW188" s="13" t="s">
        <v>36</v>
      </c>
      <c r="AX188" s="13" t="s">
        <v>85</v>
      </c>
      <c r="AY188" s="162" t="s">
        <v>177</v>
      </c>
    </row>
    <row r="189" spans="1:65" s="2" customFormat="1" ht="16.5" customHeight="1">
      <c r="A189" s="34"/>
      <c r="B189" s="139"/>
      <c r="C189" s="140" t="s">
        <v>237</v>
      </c>
      <c r="D189" s="140" t="s">
        <v>180</v>
      </c>
      <c r="E189" s="141" t="s">
        <v>443</v>
      </c>
      <c r="F189" s="142" t="s">
        <v>444</v>
      </c>
      <c r="G189" s="143" t="s">
        <v>332</v>
      </c>
      <c r="H189" s="144">
        <v>414.15800000000002</v>
      </c>
      <c r="I189" s="145"/>
      <c r="J189" s="146">
        <f>ROUND(I189*H189,2)</f>
        <v>0</v>
      </c>
      <c r="K189" s="142" t="s">
        <v>184</v>
      </c>
      <c r="L189" s="35"/>
      <c r="M189" s="147" t="s">
        <v>3</v>
      </c>
      <c r="N189" s="148" t="s">
        <v>48</v>
      </c>
      <c r="O189" s="55"/>
      <c r="P189" s="149">
        <f>O189*H189</f>
        <v>0</v>
      </c>
      <c r="Q189" s="149">
        <v>3.9699999999999996E-3</v>
      </c>
      <c r="R189" s="149">
        <f>Q189*H189</f>
        <v>1.6442072599999999</v>
      </c>
      <c r="S189" s="149">
        <v>0</v>
      </c>
      <c r="T189" s="150">
        <f>S189*H189</f>
        <v>0</v>
      </c>
      <c r="U189" s="34"/>
      <c r="V189" s="34"/>
      <c r="W189" s="34"/>
      <c r="X189" s="34"/>
      <c r="Y189" s="34"/>
      <c r="Z189" s="34"/>
      <c r="AA189" s="34"/>
      <c r="AB189" s="34"/>
      <c r="AC189" s="34"/>
      <c r="AD189" s="34"/>
      <c r="AE189" s="34"/>
      <c r="AR189" s="151" t="s">
        <v>185</v>
      </c>
      <c r="AT189" s="151" t="s">
        <v>180</v>
      </c>
      <c r="AU189" s="151" t="s">
        <v>87</v>
      </c>
      <c r="AY189" s="19" t="s">
        <v>177</v>
      </c>
      <c r="BE189" s="152">
        <f>IF(N189="základní",J189,0)</f>
        <v>0</v>
      </c>
      <c r="BF189" s="152">
        <f>IF(N189="snížená",J189,0)</f>
        <v>0</v>
      </c>
      <c r="BG189" s="152">
        <f>IF(N189="zákl. přenesená",J189,0)</f>
        <v>0</v>
      </c>
      <c r="BH189" s="152">
        <f>IF(N189="sníž. přenesená",J189,0)</f>
        <v>0</v>
      </c>
      <c r="BI189" s="152">
        <f>IF(N189="nulová",J189,0)</f>
        <v>0</v>
      </c>
      <c r="BJ189" s="19" t="s">
        <v>85</v>
      </c>
      <c r="BK189" s="152">
        <f>ROUND(I189*H189,2)</f>
        <v>0</v>
      </c>
      <c r="BL189" s="19" t="s">
        <v>185</v>
      </c>
      <c r="BM189" s="151" t="s">
        <v>445</v>
      </c>
    </row>
    <row r="190" spans="1:65" s="2" customFormat="1">
      <c r="A190" s="34"/>
      <c r="B190" s="35"/>
      <c r="C190" s="34"/>
      <c r="D190" s="153" t="s">
        <v>187</v>
      </c>
      <c r="E190" s="34"/>
      <c r="F190" s="154" t="s">
        <v>446</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187</v>
      </c>
      <c r="AU190" s="19" t="s">
        <v>87</v>
      </c>
    </row>
    <row r="191" spans="1:65" s="2" customFormat="1">
      <c r="A191" s="34"/>
      <c r="B191" s="35"/>
      <c r="C191" s="34"/>
      <c r="D191" s="158" t="s">
        <v>189</v>
      </c>
      <c r="E191" s="34"/>
      <c r="F191" s="159" t="s">
        <v>447</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189</v>
      </c>
      <c r="AU191" s="19" t="s">
        <v>87</v>
      </c>
    </row>
    <row r="192" spans="1:65" s="2" customFormat="1" ht="29.25">
      <c r="A192" s="34"/>
      <c r="B192" s="35"/>
      <c r="C192" s="34"/>
      <c r="D192" s="153" t="s">
        <v>191</v>
      </c>
      <c r="E192" s="34"/>
      <c r="F192" s="160" t="s">
        <v>448</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191</v>
      </c>
      <c r="AU192" s="19" t="s">
        <v>87</v>
      </c>
    </row>
    <row r="193" spans="1:65" s="2" customFormat="1" ht="16.5" customHeight="1">
      <c r="A193" s="34"/>
      <c r="B193" s="139"/>
      <c r="C193" s="140" t="s">
        <v>302</v>
      </c>
      <c r="D193" s="140" t="s">
        <v>180</v>
      </c>
      <c r="E193" s="141" t="s">
        <v>449</v>
      </c>
      <c r="F193" s="142" t="s">
        <v>450</v>
      </c>
      <c r="G193" s="143" t="s">
        <v>332</v>
      </c>
      <c r="H193" s="144">
        <v>356.78899999999999</v>
      </c>
      <c r="I193" s="145"/>
      <c r="J193" s="146">
        <f>ROUND(I193*H193,2)</f>
        <v>0</v>
      </c>
      <c r="K193" s="142" t="s">
        <v>184</v>
      </c>
      <c r="L193" s="35"/>
      <c r="M193" s="147" t="s">
        <v>3</v>
      </c>
      <c r="N193" s="148" t="s">
        <v>48</v>
      </c>
      <c r="O193" s="55"/>
      <c r="P193" s="149">
        <f>O193*H193</f>
        <v>0</v>
      </c>
      <c r="Q193" s="149">
        <v>4.2700000000000004E-3</v>
      </c>
      <c r="R193" s="149">
        <f>Q193*H193</f>
        <v>1.5234890300000001</v>
      </c>
      <c r="S193" s="149">
        <v>0</v>
      </c>
      <c r="T193" s="150">
        <f>S193*H193</f>
        <v>0</v>
      </c>
      <c r="U193" s="34"/>
      <c r="V193" s="34"/>
      <c r="W193" s="34"/>
      <c r="X193" s="34"/>
      <c r="Y193" s="34"/>
      <c r="Z193" s="34"/>
      <c r="AA193" s="34"/>
      <c r="AB193" s="34"/>
      <c r="AC193" s="34"/>
      <c r="AD193" s="34"/>
      <c r="AE193" s="34"/>
      <c r="AR193" s="151" t="s">
        <v>185</v>
      </c>
      <c r="AT193" s="151" t="s">
        <v>180</v>
      </c>
      <c r="AU193" s="151" t="s">
        <v>87</v>
      </c>
      <c r="AY193" s="19" t="s">
        <v>177</v>
      </c>
      <c r="BE193" s="152">
        <f>IF(N193="základní",J193,0)</f>
        <v>0</v>
      </c>
      <c r="BF193" s="152">
        <f>IF(N193="snížená",J193,0)</f>
        <v>0</v>
      </c>
      <c r="BG193" s="152">
        <f>IF(N193="zákl. přenesená",J193,0)</f>
        <v>0</v>
      </c>
      <c r="BH193" s="152">
        <f>IF(N193="sníž. přenesená",J193,0)</f>
        <v>0</v>
      </c>
      <c r="BI193" s="152">
        <f>IF(N193="nulová",J193,0)</f>
        <v>0</v>
      </c>
      <c r="BJ193" s="19" t="s">
        <v>85</v>
      </c>
      <c r="BK193" s="152">
        <f>ROUND(I193*H193,2)</f>
        <v>0</v>
      </c>
      <c r="BL193" s="19" t="s">
        <v>185</v>
      </c>
      <c r="BM193" s="151" t="s">
        <v>451</v>
      </c>
    </row>
    <row r="194" spans="1:65" s="2" customFormat="1">
      <c r="A194" s="34"/>
      <c r="B194" s="35"/>
      <c r="C194" s="34"/>
      <c r="D194" s="153" t="s">
        <v>187</v>
      </c>
      <c r="E194" s="34"/>
      <c r="F194" s="154" t="s">
        <v>452</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187</v>
      </c>
      <c r="AU194" s="19" t="s">
        <v>87</v>
      </c>
    </row>
    <row r="195" spans="1:65" s="2" customFormat="1">
      <c r="A195" s="34"/>
      <c r="B195" s="35"/>
      <c r="C195" s="34"/>
      <c r="D195" s="158" t="s">
        <v>189</v>
      </c>
      <c r="E195" s="34"/>
      <c r="F195" s="159" t="s">
        <v>453</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189</v>
      </c>
      <c r="AU195" s="19" t="s">
        <v>87</v>
      </c>
    </row>
    <row r="196" spans="1:65" s="2" customFormat="1" ht="29.25">
      <c r="A196" s="34"/>
      <c r="B196" s="35"/>
      <c r="C196" s="34"/>
      <c r="D196" s="153" t="s">
        <v>191</v>
      </c>
      <c r="E196" s="34"/>
      <c r="F196" s="160" t="s">
        <v>448</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191</v>
      </c>
      <c r="AU196" s="19" t="s">
        <v>87</v>
      </c>
    </row>
    <row r="197" spans="1:65" s="2" customFormat="1" ht="16.5" customHeight="1">
      <c r="A197" s="34"/>
      <c r="B197" s="139"/>
      <c r="C197" s="140" t="s">
        <v>315</v>
      </c>
      <c r="D197" s="140" t="s">
        <v>180</v>
      </c>
      <c r="E197" s="141" t="s">
        <v>454</v>
      </c>
      <c r="F197" s="142" t="s">
        <v>455</v>
      </c>
      <c r="G197" s="143" t="s">
        <v>332</v>
      </c>
      <c r="H197" s="144">
        <v>478.23500000000001</v>
      </c>
      <c r="I197" s="145"/>
      <c r="J197" s="146">
        <f>ROUND(I197*H197,2)</f>
        <v>0</v>
      </c>
      <c r="K197" s="142" t="s">
        <v>184</v>
      </c>
      <c r="L197" s="35"/>
      <c r="M197" s="147" t="s">
        <v>3</v>
      </c>
      <c r="N197" s="148" t="s">
        <v>48</v>
      </c>
      <c r="O197" s="55"/>
      <c r="P197" s="149">
        <f>O197*H197</f>
        <v>0</v>
      </c>
      <c r="Q197" s="149">
        <v>1.5299999999999999E-3</v>
      </c>
      <c r="R197" s="149">
        <f>Q197*H197</f>
        <v>0.73169954999999998</v>
      </c>
      <c r="S197" s="149">
        <v>0</v>
      </c>
      <c r="T197" s="150">
        <f>S197*H197</f>
        <v>0</v>
      </c>
      <c r="U197" s="34"/>
      <c r="V197" s="34"/>
      <c r="W197" s="34"/>
      <c r="X197" s="34"/>
      <c r="Y197" s="34"/>
      <c r="Z197" s="34"/>
      <c r="AA197" s="34"/>
      <c r="AB197" s="34"/>
      <c r="AC197" s="34"/>
      <c r="AD197" s="34"/>
      <c r="AE197" s="34"/>
      <c r="AR197" s="151" t="s">
        <v>185</v>
      </c>
      <c r="AT197" s="151" t="s">
        <v>180</v>
      </c>
      <c r="AU197" s="151" t="s">
        <v>87</v>
      </c>
      <c r="AY197" s="19" t="s">
        <v>177</v>
      </c>
      <c r="BE197" s="152">
        <f>IF(N197="základní",J197,0)</f>
        <v>0</v>
      </c>
      <c r="BF197" s="152">
        <f>IF(N197="snížená",J197,0)</f>
        <v>0</v>
      </c>
      <c r="BG197" s="152">
        <f>IF(N197="zákl. přenesená",J197,0)</f>
        <v>0</v>
      </c>
      <c r="BH197" s="152">
        <f>IF(N197="sníž. přenesená",J197,0)</f>
        <v>0</v>
      </c>
      <c r="BI197" s="152">
        <f>IF(N197="nulová",J197,0)</f>
        <v>0</v>
      </c>
      <c r="BJ197" s="19" t="s">
        <v>85</v>
      </c>
      <c r="BK197" s="152">
        <f>ROUND(I197*H197,2)</f>
        <v>0</v>
      </c>
      <c r="BL197" s="19" t="s">
        <v>185</v>
      </c>
      <c r="BM197" s="151" t="s">
        <v>456</v>
      </c>
    </row>
    <row r="198" spans="1:65" s="2" customFormat="1">
      <c r="A198" s="34"/>
      <c r="B198" s="35"/>
      <c r="C198" s="34"/>
      <c r="D198" s="153" t="s">
        <v>187</v>
      </c>
      <c r="E198" s="34"/>
      <c r="F198" s="154" t="s">
        <v>457</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187</v>
      </c>
      <c r="AU198" s="19" t="s">
        <v>87</v>
      </c>
    </row>
    <row r="199" spans="1:65" s="2" customFormat="1">
      <c r="A199" s="34"/>
      <c r="B199" s="35"/>
      <c r="C199" s="34"/>
      <c r="D199" s="158" t="s">
        <v>189</v>
      </c>
      <c r="E199" s="34"/>
      <c r="F199" s="159" t="s">
        <v>458</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189</v>
      </c>
      <c r="AU199" s="19" t="s">
        <v>87</v>
      </c>
    </row>
    <row r="200" spans="1:65" s="2" customFormat="1" ht="39">
      <c r="A200" s="34"/>
      <c r="B200" s="35"/>
      <c r="C200" s="34"/>
      <c r="D200" s="153" t="s">
        <v>191</v>
      </c>
      <c r="E200" s="34"/>
      <c r="F200" s="160" t="s">
        <v>459</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191</v>
      </c>
      <c r="AU200" s="19" t="s">
        <v>87</v>
      </c>
    </row>
    <row r="201" spans="1:65" s="13" customFormat="1">
      <c r="B201" s="161"/>
      <c r="D201" s="153" t="s">
        <v>193</v>
      </c>
      <c r="E201" s="162" t="s">
        <v>3</v>
      </c>
      <c r="F201" s="163" t="s">
        <v>460</v>
      </c>
      <c r="H201" s="164">
        <v>478.23500000000001</v>
      </c>
      <c r="I201" s="165"/>
      <c r="L201" s="161"/>
      <c r="M201" s="166"/>
      <c r="N201" s="167"/>
      <c r="O201" s="167"/>
      <c r="P201" s="167"/>
      <c r="Q201" s="167"/>
      <c r="R201" s="167"/>
      <c r="S201" s="167"/>
      <c r="T201" s="168"/>
      <c r="AT201" s="162" t="s">
        <v>193</v>
      </c>
      <c r="AU201" s="162" t="s">
        <v>87</v>
      </c>
      <c r="AV201" s="13" t="s">
        <v>87</v>
      </c>
      <c r="AW201" s="13" t="s">
        <v>36</v>
      </c>
      <c r="AX201" s="13" t="s">
        <v>85</v>
      </c>
      <c r="AY201" s="162" t="s">
        <v>177</v>
      </c>
    </row>
    <row r="202" spans="1:65" s="2" customFormat="1" ht="16.5" customHeight="1">
      <c r="A202" s="34"/>
      <c r="B202" s="139"/>
      <c r="C202" s="140" t="s">
        <v>461</v>
      </c>
      <c r="D202" s="140" t="s">
        <v>180</v>
      </c>
      <c r="E202" s="141" t="s">
        <v>462</v>
      </c>
      <c r="F202" s="142" t="s">
        <v>463</v>
      </c>
      <c r="G202" s="143" t="s">
        <v>332</v>
      </c>
      <c r="H202" s="144">
        <v>770.947</v>
      </c>
      <c r="I202" s="145"/>
      <c r="J202" s="146">
        <f>ROUND(I202*H202,2)</f>
        <v>0</v>
      </c>
      <c r="K202" s="142" t="s">
        <v>184</v>
      </c>
      <c r="L202" s="35"/>
      <c r="M202" s="147" t="s">
        <v>3</v>
      </c>
      <c r="N202" s="148" t="s">
        <v>48</v>
      </c>
      <c r="O202" s="55"/>
      <c r="P202" s="149">
        <f>O202*H202</f>
        <v>0</v>
      </c>
      <c r="Q202" s="149">
        <v>2.0999999999999999E-3</v>
      </c>
      <c r="R202" s="149">
        <f>Q202*H202</f>
        <v>1.6189886999999998</v>
      </c>
      <c r="S202" s="149">
        <v>0</v>
      </c>
      <c r="T202" s="150">
        <f>S202*H202</f>
        <v>0</v>
      </c>
      <c r="U202" s="34"/>
      <c r="V202" s="34"/>
      <c r="W202" s="34"/>
      <c r="X202" s="34"/>
      <c r="Y202" s="34"/>
      <c r="Z202" s="34"/>
      <c r="AA202" s="34"/>
      <c r="AB202" s="34"/>
      <c r="AC202" s="34"/>
      <c r="AD202" s="34"/>
      <c r="AE202" s="34"/>
      <c r="AR202" s="151" t="s">
        <v>185</v>
      </c>
      <c r="AT202" s="151" t="s">
        <v>180</v>
      </c>
      <c r="AU202" s="151" t="s">
        <v>87</v>
      </c>
      <c r="AY202" s="19" t="s">
        <v>177</v>
      </c>
      <c r="BE202" s="152">
        <f>IF(N202="základní",J202,0)</f>
        <v>0</v>
      </c>
      <c r="BF202" s="152">
        <f>IF(N202="snížená",J202,0)</f>
        <v>0</v>
      </c>
      <c r="BG202" s="152">
        <f>IF(N202="zákl. přenesená",J202,0)</f>
        <v>0</v>
      </c>
      <c r="BH202" s="152">
        <f>IF(N202="sníž. přenesená",J202,0)</f>
        <v>0</v>
      </c>
      <c r="BI202" s="152">
        <f>IF(N202="nulová",J202,0)</f>
        <v>0</v>
      </c>
      <c r="BJ202" s="19" t="s">
        <v>85</v>
      </c>
      <c r="BK202" s="152">
        <f>ROUND(I202*H202,2)</f>
        <v>0</v>
      </c>
      <c r="BL202" s="19" t="s">
        <v>185</v>
      </c>
      <c r="BM202" s="151" t="s">
        <v>464</v>
      </c>
    </row>
    <row r="203" spans="1:65" s="2" customFormat="1">
      <c r="A203" s="34"/>
      <c r="B203" s="35"/>
      <c r="C203" s="34"/>
      <c r="D203" s="153" t="s">
        <v>187</v>
      </c>
      <c r="E203" s="34"/>
      <c r="F203" s="154" t="s">
        <v>465</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187</v>
      </c>
      <c r="AU203" s="19" t="s">
        <v>87</v>
      </c>
    </row>
    <row r="204" spans="1:65" s="2" customFormat="1">
      <c r="A204" s="34"/>
      <c r="B204" s="35"/>
      <c r="C204" s="34"/>
      <c r="D204" s="158" t="s">
        <v>189</v>
      </c>
      <c r="E204" s="34"/>
      <c r="F204" s="159" t="s">
        <v>466</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189</v>
      </c>
      <c r="AU204" s="19" t="s">
        <v>87</v>
      </c>
    </row>
    <row r="205" spans="1:65" s="13" customFormat="1">
      <c r="B205" s="161"/>
      <c r="D205" s="153" t="s">
        <v>193</v>
      </c>
      <c r="E205" s="162" t="s">
        <v>3</v>
      </c>
      <c r="F205" s="163" t="s">
        <v>384</v>
      </c>
      <c r="H205" s="164">
        <v>414.15800000000002</v>
      </c>
      <c r="I205" s="165"/>
      <c r="L205" s="161"/>
      <c r="M205" s="166"/>
      <c r="N205" s="167"/>
      <c r="O205" s="167"/>
      <c r="P205" s="167"/>
      <c r="Q205" s="167"/>
      <c r="R205" s="167"/>
      <c r="S205" s="167"/>
      <c r="T205" s="168"/>
      <c r="AT205" s="162" t="s">
        <v>193</v>
      </c>
      <c r="AU205" s="162" t="s">
        <v>87</v>
      </c>
      <c r="AV205" s="13" t="s">
        <v>87</v>
      </c>
      <c r="AW205" s="13" t="s">
        <v>36</v>
      </c>
      <c r="AX205" s="13" t="s">
        <v>77</v>
      </c>
      <c r="AY205" s="162" t="s">
        <v>177</v>
      </c>
    </row>
    <row r="206" spans="1:65" s="13" customFormat="1">
      <c r="B206" s="161"/>
      <c r="D206" s="153" t="s">
        <v>193</v>
      </c>
      <c r="E206" s="162" t="s">
        <v>3</v>
      </c>
      <c r="F206" s="163" t="s">
        <v>390</v>
      </c>
      <c r="H206" s="164">
        <v>356.78899999999999</v>
      </c>
      <c r="I206" s="165"/>
      <c r="L206" s="161"/>
      <c r="M206" s="166"/>
      <c r="N206" s="167"/>
      <c r="O206" s="167"/>
      <c r="P206" s="167"/>
      <c r="Q206" s="167"/>
      <c r="R206" s="167"/>
      <c r="S206" s="167"/>
      <c r="T206" s="168"/>
      <c r="AT206" s="162" t="s">
        <v>193</v>
      </c>
      <c r="AU206" s="162" t="s">
        <v>87</v>
      </c>
      <c r="AV206" s="13" t="s">
        <v>87</v>
      </c>
      <c r="AW206" s="13" t="s">
        <v>36</v>
      </c>
      <c r="AX206" s="13" t="s">
        <v>77</v>
      </c>
      <c r="AY206" s="162" t="s">
        <v>177</v>
      </c>
    </row>
    <row r="207" spans="1:65" s="16" customFormat="1">
      <c r="B207" s="184"/>
      <c r="D207" s="153" t="s">
        <v>193</v>
      </c>
      <c r="E207" s="185" t="s">
        <v>3</v>
      </c>
      <c r="F207" s="186" t="s">
        <v>201</v>
      </c>
      <c r="H207" s="187">
        <v>770.947</v>
      </c>
      <c r="I207" s="188"/>
      <c r="L207" s="184"/>
      <c r="M207" s="189"/>
      <c r="N207" s="190"/>
      <c r="O207" s="190"/>
      <c r="P207" s="190"/>
      <c r="Q207" s="190"/>
      <c r="R207" s="190"/>
      <c r="S207" s="190"/>
      <c r="T207" s="191"/>
      <c r="AT207" s="185" t="s">
        <v>193</v>
      </c>
      <c r="AU207" s="185" t="s">
        <v>87</v>
      </c>
      <c r="AV207" s="16" t="s">
        <v>185</v>
      </c>
      <c r="AW207" s="16" t="s">
        <v>36</v>
      </c>
      <c r="AX207" s="16" t="s">
        <v>85</v>
      </c>
      <c r="AY207" s="185" t="s">
        <v>177</v>
      </c>
    </row>
    <row r="208" spans="1:65" s="2" customFormat="1" ht="16.5" customHeight="1">
      <c r="A208" s="34"/>
      <c r="B208" s="139"/>
      <c r="C208" s="140" t="s">
        <v>467</v>
      </c>
      <c r="D208" s="140" t="s">
        <v>180</v>
      </c>
      <c r="E208" s="141" t="s">
        <v>468</v>
      </c>
      <c r="F208" s="142" t="s">
        <v>469</v>
      </c>
      <c r="G208" s="143" t="s">
        <v>332</v>
      </c>
      <c r="H208" s="144">
        <v>770.947</v>
      </c>
      <c r="I208" s="145"/>
      <c r="J208" s="146">
        <f>ROUND(I208*H208,2)</f>
        <v>0</v>
      </c>
      <c r="K208" s="142" t="s">
        <v>184</v>
      </c>
      <c r="L208" s="35"/>
      <c r="M208" s="147" t="s">
        <v>3</v>
      </c>
      <c r="N208" s="148" t="s">
        <v>48</v>
      </c>
      <c r="O208" s="55"/>
      <c r="P208" s="149">
        <f>O208*H208</f>
        <v>0</v>
      </c>
      <c r="Q208" s="149">
        <v>1.0924299999999999E-3</v>
      </c>
      <c r="R208" s="149">
        <f>Q208*H208</f>
        <v>0.84220563120999992</v>
      </c>
      <c r="S208" s="149">
        <v>0</v>
      </c>
      <c r="T208" s="150">
        <f>S208*H208</f>
        <v>0</v>
      </c>
      <c r="U208" s="34"/>
      <c r="V208" s="34"/>
      <c r="W208" s="34"/>
      <c r="X208" s="34"/>
      <c r="Y208" s="34"/>
      <c r="Z208" s="34"/>
      <c r="AA208" s="34"/>
      <c r="AB208" s="34"/>
      <c r="AC208" s="34"/>
      <c r="AD208" s="34"/>
      <c r="AE208" s="34"/>
      <c r="AR208" s="151" t="s">
        <v>185</v>
      </c>
      <c r="AT208" s="151" t="s">
        <v>180</v>
      </c>
      <c r="AU208" s="151" t="s">
        <v>87</v>
      </c>
      <c r="AY208" s="19" t="s">
        <v>177</v>
      </c>
      <c r="BE208" s="152">
        <f>IF(N208="základní",J208,0)</f>
        <v>0</v>
      </c>
      <c r="BF208" s="152">
        <f>IF(N208="snížená",J208,0)</f>
        <v>0</v>
      </c>
      <c r="BG208" s="152">
        <f>IF(N208="zákl. přenesená",J208,0)</f>
        <v>0</v>
      </c>
      <c r="BH208" s="152">
        <f>IF(N208="sníž. přenesená",J208,0)</f>
        <v>0</v>
      </c>
      <c r="BI208" s="152">
        <f>IF(N208="nulová",J208,0)</f>
        <v>0</v>
      </c>
      <c r="BJ208" s="19" t="s">
        <v>85</v>
      </c>
      <c r="BK208" s="152">
        <f>ROUND(I208*H208,2)</f>
        <v>0</v>
      </c>
      <c r="BL208" s="19" t="s">
        <v>185</v>
      </c>
      <c r="BM208" s="151" t="s">
        <v>470</v>
      </c>
    </row>
    <row r="209" spans="1:65" s="2" customFormat="1">
      <c r="A209" s="34"/>
      <c r="B209" s="35"/>
      <c r="C209" s="34"/>
      <c r="D209" s="153" t="s">
        <v>187</v>
      </c>
      <c r="E209" s="34"/>
      <c r="F209" s="154" t="s">
        <v>471</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187</v>
      </c>
      <c r="AU209" s="19" t="s">
        <v>87</v>
      </c>
    </row>
    <row r="210" spans="1:65" s="2" customFormat="1">
      <c r="A210" s="34"/>
      <c r="B210" s="35"/>
      <c r="C210" s="34"/>
      <c r="D210" s="158" t="s">
        <v>189</v>
      </c>
      <c r="E210" s="34"/>
      <c r="F210" s="159" t="s">
        <v>472</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189</v>
      </c>
      <c r="AU210" s="19" t="s">
        <v>87</v>
      </c>
    </row>
    <row r="211" spans="1:65" s="13" customFormat="1">
      <c r="B211" s="161"/>
      <c r="D211" s="153" t="s">
        <v>193</v>
      </c>
      <c r="E211" s="162" t="s">
        <v>3</v>
      </c>
      <c r="F211" s="163" t="s">
        <v>473</v>
      </c>
      <c r="H211" s="164">
        <v>770.947</v>
      </c>
      <c r="I211" s="165"/>
      <c r="L211" s="161"/>
      <c r="M211" s="166"/>
      <c r="N211" s="167"/>
      <c r="O211" s="167"/>
      <c r="P211" s="167"/>
      <c r="Q211" s="167"/>
      <c r="R211" s="167"/>
      <c r="S211" s="167"/>
      <c r="T211" s="168"/>
      <c r="AT211" s="162" t="s">
        <v>193</v>
      </c>
      <c r="AU211" s="162" t="s">
        <v>87</v>
      </c>
      <c r="AV211" s="13" t="s">
        <v>87</v>
      </c>
      <c r="AW211" s="13" t="s">
        <v>36</v>
      </c>
      <c r="AX211" s="13" t="s">
        <v>85</v>
      </c>
      <c r="AY211" s="162" t="s">
        <v>177</v>
      </c>
    </row>
    <row r="212" spans="1:65" s="2" customFormat="1" ht="16.5" customHeight="1">
      <c r="A212" s="34"/>
      <c r="B212" s="139"/>
      <c r="C212" s="140" t="s">
        <v>8</v>
      </c>
      <c r="D212" s="140" t="s">
        <v>180</v>
      </c>
      <c r="E212" s="141" t="s">
        <v>474</v>
      </c>
      <c r="F212" s="142" t="s">
        <v>475</v>
      </c>
      <c r="G212" s="143" t="s">
        <v>476</v>
      </c>
      <c r="H212" s="144">
        <v>597.79399999999998</v>
      </c>
      <c r="I212" s="145"/>
      <c r="J212" s="146">
        <f>ROUND(I212*H212,2)</f>
        <v>0</v>
      </c>
      <c r="K212" s="142" t="s">
        <v>184</v>
      </c>
      <c r="L212" s="35"/>
      <c r="M212" s="147" t="s">
        <v>3</v>
      </c>
      <c r="N212" s="148" t="s">
        <v>48</v>
      </c>
      <c r="O212" s="55"/>
      <c r="P212" s="149">
        <f>O212*H212</f>
        <v>0</v>
      </c>
      <c r="Q212" s="149">
        <v>4.3140000000000002E-4</v>
      </c>
      <c r="R212" s="149">
        <f>Q212*H212</f>
        <v>0.25788833160000002</v>
      </c>
      <c r="S212" s="149">
        <v>0</v>
      </c>
      <c r="T212" s="150">
        <f>S212*H212</f>
        <v>0</v>
      </c>
      <c r="U212" s="34"/>
      <c r="V212" s="34"/>
      <c r="W212" s="34"/>
      <c r="X212" s="34"/>
      <c r="Y212" s="34"/>
      <c r="Z212" s="34"/>
      <c r="AA212" s="34"/>
      <c r="AB212" s="34"/>
      <c r="AC212" s="34"/>
      <c r="AD212" s="34"/>
      <c r="AE212" s="34"/>
      <c r="AR212" s="151" t="s">
        <v>185</v>
      </c>
      <c r="AT212" s="151" t="s">
        <v>180</v>
      </c>
      <c r="AU212" s="151" t="s">
        <v>87</v>
      </c>
      <c r="AY212" s="19" t="s">
        <v>177</v>
      </c>
      <c r="BE212" s="152">
        <f>IF(N212="základní",J212,0)</f>
        <v>0</v>
      </c>
      <c r="BF212" s="152">
        <f>IF(N212="snížená",J212,0)</f>
        <v>0</v>
      </c>
      <c r="BG212" s="152">
        <f>IF(N212="zákl. přenesená",J212,0)</f>
        <v>0</v>
      </c>
      <c r="BH212" s="152">
        <f>IF(N212="sníž. přenesená",J212,0)</f>
        <v>0</v>
      </c>
      <c r="BI212" s="152">
        <f>IF(N212="nulová",J212,0)</f>
        <v>0</v>
      </c>
      <c r="BJ212" s="19" t="s">
        <v>85</v>
      </c>
      <c r="BK212" s="152">
        <f>ROUND(I212*H212,2)</f>
        <v>0</v>
      </c>
      <c r="BL212" s="19" t="s">
        <v>185</v>
      </c>
      <c r="BM212" s="151" t="s">
        <v>477</v>
      </c>
    </row>
    <row r="213" spans="1:65" s="2" customFormat="1">
      <c r="A213" s="34"/>
      <c r="B213" s="35"/>
      <c r="C213" s="34"/>
      <c r="D213" s="153" t="s">
        <v>187</v>
      </c>
      <c r="E213" s="34"/>
      <c r="F213" s="154" t="s">
        <v>478</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187</v>
      </c>
      <c r="AU213" s="19" t="s">
        <v>87</v>
      </c>
    </row>
    <row r="214" spans="1:65" s="2" customFormat="1">
      <c r="A214" s="34"/>
      <c r="B214" s="35"/>
      <c r="C214" s="34"/>
      <c r="D214" s="158" t="s">
        <v>189</v>
      </c>
      <c r="E214" s="34"/>
      <c r="F214" s="159" t="s">
        <v>479</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189</v>
      </c>
      <c r="AU214" s="19" t="s">
        <v>87</v>
      </c>
    </row>
    <row r="215" spans="1:65" s="2" customFormat="1" ht="78">
      <c r="A215" s="34"/>
      <c r="B215" s="35"/>
      <c r="C215" s="34"/>
      <c r="D215" s="153" t="s">
        <v>191</v>
      </c>
      <c r="E215" s="34"/>
      <c r="F215" s="160" t="s">
        <v>480</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191</v>
      </c>
      <c r="AU215" s="19" t="s">
        <v>87</v>
      </c>
    </row>
    <row r="216" spans="1:65" s="14" customFormat="1">
      <c r="B216" s="169"/>
      <c r="D216" s="153" t="s">
        <v>193</v>
      </c>
      <c r="E216" s="170" t="s">
        <v>3</v>
      </c>
      <c r="F216" s="171" t="s">
        <v>481</v>
      </c>
      <c r="H216" s="170" t="s">
        <v>3</v>
      </c>
      <c r="I216" s="172"/>
      <c r="L216" s="169"/>
      <c r="M216" s="173"/>
      <c r="N216" s="174"/>
      <c r="O216" s="174"/>
      <c r="P216" s="174"/>
      <c r="Q216" s="174"/>
      <c r="R216" s="174"/>
      <c r="S216" s="174"/>
      <c r="T216" s="175"/>
      <c r="AT216" s="170" t="s">
        <v>193</v>
      </c>
      <c r="AU216" s="170" t="s">
        <v>87</v>
      </c>
      <c r="AV216" s="14" t="s">
        <v>85</v>
      </c>
      <c r="AW216" s="14" t="s">
        <v>36</v>
      </c>
      <c r="AX216" s="14" t="s">
        <v>77</v>
      </c>
      <c r="AY216" s="170" t="s">
        <v>177</v>
      </c>
    </row>
    <row r="217" spans="1:65" s="13" customFormat="1">
      <c r="B217" s="161"/>
      <c r="D217" s="153" t="s">
        <v>193</v>
      </c>
      <c r="E217" s="162" t="s">
        <v>3</v>
      </c>
      <c r="F217" s="163" t="s">
        <v>482</v>
      </c>
      <c r="H217" s="164">
        <v>597.79399999999998</v>
      </c>
      <c r="I217" s="165"/>
      <c r="L217" s="161"/>
      <c r="M217" s="166"/>
      <c r="N217" s="167"/>
      <c r="O217" s="167"/>
      <c r="P217" s="167"/>
      <c r="Q217" s="167"/>
      <c r="R217" s="167"/>
      <c r="S217" s="167"/>
      <c r="T217" s="168"/>
      <c r="AT217" s="162" t="s">
        <v>193</v>
      </c>
      <c r="AU217" s="162" t="s">
        <v>87</v>
      </c>
      <c r="AV217" s="13" t="s">
        <v>87</v>
      </c>
      <c r="AW217" s="13" t="s">
        <v>36</v>
      </c>
      <c r="AX217" s="13" t="s">
        <v>85</v>
      </c>
      <c r="AY217" s="162" t="s">
        <v>177</v>
      </c>
    </row>
    <row r="218" spans="1:65" s="2" customFormat="1" ht="16.5" customHeight="1">
      <c r="A218" s="34"/>
      <c r="B218" s="139"/>
      <c r="C218" s="195" t="s">
        <v>483</v>
      </c>
      <c r="D218" s="195" t="s">
        <v>484</v>
      </c>
      <c r="E218" s="196" t="s">
        <v>485</v>
      </c>
      <c r="F218" s="197" t="s">
        <v>486</v>
      </c>
      <c r="G218" s="198" t="s">
        <v>183</v>
      </c>
      <c r="H218" s="199">
        <v>0.58399999999999996</v>
      </c>
      <c r="I218" s="200"/>
      <c r="J218" s="201">
        <f>ROUND(I218*H218,2)</f>
        <v>0</v>
      </c>
      <c r="K218" s="197" t="s">
        <v>184</v>
      </c>
      <c r="L218" s="202"/>
      <c r="M218" s="203" t="s">
        <v>3</v>
      </c>
      <c r="N218" s="204" t="s">
        <v>48</v>
      </c>
      <c r="O218" s="55"/>
      <c r="P218" s="149">
        <f>O218*H218</f>
        <v>0</v>
      </c>
      <c r="Q218" s="149">
        <v>1</v>
      </c>
      <c r="R218" s="149">
        <f>Q218*H218</f>
        <v>0.58399999999999996</v>
      </c>
      <c r="S218" s="149">
        <v>0</v>
      </c>
      <c r="T218" s="150">
        <f>S218*H218</f>
        <v>0</v>
      </c>
      <c r="U218" s="34"/>
      <c r="V218" s="34"/>
      <c r="W218" s="34"/>
      <c r="X218" s="34"/>
      <c r="Y218" s="34"/>
      <c r="Z218" s="34"/>
      <c r="AA218" s="34"/>
      <c r="AB218" s="34"/>
      <c r="AC218" s="34"/>
      <c r="AD218" s="34"/>
      <c r="AE218" s="34"/>
      <c r="AR218" s="151" t="s">
        <v>248</v>
      </c>
      <c r="AT218" s="151" t="s">
        <v>484</v>
      </c>
      <c r="AU218" s="151" t="s">
        <v>87</v>
      </c>
      <c r="AY218" s="19" t="s">
        <v>177</v>
      </c>
      <c r="BE218" s="152">
        <f>IF(N218="základní",J218,0)</f>
        <v>0</v>
      </c>
      <c r="BF218" s="152">
        <f>IF(N218="snížená",J218,0)</f>
        <v>0</v>
      </c>
      <c r="BG218" s="152">
        <f>IF(N218="zákl. přenesená",J218,0)</f>
        <v>0</v>
      </c>
      <c r="BH218" s="152">
        <f>IF(N218="sníž. přenesená",J218,0)</f>
        <v>0</v>
      </c>
      <c r="BI218" s="152">
        <f>IF(N218="nulová",J218,0)</f>
        <v>0</v>
      </c>
      <c r="BJ218" s="19" t="s">
        <v>85</v>
      </c>
      <c r="BK218" s="152">
        <f>ROUND(I218*H218,2)</f>
        <v>0</v>
      </c>
      <c r="BL218" s="19" t="s">
        <v>185</v>
      </c>
      <c r="BM218" s="151" t="s">
        <v>487</v>
      </c>
    </row>
    <row r="219" spans="1:65" s="2" customFormat="1">
      <c r="A219" s="34"/>
      <c r="B219" s="35"/>
      <c r="C219" s="34"/>
      <c r="D219" s="153" t="s">
        <v>187</v>
      </c>
      <c r="E219" s="34"/>
      <c r="F219" s="154" t="s">
        <v>488</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187</v>
      </c>
      <c r="AU219" s="19" t="s">
        <v>87</v>
      </c>
    </row>
    <row r="220" spans="1:65" s="13" customFormat="1">
      <c r="B220" s="161"/>
      <c r="D220" s="153" t="s">
        <v>193</v>
      </c>
      <c r="E220" s="162" t="s">
        <v>3</v>
      </c>
      <c r="F220" s="163" t="s">
        <v>489</v>
      </c>
      <c r="H220" s="164">
        <v>0.58399999999999996</v>
      </c>
      <c r="I220" s="165"/>
      <c r="L220" s="161"/>
      <c r="M220" s="166"/>
      <c r="N220" s="167"/>
      <c r="O220" s="167"/>
      <c r="P220" s="167"/>
      <c r="Q220" s="167"/>
      <c r="R220" s="167"/>
      <c r="S220" s="167"/>
      <c r="T220" s="168"/>
      <c r="AT220" s="162" t="s">
        <v>193</v>
      </c>
      <c r="AU220" s="162" t="s">
        <v>87</v>
      </c>
      <c r="AV220" s="13" t="s">
        <v>87</v>
      </c>
      <c r="AW220" s="13" t="s">
        <v>36</v>
      </c>
      <c r="AX220" s="13" t="s">
        <v>85</v>
      </c>
      <c r="AY220" s="162" t="s">
        <v>177</v>
      </c>
    </row>
    <row r="221" spans="1:65" s="2" customFormat="1" ht="16.5" customHeight="1">
      <c r="A221" s="34"/>
      <c r="B221" s="139"/>
      <c r="C221" s="140" t="s">
        <v>490</v>
      </c>
      <c r="D221" s="140" t="s">
        <v>180</v>
      </c>
      <c r="E221" s="141" t="s">
        <v>491</v>
      </c>
      <c r="F221" s="142" t="s">
        <v>492</v>
      </c>
      <c r="G221" s="143" t="s">
        <v>476</v>
      </c>
      <c r="H221" s="144">
        <v>597.79399999999998</v>
      </c>
      <c r="I221" s="145"/>
      <c r="J221" s="146">
        <f>ROUND(I221*H221,2)</f>
        <v>0</v>
      </c>
      <c r="K221" s="142" t="s">
        <v>184</v>
      </c>
      <c r="L221" s="35"/>
      <c r="M221" s="147" t="s">
        <v>3</v>
      </c>
      <c r="N221" s="148" t="s">
        <v>48</v>
      </c>
      <c r="O221" s="55"/>
      <c r="P221" s="149">
        <f>O221*H221</f>
        <v>0</v>
      </c>
      <c r="Q221" s="149">
        <v>1.0064099999999999E-3</v>
      </c>
      <c r="R221" s="149">
        <f>Q221*H221</f>
        <v>0.60162585953999992</v>
      </c>
      <c r="S221" s="149">
        <v>1E-3</v>
      </c>
      <c r="T221" s="150">
        <f>S221*H221</f>
        <v>0.59779400000000005</v>
      </c>
      <c r="U221" s="34"/>
      <c r="V221" s="34"/>
      <c r="W221" s="34"/>
      <c r="X221" s="34"/>
      <c r="Y221" s="34"/>
      <c r="Z221" s="34"/>
      <c r="AA221" s="34"/>
      <c r="AB221" s="34"/>
      <c r="AC221" s="34"/>
      <c r="AD221" s="34"/>
      <c r="AE221" s="34"/>
      <c r="AR221" s="151" t="s">
        <v>185</v>
      </c>
      <c r="AT221" s="151" t="s">
        <v>180</v>
      </c>
      <c r="AU221" s="151" t="s">
        <v>87</v>
      </c>
      <c r="AY221" s="19" t="s">
        <v>177</v>
      </c>
      <c r="BE221" s="152">
        <f>IF(N221="základní",J221,0)</f>
        <v>0</v>
      </c>
      <c r="BF221" s="152">
        <f>IF(N221="snížená",J221,0)</f>
        <v>0</v>
      </c>
      <c r="BG221" s="152">
        <f>IF(N221="zákl. přenesená",J221,0)</f>
        <v>0</v>
      </c>
      <c r="BH221" s="152">
        <f>IF(N221="sníž. přenesená",J221,0)</f>
        <v>0</v>
      </c>
      <c r="BI221" s="152">
        <f>IF(N221="nulová",J221,0)</f>
        <v>0</v>
      </c>
      <c r="BJ221" s="19" t="s">
        <v>85</v>
      </c>
      <c r="BK221" s="152">
        <f>ROUND(I221*H221,2)</f>
        <v>0</v>
      </c>
      <c r="BL221" s="19" t="s">
        <v>185</v>
      </c>
      <c r="BM221" s="151" t="s">
        <v>493</v>
      </c>
    </row>
    <row r="222" spans="1:65" s="2" customFormat="1">
      <c r="A222" s="34"/>
      <c r="B222" s="35"/>
      <c r="C222" s="34"/>
      <c r="D222" s="153" t="s">
        <v>187</v>
      </c>
      <c r="E222" s="34"/>
      <c r="F222" s="154" t="s">
        <v>494</v>
      </c>
      <c r="G222" s="34"/>
      <c r="H222" s="34"/>
      <c r="I222" s="155"/>
      <c r="J222" s="34"/>
      <c r="K222" s="34"/>
      <c r="L222" s="35"/>
      <c r="M222" s="156"/>
      <c r="N222" s="157"/>
      <c r="O222" s="55"/>
      <c r="P222" s="55"/>
      <c r="Q222" s="55"/>
      <c r="R222" s="55"/>
      <c r="S222" s="55"/>
      <c r="T222" s="56"/>
      <c r="U222" s="34"/>
      <c r="V222" s="34"/>
      <c r="W222" s="34"/>
      <c r="X222" s="34"/>
      <c r="Y222" s="34"/>
      <c r="Z222" s="34"/>
      <c r="AA222" s="34"/>
      <c r="AB222" s="34"/>
      <c r="AC222" s="34"/>
      <c r="AD222" s="34"/>
      <c r="AE222" s="34"/>
      <c r="AT222" s="19" t="s">
        <v>187</v>
      </c>
      <c r="AU222" s="19" t="s">
        <v>87</v>
      </c>
    </row>
    <row r="223" spans="1:65" s="2" customFormat="1">
      <c r="A223" s="34"/>
      <c r="B223" s="35"/>
      <c r="C223" s="34"/>
      <c r="D223" s="158" t="s">
        <v>189</v>
      </c>
      <c r="E223" s="34"/>
      <c r="F223" s="159" t="s">
        <v>495</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189</v>
      </c>
      <c r="AU223" s="19" t="s">
        <v>87</v>
      </c>
    </row>
    <row r="224" spans="1:65" s="2" customFormat="1" ht="78">
      <c r="A224" s="34"/>
      <c r="B224" s="35"/>
      <c r="C224" s="34"/>
      <c r="D224" s="153" t="s">
        <v>191</v>
      </c>
      <c r="E224" s="34"/>
      <c r="F224" s="160" t="s">
        <v>480</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191</v>
      </c>
      <c r="AU224" s="19" t="s">
        <v>87</v>
      </c>
    </row>
    <row r="225" spans="1:65" s="14" customFormat="1">
      <c r="B225" s="169"/>
      <c r="D225" s="153" t="s">
        <v>193</v>
      </c>
      <c r="E225" s="170" t="s">
        <v>3</v>
      </c>
      <c r="F225" s="171" t="s">
        <v>481</v>
      </c>
      <c r="H225" s="170" t="s">
        <v>3</v>
      </c>
      <c r="I225" s="172"/>
      <c r="L225" s="169"/>
      <c r="M225" s="173"/>
      <c r="N225" s="174"/>
      <c r="O225" s="174"/>
      <c r="P225" s="174"/>
      <c r="Q225" s="174"/>
      <c r="R225" s="174"/>
      <c r="S225" s="174"/>
      <c r="T225" s="175"/>
      <c r="AT225" s="170" t="s">
        <v>193</v>
      </c>
      <c r="AU225" s="170" t="s">
        <v>87</v>
      </c>
      <c r="AV225" s="14" t="s">
        <v>85</v>
      </c>
      <c r="AW225" s="14" t="s">
        <v>36</v>
      </c>
      <c r="AX225" s="14" t="s">
        <v>77</v>
      </c>
      <c r="AY225" s="170" t="s">
        <v>177</v>
      </c>
    </row>
    <row r="226" spans="1:65" s="13" customFormat="1">
      <c r="B226" s="161"/>
      <c r="D226" s="153" t="s">
        <v>193</v>
      </c>
      <c r="E226" s="162" t="s">
        <v>3</v>
      </c>
      <c r="F226" s="163" t="s">
        <v>482</v>
      </c>
      <c r="H226" s="164">
        <v>597.79399999999998</v>
      </c>
      <c r="I226" s="165"/>
      <c r="L226" s="161"/>
      <c r="M226" s="166"/>
      <c r="N226" s="167"/>
      <c r="O226" s="167"/>
      <c r="P226" s="167"/>
      <c r="Q226" s="167"/>
      <c r="R226" s="167"/>
      <c r="S226" s="167"/>
      <c r="T226" s="168"/>
      <c r="AT226" s="162" t="s">
        <v>193</v>
      </c>
      <c r="AU226" s="162" t="s">
        <v>87</v>
      </c>
      <c r="AV226" s="13" t="s">
        <v>87</v>
      </c>
      <c r="AW226" s="13" t="s">
        <v>36</v>
      </c>
      <c r="AX226" s="13" t="s">
        <v>85</v>
      </c>
      <c r="AY226" s="162" t="s">
        <v>177</v>
      </c>
    </row>
    <row r="227" spans="1:65" s="2" customFormat="1" ht="16.5" customHeight="1">
      <c r="A227" s="34"/>
      <c r="B227" s="139"/>
      <c r="C227" s="195" t="s">
        <v>496</v>
      </c>
      <c r="D227" s="195" t="s">
        <v>484</v>
      </c>
      <c r="E227" s="196" t="s">
        <v>497</v>
      </c>
      <c r="F227" s="197" t="s">
        <v>498</v>
      </c>
      <c r="G227" s="198" t="s">
        <v>183</v>
      </c>
      <c r="H227" s="199">
        <v>1.4850000000000001</v>
      </c>
      <c r="I227" s="200"/>
      <c r="J227" s="201">
        <f>ROUND(I227*H227,2)</f>
        <v>0</v>
      </c>
      <c r="K227" s="197" t="s">
        <v>184</v>
      </c>
      <c r="L227" s="202"/>
      <c r="M227" s="203" t="s">
        <v>3</v>
      </c>
      <c r="N227" s="204" t="s">
        <v>48</v>
      </c>
      <c r="O227" s="55"/>
      <c r="P227" s="149">
        <f>O227*H227</f>
        <v>0</v>
      </c>
      <c r="Q227" s="149">
        <v>1</v>
      </c>
      <c r="R227" s="149">
        <f>Q227*H227</f>
        <v>1.4850000000000001</v>
      </c>
      <c r="S227" s="149">
        <v>0</v>
      </c>
      <c r="T227" s="150">
        <f>S227*H227</f>
        <v>0</v>
      </c>
      <c r="U227" s="34"/>
      <c r="V227" s="34"/>
      <c r="W227" s="34"/>
      <c r="X227" s="34"/>
      <c r="Y227" s="34"/>
      <c r="Z227" s="34"/>
      <c r="AA227" s="34"/>
      <c r="AB227" s="34"/>
      <c r="AC227" s="34"/>
      <c r="AD227" s="34"/>
      <c r="AE227" s="34"/>
      <c r="AR227" s="151" t="s">
        <v>248</v>
      </c>
      <c r="AT227" s="151" t="s">
        <v>484</v>
      </c>
      <c r="AU227" s="151" t="s">
        <v>87</v>
      </c>
      <c r="AY227" s="19" t="s">
        <v>177</v>
      </c>
      <c r="BE227" s="152">
        <f>IF(N227="základní",J227,0)</f>
        <v>0</v>
      </c>
      <c r="BF227" s="152">
        <f>IF(N227="snížená",J227,0)</f>
        <v>0</v>
      </c>
      <c r="BG227" s="152">
        <f>IF(N227="zákl. přenesená",J227,0)</f>
        <v>0</v>
      </c>
      <c r="BH227" s="152">
        <f>IF(N227="sníž. přenesená",J227,0)</f>
        <v>0</v>
      </c>
      <c r="BI227" s="152">
        <f>IF(N227="nulová",J227,0)</f>
        <v>0</v>
      </c>
      <c r="BJ227" s="19" t="s">
        <v>85</v>
      </c>
      <c r="BK227" s="152">
        <f>ROUND(I227*H227,2)</f>
        <v>0</v>
      </c>
      <c r="BL227" s="19" t="s">
        <v>185</v>
      </c>
      <c r="BM227" s="151" t="s">
        <v>499</v>
      </c>
    </row>
    <row r="228" spans="1:65" s="2" customFormat="1">
      <c r="A228" s="34"/>
      <c r="B228" s="35"/>
      <c r="C228" s="34"/>
      <c r="D228" s="153" t="s">
        <v>187</v>
      </c>
      <c r="E228" s="34"/>
      <c r="F228" s="154" t="s">
        <v>500</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187</v>
      </c>
      <c r="AU228" s="19" t="s">
        <v>87</v>
      </c>
    </row>
    <row r="229" spans="1:65" s="13" customFormat="1">
      <c r="B229" s="161"/>
      <c r="D229" s="153" t="s">
        <v>193</v>
      </c>
      <c r="E229" s="162" t="s">
        <v>3</v>
      </c>
      <c r="F229" s="163" t="s">
        <v>501</v>
      </c>
      <c r="H229" s="164">
        <v>1.4850000000000001</v>
      </c>
      <c r="I229" s="165"/>
      <c r="L229" s="161"/>
      <c r="M229" s="166"/>
      <c r="N229" s="167"/>
      <c r="O229" s="167"/>
      <c r="P229" s="167"/>
      <c r="Q229" s="167"/>
      <c r="R229" s="167"/>
      <c r="S229" s="167"/>
      <c r="T229" s="168"/>
      <c r="AT229" s="162" t="s">
        <v>193</v>
      </c>
      <c r="AU229" s="162" t="s">
        <v>87</v>
      </c>
      <c r="AV229" s="13" t="s">
        <v>87</v>
      </c>
      <c r="AW229" s="13" t="s">
        <v>36</v>
      </c>
      <c r="AX229" s="13" t="s">
        <v>85</v>
      </c>
      <c r="AY229" s="162" t="s">
        <v>177</v>
      </c>
    </row>
    <row r="230" spans="1:65" s="12" customFormat="1" ht="22.9" customHeight="1">
      <c r="B230" s="126"/>
      <c r="D230" s="127" t="s">
        <v>76</v>
      </c>
      <c r="E230" s="137" t="s">
        <v>178</v>
      </c>
      <c r="F230" s="137" t="s">
        <v>179</v>
      </c>
      <c r="I230" s="129"/>
      <c r="J230" s="138">
        <f>BK230</f>
        <v>0</v>
      </c>
      <c r="L230" s="126"/>
      <c r="M230" s="131"/>
      <c r="N230" s="132"/>
      <c r="O230" s="132"/>
      <c r="P230" s="133">
        <f>SUM(P231:P252)</f>
        <v>0</v>
      </c>
      <c r="Q230" s="132"/>
      <c r="R230" s="133">
        <f>SUM(R231:R252)</f>
        <v>0</v>
      </c>
      <c r="S230" s="132"/>
      <c r="T230" s="134">
        <f>SUM(T231:T252)</f>
        <v>0</v>
      </c>
      <c r="AR230" s="127" t="s">
        <v>85</v>
      </c>
      <c r="AT230" s="135" t="s">
        <v>76</v>
      </c>
      <c r="AU230" s="135" t="s">
        <v>85</v>
      </c>
      <c r="AY230" s="127" t="s">
        <v>177</v>
      </c>
      <c r="BK230" s="136">
        <f>SUM(BK231:BK252)</f>
        <v>0</v>
      </c>
    </row>
    <row r="231" spans="1:65" s="2" customFormat="1" ht="16.5" customHeight="1">
      <c r="A231" s="34"/>
      <c r="B231" s="139"/>
      <c r="C231" s="140" t="s">
        <v>502</v>
      </c>
      <c r="D231" s="140" t="s">
        <v>180</v>
      </c>
      <c r="E231" s="141" t="s">
        <v>181</v>
      </c>
      <c r="F231" s="142" t="s">
        <v>182</v>
      </c>
      <c r="G231" s="143" t="s">
        <v>183</v>
      </c>
      <c r="H231" s="144">
        <v>126.489</v>
      </c>
      <c r="I231" s="145"/>
      <c r="J231" s="146">
        <f>ROUND(I231*H231,2)</f>
        <v>0</v>
      </c>
      <c r="K231" s="142" t="s">
        <v>184</v>
      </c>
      <c r="L231" s="35"/>
      <c r="M231" s="147" t="s">
        <v>3</v>
      </c>
      <c r="N231" s="148" t="s">
        <v>48</v>
      </c>
      <c r="O231" s="55"/>
      <c r="P231" s="149">
        <f>O231*H231</f>
        <v>0</v>
      </c>
      <c r="Q231" s="149">
        <v>0</v>
      </c>
      <c r="R231" s="149">
        <f>Q231*H231</f>
        <v>0</v>
      </c>
      <c r="S231" s="149">
        <v>0</v>
      </c>
      <c r="T231" s="150">
        <f>S231*H231</f>
        <v>0</v>
      </c>
      <c r="U231" s="34"/>
      <c r="V231" s="34"/>
      <c r="W231" s="34"/>
      <c r="X231" s="34"/>
      <c r="Y231" s="34"/>
      <c r="Z231" s="34"/>
      <c r="AA231" s="34"/>
      <c r="AB231" s="34"/>
      <c r="AC231" s="34"/>
      <c r="AD231" s="34"/>
      <c r="AE231" s="34"/>
      <c r="AR231" s="151" t="s">
        <v>185</v>
      </c>
      <c r="AT231" s="151" t="s">
        <v>180</v>
      </c>
      <c r="AU231" s="151" t="s">
        <v>87</v>
      </c>
      <c r="AY231" s="19" t="s">
        <v>177</v>
      </c>
      <c r="BE231" s="152">
        <f>IF(N231="základní",J231,0)</f>
        <v>0</v>
      </c>
      <c r="BF231" s="152">
        <f>IF(N231="snížená",J231,0)</f>
        <v>0</v>
      </c>
      <c r="BG231" s="152">
        <f>IF(N231="zákl. přenesená",J231,0)</f>
        <v>0</v>
      </c>
      <c r="BH231" s="152">
        <f>IF(N231="sníž. přenesená",J231,0)</f>
        <v>0</v>
      </c>
      <c r="BI231" s="152">
        <f>IF(N231="nulová",J231,0)</f>
        <v>0</v>
      </c>
      <c r="BJ231" s="19" t="s">
        <v>85</v>
      </c>
      <c r="BK231" s="152">
        <f>ROUND(I231*H231,2)</f>
        <v>0</v>
      </c>
      <c r="BL231" s="19" t="s">
        <v>185</v>
      </c>
      <c r="BM231" s="151" t="s">
        <v>503</v>
      </c>
    </row>
    <row r="232" spans="1:65" s="2" customFormat="1">
      <c r="A232" s="34"/>
      <c r="B232" s="35"/>
      <c r="C232" s="34"/>
      <c r="D232" s="153" t="s">
        <v>187</v>
      </c>
      <c r="E232" s="34"/>
      <c r="F232" s="154" t="s">
        <v>188</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187</v>
      </c>
      <c r="AU232" s="19" t="s">
        <v>87</v>
      </c>
    </row>
    <row r="233" spans="1:65" s="2" customFormat="1">
      <c r="A233" s="34"/>
      <c r="B233" s="35"/>
      <c r="C233" s="34"/>
      <c r="D233" s="158" t="s">
        <v>189</v>
      </c>
      <c r="E233" s="34"/>
      <c r="F233" s="159" t="s">
        <v>190</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189</v>
      </c>
      <c r="AU233" s="19" t="s">
        <v>87</v>
      </c>
    </row>
    <row r="234" spans="1:65" s="2" customFormat="1" ht="107.25">
      <c r="A234" s="34"/>
      <c r="B234" s="35"/>
      <c r="C234" s="34"/>
      <c r="D234" s="153" t="s">
        <v>191</v>
      </c>
      <c r="E234" s="34"/>
      <c r="F234" s="160" t="s">
        <v>192</v>
      </c>
      <c r="G234" s="34"/>
      <c r="H234" s="34"/>
      <c r="I234" s="155"/>
      <c r="J234" s="34"/>
      <c r="K234" s="34"/>
      <c r="L234" s="35"/>
      <c r="M234" s="156"/>
      <c r="N234" s="157"/>
      <c r="O234" s="55"/>
      <c r="P234" s="55"/>
      <c r="Q234" s="55"/>
      <c r="R234" s="55"/>
      <c r="S234" s="55"/>
      <c r="T234" s="56"/>
      <c r="U234" s="34"/>
      <c r="V234" s="34"/>
      <c r="W234" s="34"/>
      <c r="X234" s="34"/>
      <c r="Y234" s="34"/>
      <c r="Z234" s="34"/>
      <c r="AA234" s="34"/>
      <c r="AB234" s="34"/>
      <c r="AC234" s="34"/>
      <c r="AD234" s="34"/>
      <c r="AE234" s="34"/>
      <c r="AT234" s="19" t="s">
        <v>191</v>
      </c>
      <c r="AU234" s="19" t="s">
        <v>87</v>
      </c>
    </row>
    <row r="235" spans="1:65" s="2" customFormat="1" ht="21.75" customHeight="1">
      <c r="A235" s="34"/>
      <c r="B235" s="139"/>
      <c r="C235" s="140" t="s">
        <v>504</v>
      </c>
      <c r="D235" s="140" t="s">
        <v>180</v>
      </c>
      <c r="E235" s="141" t="s">
        <v>202</v>
      </c>
      <c r="F235" s="142" t="s">
        <v>203</v>
      </c>
      <c r="G235" s="143" t="s">
        <v>183</v>
      </c>
      <c r="H235" s="144">
        <v>252.97800000000001</v>
      </c>
      <c r="I235" s="145"/>
      <c r="J235" s="146">
        <f>ROUND(I235*H235,2)</f>
        <v>0</v>
      </c>
      <c r="K235" s="142" t="s">
        <v>184</v>
      </c>
      <c r="L235" s="35"/>
      <c r="M235" s="147" t="s">
        <v>3</v>
      </c>
      <c r="N235" s="148" t="s">
        <v>48</v>
      </c>
      <c r="O235" s="55"/>
      <c r="P235" s="149">
        <f>O235*H235</f>
        <v>0</v>
      </c>
      <c r="Q235" s="149">
        <v>0</v>
      </c>
      <c r="R235" s="149">
        <f>Q235*H235</f>
        <v>0</v>
      </c>
      <c r="S235" s="149">
        <v>0</v>
      </c>
      <c r="T235" s="150">
        <f>S235*H235</f>
        <v>0</v>
      </c>
      <c r="U235" s="34"/>
      <c r="V235" s="34"/>
      <c r="W235" s="34"/>
      <c r="X235" s="34"/>
      <c r="Y235" s="34"/>
      <c r="Z235" s="34"/>
      <c r="AA235" s="34"/>
      <c r="AB235" s="34"/>
      <c r="AC235" s="34"/>
      <c r="AD235" s="34"/>
      <c r="AE235" s="34"/>
      <c r="AR235" s="151" t="s">
        <v>185</v>
      </c>
      <c r="AT235" s="151" t="s">
        <v>180</v>
      </c>
      <c r="AU235" s="151" t="s">
        <v>87</v>
      </c>
      <c r="AY235" s="19" t="s">
        <v>177</v>
      </c>
      <c r="BE235" s="152">
        <f>IF(N235="základní",J235,0)</f>
        <v>0</v>
      </c>
      <c r="BF235" s="152">
        <f>IF(N235="snížená",J235,0)</f>
        <v>0</v>
      </c>
      <c r="BG235" s="152">
        <f>IF(N235="zákl. přenesená",J235,0)</f>
        <v>0</v>
      </c>
      <c r="BH235" s="152">
        <f>IF(N235="sníž. přenesená",J235,0)</f>
        <v>0</v>
      </c>
      <c r="BI235" s="152">
        <f>IF(N235="nulová",J235,0)</f>
        <v>0</v>
      </c>
      <c r="BJ235" s="19" t="s">
        <v>85</v>
      </c>
      <c r="BK235" s="152">
        <f>ROUND(I235*H235,2)</f>
        <v>0</v>
      </c>
      <c r="BL235" s="19" t="s">
        <v>185</v>
      </c>
      <c r="BM235" s="151" t="s">
        <v>505</v>
      </c>
    </row>
    <row r="236" spans="1:65" s="2" customFormat="1" ht="19.5">
      <c r="A236" s="34"/>
      <c r="B236" s="35"/>
      <c r="C236" s="34"/>
      <c r="D236" s="153" t="s">
        <v>187</v>
      </c>
      <c r="E236" s="34"/>
      <c r="F236" s="154" t="s">
        <v>205</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187</v>
      </c>
      <c r="AU236" s="19" t="s">
        <v>87</v>
      </c>
    </row>
    <row r="237" spans="1:65" s="2" customFormat="1">
      <c r="A237" s="34"/>
      <c r="B237" s="35"/>
      <c r="C237" s="34"/>
      <c r="D237" s="158" t="s">
        <v>189</v>
      </c>
      <c r="E237" s="34"/>
      <c r="F237" s="159" t="s">
        <v>206</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189</v>
      </c>
      <c r="AU237" s="19" t="s">
        <v>87</v>
      </c>
    </row>
    <row r="238" spans="1:65" s="2" customFormat="1" ht="107.25">
      <c r="A238" s="34"/>
      <c r="B238" s="35"/>
      <c r="C238" s="34"/>
      <c r="D238" s="153" t="s">
        <v>191</v>
      </c>
      <c r="E238" s="34"/>
      <c r="F238" s="160" t="s">
        <v>192</v>
      </c>
      <c r="G238" s="34"/>
      <c r="H238" s="34"/>
      <c r="I238" s="155"/>
      <c r="J238" s="34"/>
      <c r="K238" s="34"/>
      <c r="L238" s="35"/>
      <c r="M238" s="156"/>
      <c r="N238" s="157"/>
      <c r="O238" s="55"/>
      <c r="P238" s="55"/>
      <c r="Q238" s="55"/>
      <c r="R238" s="55"/>
      <c r="S238" s="55"/>
      <c r="T238" s="56"/>
      <c r="U238" s="34"/>
      <c r="V238" s="34"/>
      <c r="W238" s="34"/>
      <c r="X238" s="34"/>
      <c r="Y238" s="34"/>
      <c r="Z238" s="34"/>
      <c r="AA238" s="34"/>
      <c r="AB238" s="34"/>
      <c r="AC238" s="34"/>
      <c r="AD238" s="34"/>
      <c r="AE238" s="34"/>
      <c r="AT238" s="19" t="s">
        <v>191</v>
      </c>
      <c r="AU238" s="19" t="s">
        <v>87</v>
      </c>
    </row>
    <row r="239" spans="1:65" s="13" customFormat="1">
      <c r="B239" s="161"/>
      <c r="D239" s="153" t="s">
        <v>193</v>
      </c>
      <c r="F239" s="163" t="s">
        <v>506</v>
      </c>
      <c r="H239" s="164">
        <v>252.97800000000001</v>
      </c>
      <c r="I239" s="165"/>
      <c r="L239" s="161"/>
      <c r="M239" s="166"/>
      <c r="N239" s="167"/>
      <c r="O239" s="167"/>
      <c r="P239" s="167"/>
      <c r="Q239" s="167"/>
      <c r="R239" s="167"/>
      <c r="S239" s="167"/>
      <c r="T239" s="168"/>
      <c r="AT239" s="162" t="s">
        <v>193</v>
      </c>
      <c r="AU239" s="162" t="s">
        <v>87</v>
      </c>
      <c r="AV239" s="13" t="s">
        <v>87</v>
      </c>
      <c r="AW239" s="13" t="s">
        <v>4</v>
      </c>
      <c r="AX239" s="13" t="s">
        <v>85</v>
      </c>
      <c r="AY239" s="162" t="s">
        <v>177</v>
      </c>
    </row>
    <row r="240" spans="1:65" s="2" customFormat="1" ht="16.5" customHeight="1">
      <c r="A240" s="34"/>
      <c r="B240" s="139"/>
      <c r="C240" s="140" t="s">
        <v>507</v>
      </c>
      <c r="D240" s="140" t="s">
        <v>180</v>
      </c>
      <c r="E240" s="141" t="s">
        <v>208</v>
      </c>
      <c r="F240" s="142" t="s">
        <v>209</v>
      </c>
      <c r="G240" s="143" t="s">
        <v>183</v>
      </c>
      <c r="H240" s="144">
        <v>126.489</v>
      </c>
      <c r="I240" s="145"/>
      <c r="J240" s="146">
        <f>ROUND(I240*H240,2)</f>
        <v>0</v>
      </c>
      <c r="K240" s="142" t="s">
        <v>184</v>
      </c>
      <c r="L240" s="35"/>
      <c r="M240" s="147" t="s">
        <v>3</v>
      </c>
      <c r="N240" s="148" t="s">
        <v>48</v>
      </c>
      <c r="O240" s="55"/>
      <c r="P240" s="149">
        <f>O240*H240</f>
        <v>0</v>
      </c>
      <c r="Q240" s="149">
        <v>0</v>
      </c>
      <c r="R240" s="149">
        <f>Q240*H240</f>
        <v>0</v>
      </c>
      <c r="S240" s="149">
        <v>0</v>
      </c>
      <c r="T240" s="150">
        <f>S240*H240</f>
        <v>0</v>
      </c>
      <c r="U240" s="34"/>
      <c r="V240" s="34"/>
      <c r="W240" s="34"/>
      <c r="X240" s="34"/>
      <c r="Y240" s="34"/>
      <c r="Z240" s="34"/>
      <c r="AA240" s="34"/>
      <c r="AB240" s="34"/>
      <c r="AC240" s="34"/>
      <c r="AD240" s="34"/>
      <c r="AE240" s="34"/>
      <c r="AR240" s="151" t="s">
        <v>185</v>
      </c>
      <c r="AT240" s="151" t="s">
        <v>180</v>
      </c>
      <c r="AU240" s="151" t="s">
        <v>87</v>
      </c>
      <c r="AY240" s="19" t="s">
        <v>177</v>
      </c>
      <c r="BE240" s="152">
        <f>IF(N240="základní",J240,0)</f>
        <v>0</v>
      </c>
      <c r="BF240" s="152">
        <f>IF(N240="snížená",J240,0)</f>
        <v>0</v>
      </c>
      <c r="BG240" s="152">
        <f>IF(N240="zákl. přenesená",J240,0)</f>
        <v>0</v>
      </c>
      <c r="BH240" s="152">
        <f>IF(N240="sníž. přenesená",J240,0)</f>
        <v>0</v>
      </c>
      <c r="BI240" s="152">
        <f>IF(N240="nulová",J240,0)</f>
        <v>0</v>
      </c>
      <c r="BJ240" s="19" t="s">
        <v>85</v>
      </c>
      <c r="BK240" s="152">
        <f>ROUND(I240*H240,2)</f>
        <v>0</v>
      </c>
      <c r="BL240" s="19" t="s">
        <v>185</v>
      </c>
      <c r="BM240" s="151" t="s">
        <v>508</v>
      </c>
    </row>
    <row r="241" spans="1:65" s="2" customFormat="1">
      <c r="A241" s="34"/>
      <c r="B241" s="35"/>
      <c r="C241" s="34"/>
      <c r="D241" s="153" t="s">
        <v>187</v>
      </c>
      <c r="E241" s="34"/>
      <c r="F241" s="154" t="s">
        <v>211</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187</v>
      </c>
      <c r="AU241" s="19" t="s">
        <v>87</v>
      </c>
    </row>
    <row r="242" spans="1:65" s="2" customFormat="1">
      <c r="A242" s="34"/>
      <c r="B242" s="35"/>
      <c r="C242" s="34"/>
      <c r="D242" s="158" t="s">
        <v>189</v>
      </c>
      <c r="E242" s="34"/>
      <c r="F242" s="159" t="s">
        <v>212</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189</v>
      </c>
      <c r="AU242" s="19" t="s">
        <v>87</v>
      </c>
    </row>
    <row r="243" spans="1:65" s="2" customFormat="1" ht="58.5">
      <c r="A243" s="34"/>
      <c r="B243" s="35"/>
      <c r="C243" s="34"/>
      <c r="D243" s="153" t="s">
        <v>191</v>
      </c>
      <c r="E243" s="34"/>
      <c r="F243" s="160" t="s">
        <v>213</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191</v>
      </c>
      <c r="AU243" s="19" t="s">
        <v>87</v>
      </c>
    </row>
    <row r="244" spans="1:65" s="2" customFormat="1" ht="16.5" customHeight="1">
      <c r="A244" s="34"/>
      <c r="B244" s="139"/>
      <c r="C244" s="140" t="s">
        <v>509</v>
      </c>
      <c r="D244" s="140" t="s">
        <v>180</v>
      </c>
      <c r="E244" s="141" t="s">
        <v>214</v>
      </c>
      <c r="F244" s="142" t="s">
        <v>215</v>
      </c>
      <c r="G244" s="143" t="s">
        <v>183</v>
      </c>
      <c r="H244" s="144">
        <v>2403.2910000000002</v>
      </c>
      <c r="I244" s="145"/>
      <c r="J244" s="146">
        <f>ROUND(I244*H244,2)</f>
        <v>0</v>
      </c>
      <c r="K244" s="142" t="s">
        <v>184</v>
      </c>
      <c r="L244" s="35"/>
      <c r="M244" s="147" t="s">
        <v>3</v>
      </c>
      <c r="N244" s="148" t="s">
        <v>48</v>
      </c>
      <c r="O244" s="55"/>
      <c r="P244" s="149">
        <f>O244*H244</f>
        <v>0</v>
      </c>
      <c r="Q244" s="149">
        <v>0</v>
      </c>
      <c r="R244" s="149">
        <f>Q244*H244</f>
        <v>0</v>
      </c>
      <c r="S244" s="149">
        <v>0</v>
      </c>
      <c r="T244" s="150">
        <f>S244*H244</f>
        <v>0</v>
      </c>
      <c r="U244" s="34"/>
      <c r="V244" s="34"/>
      <c r="W244" s="34"/>
      <c r="X244" s="34"/>
      <c r="Y244" s="34"/>
      <c r="Z244" s="34"/>
      <c r="AA244" s="34"/>
      <c r="AB244" s="34"/>
      <c r="AC244" s="34"/>
      <c r="AD244" s="34"/>
      <c r="AE244" s="34"/>
      <c r="AR244" s="151" t="s">
        <v>185</v>
      </c>
      <c r="AT244" s="151" t="s">
        <v>180</v>
      </c>
      <c r="AU244" s="151" t="s">
        <v>87</v>
      </c>
      <c r="AY244" s="19" t="s">
        <v>177</v>
      </c>
      <c r="BE244" s="152">
        <f>IF(N244="základní",J244,0)</f>
        <v>0</v>
      </c>
      <c r="BF244" s="152">
        <f>IF(N244="snížená",J244,0)</f>
        <v>0</v>
      </c>
      <c r="BG244" s="152">
        <f>IF(N244="zákl. přenesená",J244,0)</f>
        <v>0</v>
      </c>
      <c r="BH244" s="152">
        <f>IF(N244="sníž. přenesená",J244,0)</f>
        <v>0</v>
      </c>
      <c r="BI244" s="152">
        <f>IF(N244="nulová",J244,0)</f>
        <v>0</v>
      </c>
      <c r="BJ244" s="19" t="s">
        <v>85</v>
      </c>
      <c r="BK244" s="152">
        <f>ROUND(I244*H244,2)</f>
        <v>0</v>
      </c>
      <c r="BL244" s="19" t="s">
        <v>185</v>
      </c>
      <c r="BM244" s="151" t="s">
        <v>510</v>
      </c>
    </row>
    <row r="245" spans="1:65" s="2" customFormat="1" ht="19.5">
      <c r="A245" s="34"/>
      <c r="B245" s="35"/>
      <c r="C245" s="34"/>
      <c r="D245" s="153" t="s">
        <v>187</v>
      </c>
      <c r="E245" s="34"/>
      <c r="F245" s="154" t="s">
        <v>217</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187</v>
      </c>
      <c r="AU245" s="19" t="s">
        <v>87</v>
      </c>
    </row>
    <row r="246" spans="1:65" s="2" customFormat="1">
      <c r="A246" s="34"/>
      <c r="B246" s="35"/>
      <c r="C246" s="34"/>
      <c r="D246" s="158" t="s">
        <v>189</v>
      </c>
      <c r="E246" s="34"/>
      <c r="F246" s="159" t="s">
        <v>218</v>
      </c>
      <c r="G246" s="34"/>
      <c r="H246" s="34"/>
      <c r="I246" s="155"/>
      <c r="J246" s="34"/>
      <c r="K246" s="34"/>
      <c r="L246" s="35"/>
      <c r="M246" s="156"/>
      <c r="N246" s="157"/>
      <c r="O246" s="55"/>
      <c r="P246" s="55"/>
      <c r="Q246" s="55"/>
      <c r="R246" s="55"/>
      <c r="S246" s="55"/>
      <c r="T246" s="56"/>
      <c r="U246" s="34"/>
      <c r="V246" s="34"/>
      <c r="W246" s="34"/>
      <c r="X246" s="34"/>
      <c r="Y246" s="34"/>
      <c r="Z246" s="34"/>
      <c r="AA246" s="34"/>
      <c r="AB246" s="34"/>
      <c r="AC246" s="34"/>
      <c r="AD246" s="34"/>
      <c r="AE246" s="34"/>
      <c r="AT246" s="19" t="s">
        <v>189</v>
      </c>
      <c r="AU246" s="19" t="s">
        <v>87</v>
      </c>
    </row>
    <row r="247" spans="1:65" s="2" customFormat="1" ht="58.5">
      <c r="A247" s="34"/>
      <c r="B247" s="35"/>
      <c r="C247" s="34"/>
      <c r="D247" s="153" t="s">
        <v>191</v>
      </c>
      <c r="E247" s="34"/>
      <c r="F247" s="160" t="s">
        <v>213</v>
      </c>
      <c r="G247" s="34"/>
      <c r="H247" s="34"/>
      <c r="I247" s="155"/>
      <c r="J247" s="34"/>
      <c r="K247" s="34"/>
      <c r="L247" s="35"/>
      <c r="M247" s="156"/>
      <c r="N247" s="157"/>
      <c r="O247" s="55"/>
      <c r="P247" s="55"/>
      <c r="Q247" s="55"/>
      <c r="R247" s="55"/>
      <c r="S247" s="55"/>
      <c r="T247" s="56"/>
      <c r="U247" s="34"/>
      <c r="V247" s="34"/>
      <c r="W247" s="34"/>
      <c r="X247" s="34"/>
      <c r="Y247" s="34"/>
      <c r="Z247" s="34"/>
      <c r="AA247" s="34"/>
      <c r="AB247" s="34"/>
      <c r="AC247" s="34"/>
      <c r="AD247" s="34"/>
      <c r="AE247" s="34"/>
      <c r="AT247" s="19" t="s">
        <v>191</v>
      </c>
      <c r="AU247" s="19" t="s">
        <v>87</v>
      </c>
    </row>
    <row r="248" spans="1:65" s="13" customFormat="1">
      <c r="B248" s="161"/>
      <c r="D248" s="153" t="s">
        <v>193</v>
      </c>
      <c r="F248" s="163" t="s">
        <v>511</v>
      </c>
      <c r="H248" s="164">
        <v>2403.2910000000002</v>
      </c>
      <c r="I248" s="165"/>
      <c r="L248" s="161"/>
      <c r="M248" s="166"/>
      <c r="N248" s="167"/>
      <c r="O248" s="167"/>
      <c r="P248" s="167"/>
      <c r="Q248" s="167"/>
      <c r="R248" s="167"/>
      <c r="S248" s="167"/>
      <c r="T248" s="168"/>
      <c r="AT248" s="162" t="s">
        <v>193</v>
      </c>
      <c r="AU248" s="162" t="s">
        <v>87</v>
      </c>
      <c r="AV248" s="13" t="s">
        <v>87</v>
      </c>
      <c r="AW248" s="13" t="s">
        <v>4</v>
      </c>
      <c r="AX248" s="13" t="s">
        <v>85</v>
      </c>
      <c r="AY248" s="162" t="s">
        <v>177</v>
      </c>
    </row>
    <row r="249" spans="1:65" s="2" customFormat="1" ht="24.2" customHeight="1">
      <c r="A249" s="34"/>
      <c r="B249" s="139"/>
      <c r="C249" s="140" t="s">
        <v>512</v>
      </c>
      <c r="D249" s="140" t="s">
        <v>180</v>
      </c>
      <c r="E249" s="141" t="s">
        <v>513</v>
      </c>
      <c r="F249" s="142" t="s">
        <v>514</v>
      </c>
      <c r="G249" s="143" t="s">
        <v>183</v>
      </c>
      <c r="H249" s="144">
        <v>73.331999999999994</v>
      </c>
      <c r="I249" s="145"/>
      <c r="J249" s="146">
        <f>ROUND(I249*H249,2)</f>
        <v>0</v>
      </c>
      <c r="K249" s="142" t="s">
        <v>184</v>
      </c>
      <c r="L249" s="35"/>
      <c r="M249" s="147" t="s">
        <v>3</v>
      </c>
      <c r="N249" s="148" t="s">
        <v>48</v>
      </c>
      <c r="O249" s="55"/>
      <c r="P249" s="149">
        <f>O249*H249</f>
        <v>0</v>
      </c>
      <c r="Q249" s="149">
        <v>0</v>
      </c>
      <c r="R249" s="149">
        <f>Q249*H249</f>
        <v>0</v>
      </c>
      <c r="S249" s="149">
        <v>0</v>
      </c>
      <c r="T249" s="150">
        <f>S249*H249</f>
        <v>0</v>
      </c>
      <c r="U249" s="34"/>
      <c r="V249" s="34"/>
      <c r="W249" s="34"/>
      <c r="X249" s="34"/>
      <c r="Y249" s="34"/>
      <c r="Z249" s="34"/>
      <c r="AA249" s="34"/>
      <c r="AB249" s="34"/>
      <c r="AC249" s="34"/>
      <c r="AD249" s="34"/>
      <c r="AE249" s="34"/>
      <c r="AR249" s="151" t="s">
        <v>185</v>
      </c>
      <c r="AT249" s="151" t="s">
        <v>180</v>
      </c>
      <c r="AU249" s="151" t="s">
        <v>87</v>
      </c>
      <c r="AY249" s="19" t="s">
        <v>177</v>
      </c>
      <c r="BE249" s="152">
        <f>IF(N249="základní",J249,0)</f>
        <v>0</v>
      </c>
      <c r="BF249" s="152">
        <f>IF(N249="snížená",J249,0)</f>
        <v>0</v>
      </c>
      <c r="BG249" s="152">
        <f>IF(N249="zákl. přenesená",J249,0)</f>
        <v>0</v>
      </c>
      <c r="BH249" s="152">
        <f>IF(N249="sníž. přenesená",J249,0)</f>
        <v>0</v>
      </c>
      <c r="BI249" s="152">
        <f>IF(N249="nulová",J249,0)</f>
        <v>0</v>
      </c>
      <c r="BJ249" s="19" t="s">
        <v>85</v>
      </c>
      <c r="BK249" s="152">
        <f>ROUND(I249*H249,2)</f>
        <v>0</v>
      </c>
      <c r="BL249" s="19" t="s">
        <v>185</v>
      </c>
      <c r="BM249" s="151" t="s">
        <v>515</v>
      </c>
    </row>
    <row r="250" spans="1:65" s="2" customFormat="1" ht="19.5">
      <c r="A250" s="34"/>
      <c r="B250" s="35"/>
      <c r="C250" s="34"/>
      <c r="D250" s="153" t="s">
        <v>187</v>
      </c>
      <c r="E250" s="34"/>
      <c r="F250" s="154" t="s">
        <v>516</v>
      </c>
      <c r="G250" s="34"/>
      <c r="H250" s="34"/>
      <c r="I250" s="155"/>
      <c r="J250" s="34"/>
      <c r="K250" s="34"/>
      <c r="L250" s="35"/>
      <c r="M250" s="156"/>
      <c r="N250" s="157"/>
      <c r="O250" s="55"/>
      <c r="P250" s="55"/>
      <c r="Q250" s="55"/>
      <c r="R250" s="55"/>
      <c r="S250" s="55"/>
      <c r="T250" s="56"/>
      <c r="U250" s="34"/>
      <c r="V250" s="34"/>
      <c r="W250" s="34"/>
      <c r="X250" s="34"/>
      <c r="Y250" s="34"/>
      <c r="Z250" s="34"/>
      <c r="AA250" s="34"/>
      <c r="AB250" s="34"/>
      <c r="AC250" s="34"/>
      <c r="AD250" s="34"/>
      <c r="AE250" s="34"/>
      <c r="AT250" s="19" t="s">
        <v>187</v>
      </c>
      <c r="AU250" s="19" t="s">
        <v>87</v>
      </c>
    </row>
    <row r="251" spans="1:65" s="2" customFormat="1">
      <c r="A251" s="34"/>
      <c r="B251" s="35"/>
      <c r="C251" s="34"/>
      <c r="D251" s="158" t="s">
        <v>189</v>
      </c>
      <c r="E251" s="34"/>
      <c r="F251" s="159" t="s">
        <v>517</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189</v>
      </c>
      <c r="AU251" s="19" t="s">
        <v>87</v>
      </c>
    </row>
    <row r="252" spans="1:65" s="2" customFormat="1" ht="39">
      <c r="A252" s="34"/>
      <c r="B252" s="35"/>
      <c r="C252" s="34"/>
      <c r="D252" s="153" t="s">
        <v>191</v>
      </c>
      <c r="E252" s="34"/>
      <c r="F252" s="160" t="s">
        <v>228</v>
      </c>
      <c r="G252" s="34"/>
      <c r="H252" s="34"/>
      <c r="I252" s="155"/>
      <c r="J252" s="34"/>
      <c r="K252" s="34"/>
      <c r="L252" s="35"/>
      <c r="M252" s="156"/>
      <c r="N252" s="157"/>
      <c r="O252" s="55"/>
      <c r="P252" s="55"/>
      <c r="Q252" s="55"/>
      <c r="R252" s="55"/>
      <c r="S252" s="55"/>
      <c r="T252" s="56"/>
      <c r="U252" s="34"/>
      <c r="V252" s="34"/>
      <c r="W252" s="34"/>
      <c r="X252" s="34"/>
      <c r="Y252" s="34"/>
      <c r="Z252" s="34"/>
      <c r="AA252" s="34"/>
      <c r="AB252" s="34"/>
      <c r="AC252" s="34"/>
      <c r="AD252" s="34"/>
      <c r="AE252" s="34"/>
      <c r="AT252" s="19" t="s">
        <v>191</v>
      </c>
      <c r="AU252" s="19" t="s">
        <v>87</v>
      </c>
    </row>
    <row r="253" spans="1:65" s="12" customFormat="1" ht="22.9" customHeight="1">
      <c r="B253" s="126"/>
      <c r="D253" s="127" t="s">
        <v>76</v>
      </c>
      <c r="E253" s="137" t="s">
        <v>518</v>
      </c>
      <c r="F253" s="137" t="s">
        <v>519</v>
      </c>
      <c r="I253" s="129"/>
      <c r="J253" s="138">
        <f>BK253</f>
        <v>0</v>
      </c>
      <c r="L253" s="126"/>
      <c r="M253" s="131"/>
      <c r="N253" s="132"/>
      <c r="O253" s="132"/>
      <c r="P253" s="133">
        <f>SUM(P254:P257)</f>
        <v>0</v>
      </c>
      <c r="Q253" s="132"/>
      <c r="R253" s="133">
        <f>SUM(R254:R257)</f>
        <v>0</v>
      </c>
      <c r="S253" s="132"/>
      <c r="T253" s="134">
        <f>SUM(T254:T257)</f>
        <v>0</v>
      </c>
      <c r="AR253" s="127" t="s">
        <v>85</v>
      </c>
      <c r="AT253" s="135" t="s">
        <v>76</v>
      </c>
      <c r="AU253" s="135" t="s">
        <v>85</v>
      </c>
      <c r="AY253" s="127" t="s">
        <v>177</v>
      </c>
      <c r="BK253" s="136">
        <f>SUM(BK254:BK257)</f>
        <v>0</v>
      </c>
    </row>
    <row r="254" spans="1:65" s="2" customFormat="1" ht="16.5" customHeight="1">
      <c r="A254" s="34"/>
      <c r="B254" s="139"/>
      <c r="C254" s="140" t="s">
        <v>520</v>
      </c>
      <c r="D254" s="140" t="s">
        <v>180</v>
      </c>
      <c r="E254" s="141" t="s">
        <v>521</v>
      </c>
      <c r="F254" s="142" t="s">
        <v>522</v>
      </c>
      <c r="G254" s="143" t="s">
        <v>183</v>
      </c>
      <c r="H254" s="144">
        <v>60.747999999999998</v>
      </c>
      <c r="I254" s="145"/>
      <c r="J254" s="146">
        <f>ROUND(I254*H254,2)</f>
        <v>0</v>
      </c>
      <c r="K254" s="142" t="s">
        <v>184</v>
      </c>
      <c r="L254" s="35"/>
      <c r="M254" s="147" t="s">
        <v>3</v>
      </c>
      <c r="N254" s="148" t="s">
        <v>48</v>
      </c>
      <c r="O254" s="55"/>
      <c r="P254" s="149">
        <f>O254*H254</f>
        <v>0</v>
      </c>
      <c r="Q254" s="149">
        <v>0</v>
      </c>
      <c r="R254" s="149">
        <f>Q254*H254</f>
        <v>0</v>
      </c>
      <c r="S254" s="149">
        <v>0</v>
      </c>
      <c r="T254" s="150">
        <f>S254*H254</f>
        <v>0</v>
      </c>
      <c r="U254" s="34"/>
      <c r="V254" s="34"/>
      <c r="W254" s="34"/>
      <c r="X254" s="34"/>
      <c r="Y254" s="34"/>
      <c r="Z254" s="34"/>
      <c r="AA254" s="34"/>
      <c r="AB254" s="34"/>
      <c r="AC254" s="34"/>
      <c r="AD254" s="34"/>
      <c r="AE254" s="34"/>
      <c r="AR254" s="151" t="s">
        <v>185</v>
      </c>
      <c r="AT254" s="151" t="s">
        <v>180</v>
      </c>
      <c r="AU254" s="151" t="s">
        <v>87</v>
      </c>
      <c r="AY254" s="19" t="s">
        <v>177</v>
      </c>
      <c r="BE254" s="152">
        <f>IF(N254="základní",J254,0)</f>
        <v>0</v>
      </c>
      <c r="BF254" s="152">
        <f>IF(N254="snížená",J254,0)</f>
        <v>0</v>
      </c>
      <c r="BG254" s="152">
        <f>IF(N254="zákl. přenesená",J254,0)</f>
        <v>0</v>
      </c>
      <c r="BH254" s="152">
        <f>IF(N254="sníž. přenesená",J254,0)</f>
        <v>0</v>
      </c>
      <c r="BI254" s="152">
        <f>IF(N254="nulová",J254,0)</f>
        <v>0</v>
      </c>
      <c r="BJ254" s="19" t="s">
        <v>85</v>
      </c>
      <c r="BK254" s="152">
        <f>ROUND(I254*H254,2)</f>
        <v>0</v>
      </c>
      <c r="BL254" s="19" t="s">
        <v>185</v>
      </c>
      <c r="BM254" s="151" t="s">
        <v>523</v>
      </c>
    </row>
    <row r="255" spans="1:65" s="2" customFormat="1" ht="19.5">
      <c r="A255" s="34"/>
      <c r="B255" s="35"/>
      <c r="C255" s="34"/>
      <c r="D255" s="153" t="s">
        <v>187</v>
      </c>
      <c r="E255" s="34"/>
      <c r="F255" s="154" t="s">
        <v>524</v>
      </c>
      <c r="G255" s="34"/>
      <c r="H255" s="34"/>
      <c r="I255" s="155"/>
      <c r="J255" s="34"/>
      <c r="K255" s="34"/>
      <c r="L255" s="35"/>
      <c r="M255" s="156"/>
      <c r="N255" s="157"/>
      <c r="O255" s="55"/>
      <c r="P255" s="55"/>
      <c r="Q255" s="55"/>
      <c r="R255" s="55"/>
      <c r="S255" s="55"/>
      <c r="T255" s="56"/>
      <c r="U255" s="34"/>
      <c r="V255" s="34"/>
      <c r="W255" s="34"/>
      <c r="X255" s="34"/>
      <c r="Y255" s="34"/>
      <c r="Z255" s="34"/>
      <c r="AA255" s="34"/>
      <c r="AB255" s="34"/>
      <c r="AC255" s="34"/>
      <c r="AD255" s="34"/>
      <c r="AE255" s="34"/>
      <c r="AT255" s="19" t="s">
        <v>187</v>
      </c>
      <c r="AU255" s="19" t="s">
        <v>87</v>
      </c>
    </row>
    <row r="256" spans="1:65" s="2" customFormat="1">
      <c r="A256" s="34"/>
      <c r="B256" s="35"/>
      <c r="C256" s="34"/>
      <c r="D256" s="158" t="s">
        <v>189</v>
      </c>
      <c r="E256" s="34"/>
      <c r="F256" s="159" t="s">
        <v>525</v>
      </c>
      <c r="G256" s="34"/>
      <c r="H256" s="34"/>
      <c r="I256" s="155"/>
      <c r="J256" s="34"/>
      <c r="K256" s="34"/>
      <c r="L256" s="35"/>
      <c r="M256" s="156"/>
      <c r="N256" s="157"/>
      <c r="O256" s="55"/>
      <c r="P256" s="55"/>
      <c r="Q256" s="55"/>
      <c r="R256" s="55"/>
      <c r="S256" s="55"/>
      <c r="T256" s="56"/>
      <c r="U256" s="34"/>
      <c r="V256" s="34"/>
      <c r="W256" s="34"/>
      <c r="X256" s="34"/>
      <c r="Y256" s="34"/>
      <c r="Z256" s="34"/>
      <c r="AA256" s="34"/>
      <c r="AB256" s="34"/>
      <c r="AC256" s="34"/>
      <c r="AD256" s="34"/>
      <c r="AE256" s="34"/>
      <c r="AT256" s="19" t="s">
        <v>189</v>
      </c>
      <c r="AU256" s="19" t="s">
        <v>87</v>
      </c>
    </row>
    <row r="257" spans="1:65" s="2" customFormat="1" ht="58.5">
      <c r="A257" s="34"/>
      <c r="B257" s="35"/>
      <c r="C257" s="34"/>
      <c r="D257" s="153" t="s">
        <v>191</v>
      </c>
      <c r="E257" s="34"/>
      <c r="F257" s="160" t="s">
        <v>526</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191</v>
      </c>
      <c r="AU257" s="19" t="s">
        <v>87</v>
      </c>
    </row>
    <row r="258" spans="1:65" s="12" customFormat="1" ht="25.9" customHeight="1">
      <c r="B258" s="126"/>
      <c r="D258" s="127" t="s">
        <v>76</v>
      </c>
      <c r="E258" s="128" t="s">
        <v>313</v>
      </c>
      <c r="F258" s="128" t="s">
        <v>314</v>
      </c>
      <c r="I258" s="129"/>
      <c r="J258" s="130">
        <f>BK258</f>
        <v>0</v>
      </c>
      <c r="L258" s="126"/>
      <c r="M258" s="131"/>
      <c r="N258" s="132"/>
      <c r="O258" s="132"/>
      <c r="P258" s="133">
        <f>SUM(P259:P261)</f>
        <v>0</v>
      </c>
      <c r="Q258" s="132"/>
      <c r="R258" s="133">
        <f>SUM(R259:R261)</f>
        <v>0</v>
      </c>
      <c r="S258" s="132"/>
      <c r="T258" s="134">
        <f>SUM(T259:T261)</f>
        <v>0</v>
      </c>
      <c r="AR258" s="127" t="s">
        <v>185</v>
      </c>
      <c r="AT258" s="135" t="s">
        <v>76</v>
      </c>
      <c r="AU258" s="135" t="s">
        <v>77</v>
      </c>
      <c r="AY258" s="127" t="s">
        <v>177</v>
      </c>
      <c r="BK258" s="136">
        <f>SUM(BK259:BK261)</f>
        <v>0</v>
      </c>
    </row>
    <row r="259" spans="1:65" s="2" customFormat="1" ht="16.5" customHeight="1">
      <c r="A259" s="34"/>
      <c r="B259" s="139"/>
      <c r="C259" s="140" t="s">
        <v>527</v>
      </c>
      <c r="D259" s="140" t="s">
        <v>180</v>
      </c>
      <c r="E259" s="141" t="s">
        <v>528</v>
      </c>
      <c r="F259" s="142" t="s">
        <v>529</v>
      </c>
      <c r="G259" s="143" t="s">
        <v>305</v>
      </c>
      <c r="H259" s="144">
        <v>100</v>
      </c>
      <c r="I259" s="145"/>
      <c r="J259" s="146">
        <f>ROUND(I259*H259,2)</f>
        <v>0</v>
      </c>
      <c r="K259" s="142" t="s">
        <v>184</v>
      </c>
      <c r="L259" s="35"/>
      <c r="M259" s="147" t="s">
        <v>3</v>
      </c>
      <c r="N259" s="148" t="s">
        <v>48</v>
      </c>
      <c r="O259" s="55"/>
      <c r="P259" s="149">
        <f>O259*H259</f>
        <v>0</v>
      </c>
      <c r="Q259" s="149">
        <v>0</v>
      </c>
      <c r="R259" s="149">
        <f>Q259*H259</f>
        <v>0</v>
      </c>
      <c r="S259" s="149">
        <v>0</v>
      </c>
      <c r="T259" s="150">
        <f>S259*H259</f>
        <v>0</v>
      </c>
      <c r="U259" s="34"/>
      <c r="V259" s="34"/>
      <c r="W259" s="34"/>
      <c r="X259" s="34"/>
      <c r="Y259" s="34"/>
      <c r="Z259" s="34"/>
      <c r="AA259" s="34"/>
      <c r="AB259" s="34"/>
      <c r="AC259" s="34"/>
      <c r="AD259" s="34"/>
      <c r="AE259" s="34"/>
      <c r="AR259" s="151" t="s">
        <v>318</v>
      </c>
      <c r="AT259" s="151" t="s">
        <v>180</v>
      </c>
      <c r="AU259" s="151" t="s">
        <v>85</v>
      </c>
      <c r="AY259" s="19" t="s">
        <v>177</v>
      </c>
      <c r="BE259" s="152">
        <f>IF(N259="základní",J259,0)</f>
        <v>0</v>
      </c>
      <c r="BF259" s="152">
        <f>IF(N259="snížená",J259,0)</f>
        <v>0</v>
      </c>
      <c r="BG259" s="152">
        <f>IF(N259="zákl. přenesená",J259,0)</f>
        <v>0</v>
      </c>
      <c r="BH259" s="152">
        <f>IF(N259="sníž. přenesená",J259,0)</f>
        <v>0</v>
      </c>
      <c r="BI259" s="152">
        <f>IF(N259="nulová",J259,0)</f>
        <v>0</v>
      </c>
      <c r="BJ259" s="19" t="s">
        <v>85</v>
      </c>
      <c r="BK259" s="152">
        <f>ROUND(I259*H259,2)</f>
        <v>0</v>
      </c>
      <c r="BL259" s="19" t="s">
        <v>318</v>
      </c>
      <c r="BM259" s="151" t="s">
        <v>530</v>
      </c>
    </row>
    <row r="260" spans="1:65" s="2" customFormat="1">
      <c r="A260" s="34"/>
      <c r="B260" s="35"/>
      <c r="C260" s="34"/>
      <c r="D260" s="153" t="s">
        <v>187</v>
      </c>
      <c r="E260" s="34"/>
      <c r="F260" s="154" t="s">
        <v>531</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187</v>
      </c>
      <c r="AU260" s="19" t="s">
        <v>85</v>
      </c>
    </row>
    <row r="261" spans="1:65" s="2" customFormat="1">
      <c r="A261" s="34"/>
      <c r="B261" s="35"/>
      <c r="C261" s="34"/>
      <c r="D261" s="158" t="s">
        <v>189</v>
      </c>
      <c r="E261" s="34"/>
      <c r="F261" s="159" t="s">
        <v>532</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189</v>
      </c>
      <c r="AU261" s="19" t="s">
        <v>85</v>
      </c>
    </row>
    <row r="262" spans="1:65" s="12" customFormat="1" ht="25.9" customHeight="1">
      <c r="B262" s="126"/>
      <c r="D262" s="127" t="s">
        <v>76</v>
      </c>
      <c r="E262" s="128" t="s">
        <v>533</v>
      </c>
      <c r="F262" s="128" t="s">
        <v>534</v>
      </c>
      <c r="I262" s="129"/>
      <c r="J262" s="130">
        <f>BK262</f>
        <v>0</v>
      </c>
      <c r="L262" s="126"/>
      <c r="M262" s="131"/>
      <c r="N262" s="132"/>
      <c r="O262" s="132"/>
      <c r="P262" s="133">
        <f>P263</f>
        <v>0</v>
      </c>
      <c r="Q262" s="132"/>
      <c r="R262" s="133">
        <f>R263</f>
        <v>0</v>
      </c>
      <c r="S262" s="132"/>
      <c r="T262" s="134">
        <f>T263</f>
        <v>0</v>
      </c>
      <c r="AR262" s="127" t="s">
        <v>200</v>
      </c>
      <c r="AT262" s="135" t="s">
        <v>76</v>
      </c>
      <c r="AU262" s="135" t="s">
        <v>77</v>
      </c>
      <c r="AY262" s="127" t="s">
        <v>177</v>
      </c>
      <c r="BK262" s="136">
        <f>BK263</f>
        <v>0</v>
      </c>
    </row>
    <row r="263" spans="1:65" s="12" customFormat="1" ht="22.9" customHeight="1">
      <c r="B263" s="126"/>
      <c r="D263" s="127" t="s">
        <v>76</v>
      </c>
      <c r="E263" s="137" t="s">
        <v>535</v>
      </c>
      <c r="F263" s="137" t="s">
        <v>536</v>
      </c>
      <c r="I263" s="129"/>
      <c r="J263" s="138">
        <f>BK263</f>
        <v>0</v>
      </c>
      <c r="L263" s="126"/>
      <c r="M263" s="131"/>
      <c r="N263" s="132"/>
      <c r="O263" s="132"/>
      <c r="P263" s="133">
        <f>SUM(P264:P266)</f>
        <v>0</v>
      </c>
      <c r="Q263" s="132"/>
      <c r="R263" s="133">
        <f>SUM(R264:R266)</f>
        <v>0</v>
      </c>
      <c r="S263" s="132"/>
      <c r="T263" s="134">
        <f>SUM(T264:T266)</f>
        <v>0</v>
      </c>
      <c r="AR263" s="127" t="s">
        <v>200</v>
      </c>
      <c r="AT263" s="135" t="s">
        <v>76</v>
      </c>
      <c r="AU263" s="135" t="s">
        <v>85</v>
      </c>
      <c r="AY263" s="127" t="s">
        <v>177</v>
      </c>
      <c r="BK263" s="136">
        <f>SUM(BK264:BK266)</f>
        <v>0</v>
      </c>
    </row>
    <row r="264" spans="1:65" s="2" customFormat="1" ht="16.5" customHeight="1">
      <c r="A264" s="34"/>
      <c r="B264" s="139"/>
      <c r="C264" s="140" t="s">
        <v>537</v>
      </c>
      <c r="D264" s="140" t="s">
        <v>180</v>
      </c>
      <c r="E264" s="141" t="s">
        <v>538</v>
      </c>
      <c r="F264" s="142" t="s">
        <v>539</v>
      </c>
      <c r="G264" s="143" t="s">
        <v>4954</v>
      </c>
      <c r="H264" s="144">
        <v>6</v>
      </c>
      <c r="I264" s="145"/>
      <c r="J264" s="146">
        <f>ROUND(I264*H264,2)</f>
        <v>0</v>
      </c>
      <c r="K264" s="142" t="s">
        <v>184</v>
      </c>
      <c r="L264" s="35"/>
      <c r="M264" s="147" t="s">
        <v>3</v>
      </c>
      <c r="N264" s="148" t="s">
        <v>48</v>
      </c>
      <c r="O264" s="55"/>
      <c r="P264" s="149">
        <f>O264*H264</f>
        <v>0</v>
      </c>
      <c r="Q264" s="149">
        <v>0</v>
      </c>
      <c r="R264" s="149">
        <f>Q264*H264</f>
        <v>0</v>
      </c>
      <c r="S264" s="149">
        <v>0</v>
      </c>
      <c r="T264" s="150">
        <f>S264*H264</f>
        <v>0</v>
      </c>
      <c r="U264" s="34"/>
      <c r="V264" s="34"/>
      <c r="W264" s="34"/>
      <c r="X264" s="34"/>
      <c r="Y264" s="34"/>
      <c r="Z264" s="34"/>
      <c r="AA264" s="34"/>
      <c r="AB264" s="34"/>
      <c r="AC264" s="34"/>
      <c r="AD264" s="34"/>
      <c r="AE264" s="34"/>
      <c r="AR264" s="151" t="s">
        <v>541</v>
      </c>
      <c r="AT264" s="151" t="s">
        <v>180</v>
      </c>
      <c r="AU264" s="151" t="s">
        <v>87</v>
      </c>
      <c r="AY264" s="19" t="s">
        <v>177</v>
      </c>
      <c r="BE264" s="152">
        <f>IF(N264="základní",J264,0)</f>
        <v>0</v>
      </c>
      <c r="BF264" s="152">
        <f>IF(N264="snížená",J264,0)</f>
        <v>0</v>
      </c>
      <c r="BG264" s="152">
        <f>IF(N264="zákl. přenesená",J264,0)</f>
        <v>0</v>
      </c>
      <c r="BH264" s="152">
        <f>IF(N264="sníž. přenesená",J264,0)</f>
        <v>0</v>
      </c>
      <c r="BI264" s="152">
        <f>IF(N264="nulová",J264,0)</f>
        <v>0</v>
      </c>
      <c r="BJ264" s="19" t="s">
        <v>85</v>
      </c>
      <c r="BK264" s="152">
        <f>ROUND(I264*H264,2)</f>
        <v>0</v>
      </c>
      <c r="BL264" s="19" t="s">
        <v>541</v>
      </c>
      <c r="BM264" s="151" t="s">
        <v>542</v>
      </c>
    </row>
    <row r="265" spans="1:65" s="2" customFormat="1">
      <c r="A265" s="34"/>
      <c r="B265" s="35"/>
      <c r="C265" s="34"/>
      <c r="D265" s="153" t="s">
        <v>187</v>
      </c>
      <c r="E265" s="34"/>
      <c r="F265" s="154" t="s">
        <v>539</v>
      </c>
      <c r="G265" s="34"/>
      <c r="H265" s="34"/>
      <c r="I265" s="155"/>
      <c r="J265" s="34"/>
      <c r="K265" s="34"/>
      <c r="L265" s="35"/>
      <c r="M265" s="156"/>
      <c r="N265" s="157"/>
      <c r="O265" s="55"/>
      <c r="P265" s="55"/>
      <c r="Q265" s="55"/>
      <c r="R265" s="55"/>
      <c r="S265" s="55"/>
      <c r="T265" s="56"/>
      <c r="U265" s="34"/>
      <c r="V265" s="34"/>
      <c r="W265" s="34"/>
      <c r="X265" s="34"/>
      <c r="Y265" s="34"/>
      <c r="Z265" s="34"/>
      <c r="AA265" s="34"/>
      <c r="AB265" s="34"/>
      <c r="AC265" s="34"/>
      <c r="AD265" s="34"/>
      <c r="AE265" s="34"/>
      <c r="AT265" s="19" t="s">
        <v>187</v>
      </c>
      <c r="AU265" s="19" t="s">
        <v>87</v>
      </c>
    </row>
    <row r="266" spans="1:65" s="2" customFormat="1">
      <c r="A266" s="34"/>
      <c r="B266" s="35"/>
      <c r="C266" s="34"/>
      <c r="D266" s="158" t="s">
        <v>189</v>
      </c>
      <c r="E266" s="34"/>
      <c r="F266" s="159" t="s">
        <v>543</v>
      </c>
      <c r="G266" s="34"/>
      <c r="H266" s="34"/>
      <c r="I266" s="155"/>
      <c r="J266" s="34"/>
      <c r="K266" s="34"/>
      <c r="L266" s="35"/>
      <c r="M266" s="205"/>
      <c r="N266" s="206"/>
      <c r="O266" s="207"/>
      <c r="P266" s="207"/>
      <c r="Q266" s="207"/>
      <c r="R266" s="207"/>
      <c r="S266" s="207"/>
      <c r="T266" s="208"/>
      <c r="U266" s="34"/>
      <c r="V266" s="34"/>
      <c r="W266" s="34"/>
      <c r="X266" s="34"/>
      <c r="Y266" s="34"/>
      <c r="Z266" s="34"/>
      <c r="AA266" s="34"/>
      <c r="AB266" s="34"/>
      <c r="AC266" s="34"/>
      <c r="AD266" s="34"/>
      <c r="AE266" s="34"/>
      <c r="AT266" s="19" t="s">
        <v>189</v>
      </c>
      <c r="AU266" s="19" t="s">
        <v>87</v>
      </c>
    </row>
    <row r="267" spans="1:65" s="2" customFormat="1" ht="6.95" customHeight="1">
      <c r="A267" s="34"/>
      <c r="B267" s="44"/>
      <c r="C267" s="45"/>
      <c r="D267" s="45"/>
      <c r="E267" s="45"/>
      <c r="F267" s="45"/>
      <c r="G267" s="45"/>
      <c r="H267" s="45"/>
      <c r="I267" s="45"/>
      <c r="J267" s="45"/>
      <c r="K267" s="45"/>
      <c r="L267" s="35"/>
      <c r="M267" s="34"/>
      <c r="O267" s="34"/>
      <c r="P267" s="34"/>
      <c r="Q267" s="34"/>
      <c r="R267" s="34"/>
      <c r="S267" s="34"/>
      <c r="T267" s="34"/>
      <c r="U267" s="34"/>
      <c r="V267" s="34"/>
      <c r="W267" s="34"/>
      <c r="X267" s="34"/>
      <c r="Y267" s="34"/>
      <c r="Z267" s="34"/>
      <c r="AA267" s="34"/>
      <c r="AB267" s="34"/>
      <c r="AC267" s="34"/>
      <c r="AD267" s="34"/>
      <c r="AE267" s="34"/>
    </row>
  </sheetData>
  <autoFilter ref="C85:K266"/>
  <mergeCells count="9">
    <mergeCell ref="E50:H50"/>
    <mergeCell ref="E76:H76"/>
    <mergeCell ref="E78:H78"/>
    <mergeCell ref="L2:V2"/>
    <mergeCell ref="E7:H7"/>
    <mergeCell ref="E9:H9"/>
    <mergeCell ref="E18:H18"/>
    <mergeCell ref="E27:H27"/>
    <mergeCell ref="E48:H48"/>
  </mergeCells>
  <hyperlinks>
    <hyperlink ref="F91" r:id="rId1"/>
    <hyperlink ref="F98" r:id="rId2"/>
    <hyperlink ref="F102" r:id="rId3"/>
    <hyperlink ref="F107" r:id="rId4"/>
    <hyperlink ref="F111" r:id="rId5"/>
    <hyperlink ref="F115" r:id="rId6"/>
    <hyperlink ref="F119" r:id="rId7"/>
    <hyperlink ref="F123" r:id="rId8"/>
    <hyperlink ref="F127" r:id="rId9"/>
    <hyperlink ref="F132" r:id="rId10"/>
    <hyperlink ref="F137" r:id="rId11"/>
    <hyperlink ref="F152" r:id="rId12"/>
    <hyperlink ref="F167" r:id="rId13"/>
    <hyperlink ref="F176" r:id="rId14"/>
    <hyperlink ref="F185" r:id="rId15"/>
    <hyperlink ref="F191" r:id="rId16"/>
    <hyperlink ref="F195" r:id="rId17"/>
    <hyperlink ref="F199" r:id="rId18"/>
    <hyperlink ref="F204" r:id="rId19"/>
    <hyperlink ref="F210" r:id="rId20"/>
    <hyperlink ref="F214" r:id="rId21"/>
    <hyperlink ref="F223" r:id="rId22"/>
    <hyperlink ref="F233" r:id="rId23"/>
    <hyperlink ref="F237" r:id="rId24"/>
    <hyperlink ref="F242" r:id="rId25"/>
    <hyperlink ref="F246" r:id="rId26"/>
    <hyperlink ref="F251" r:id="rId27"/>
    <hyperlink ref="F256" r:id="rId28"/>
    <hyperlink ref="F261" r:id="rId29"/>
    <hyperlink ref="F266" r:id="rId30"/>
  </hyperlinks>
  <pageMargins left="0.39374999999999999" right="0.39374999999999999" top="0.39374999999999999" bottom="0.39374999999999999" header="0" footer="0"/>
  <pageSetup paperSize="9" scale="84" fitToHeight="100" orientation="landscape" blackAndWhite="1" r:id="rId31"/>
  <headerFooter>
    <oddFooter>&amp;CStrana &amp;P z &amp;N</oddFooter>
  </headerFooter>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93</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544</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ROUND(J89,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ROUND((SUM(BE89:BE300)),  2)</f>
        <v>0</v>
      </c>
      <c r="G33" s="34"/>
      <c r="H33" s="34"/>
      <c r="I33" s="98">
        <v>0.21</v>
      </c>
      <c r="J33" s="97">
        <f>ROUND(((SUM(BE89:BE300))*I33),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ROUND((SUM(BF89:BF300)),  2)</f>
        <v>0</v>
      </c>
      <c r="G34" s="34"/>
      <c r="H34" s="34"/>
      <c r="I34" s="98">
        <v>0.15</v>
      </c>
      <c r="J34" s="97">
        <f>ROUND(((SUM(BF89:BF300))*I34),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ROUND((SUM(BG89:BG300)),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ROUND((SUM(BH89:BH300)),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ROUND((SUM(BI89:BI300)),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3 - Vyzdění severního průčelí</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J89</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J90</f>
        <v>0</v>
      </c>
      <c r="L60" s="108"/>
    </row>
    <row r="61" spans="1:47" s="10" customFormat="1" ht="19.899999999999999" customHeight="1">
      <c r="B61" s="112"/>
      <c r="D61" s="113" t="s">
        <v>545</v>
      </c>
      <c r="E61" s="114"/>
      <c r="F61" s="114"/>
      <c r="G61" s="114"/>
      <c r="H61" s="114"/>
      <c r="I61" s="114"/>
      <c r="J61" s="115">
        <f>J91</f>
        <v>0</v>
      </c>
      <c r="L61" s="112"/>
    </row>
    <row r="62" spans="1:47" s="10" customFormat="1" ht="19.899999999999999" customHeight="1">
      <c r="B62" s="112"/>
      <c r="D62" s="113" t="s">
        <v>546</v>
      </c>
      <c r="E62" s="114"/>
      <c r="F62" s="114"/>
      <c r="G62" s="114"/>
      <c r="H62" s="114"/>
      <c r="I62" s="114"/>
      <c r="J62" s="115">
        <f>J100</f>
        <v>0</v>
      </c>
      <c r="L62" s="112"/>
    </row>
    <row r="63" spans="1:47" s="10" customFormat="1" ht="19.899999999999999" customHeight="1">
      <c r="B63" s="112"/>
      <c r="D63" s="113" t="s">
        <v>547</v>
      </c>
      <c r="E63" s="114"/>
      <c r="F63" s="114"/>
      <c r="G63" s="114"/>
      <c r="H63" s="114"/>
      <c r="I63" s="114"/>
      <c r="J63" s="115">
        <f>J157</f>
        <v>0</v>
      </c>
      <c r="L63" s="112"/>
    </row>
    <row r="64" spans="1:47" s="10" customFormat="1" ht="19.899999999999999" customHeight="1">
      <c r="B64" s="112"/>
      <c r="D64" s="113" t="s">
        <v>325</v>
      </c>
      <c r="E64" s="114"/>
      <c r="F64" s="114"/>
      <c r="G64" s="114"/>
      <c r="H64" s="114"/>
      <c r="I64" s="114"/>
      <c r="J64" s="115">
        <f>J173</f>
        <v>0</v>
      </c>
      <c r="L64" s="112"/>
    </row>
    <row r="65" spans="1:31" s="10" customFormat="1" ht="19.899999999999999" customHeight="1">
      <c r="B65" s="112"/>
      <c r="D65" s="113" t="s">
        <v>326</v>
      </c>
      <c r="E65" s="114"/>
      <c r="F65" s="114"/>
      <c r="G65" s="114"/>
      <c r="H65" s="114"/>
      <c r="I65" s="114"/>
      <c r="J65" s="115">
        <f>J226</f>
        <v>0</v>
      </c>
      <c r="L65" s="112"/>
    </row>
    <row r="66" spans="1:31" s="9" customFormat="1" ht="24.95" customHeight="1">
      <c r="B66" s="108"/>
      <c r="D66" s="109" t="s">
        <v>155</v>
      </c>
      <c r="E66" s="110"/>
      <c r="F66" s="110"/>
      <c r="G66" s="110"/>
      <c r="H66" s="110"/>
      <c r="I66" s="110"/>
      <c r="J66" s="111">
        <f>J231</f>
        <v>0</v>
      </c>
      <c r="L66" s="108"/>
    </row>
    <row r="67" spans="1:31" s="10" customFormat="1" ht="19.899999999999999" customHeight="1">
      <c r="B67" s="112"/>
      <c r="D67" s="113" t="s">
        <v>548</v>
      </c>
      <c r="E67" s="114"/>
      <c r="F67" s="114"/>
      <c r="G67" s="114"/>
      <c r="H67" s="114"/>
      <c r="I67" s="114"/>
      <c r="J67" s="115">
        <f>J232</f>
        <v>0</v>
      </c>
      <c r="L67" s="112"/>
    </row>
    <row r="68" spans="1:31" s="10" customFormat="1" ht="19.899999999999999" customHeight="1">
      <c r="B68" s="112"/>
      <c r="D68" s="113" t="s">
        <v>549</v>
      </c>
      <c r="E68" s="114"/>
      <c r="F68" s="114"/>
      <c r="G68" s="114"/>
      <c r="H68" s="114"/>
      <c r="I68" s="114"/>
      <c r="J68" s="115">
        <f>J279</f>
        <v>0</v>
      </c>
      <c r="L68" s="112"/>
    </row>
    <row r="69" spans="1:31" s="9" customFormat="1" ht="24.95" customHeight="1">
      <c r="B69" s="108"/>
      <c r="D69" s="109" t="s">
        <v>161</v>
      </c>
      <c r="E69" s="110"/>
      <c r="F69" s="110"/>
      <c r="G69" s="110"/>
      <c r="H69" s="110"/>
      <c r="I69" s="110"/>
      <c r="J69" s="111">
        <f>J297</f>
        <v>0</v>
      </c>
      <c r="L69" s="108"/>
    </row>
    <row r="70" spans="1:31" s="2" customFormat="1" ht="21.7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6.95" customHeight="1">
      <c r="A71" s="34"/>
      <c r="B71" s="44"/>
      <c r="C71" s="45"/>
      <c r="D71" s="45"/>
      <c r="E71" s="45"/>
      <c r="F71" s="45"/>
      <c r="G71" s="45"/>
      <c r="H71" s="45"/>
      <c r="I71" s="45"/>
      <c r="J71" s="45"/>
      <c r="K71" s="45"/>
      <c r="L71" s="91"/>
      <c r="S71" s="34"/>
      <c r="T71" s="34"/>
      <c r="U71" s="34"/>
      <c r="V71" s="34"/>
      <c r="W71" s="34"/>
      <c r="X71" s="34"/>
      <c r="Y71" s="34"/>
      <c r="Z71" s="34"/>
      <c r="AA71" s="34"/>
      <c r="AB71" s="34"/>
      <c r="AC71" s="34"/>
      <c r="AD71" s="34"/>
      <c r="AE71" s="34"/>
    </row>
    <row r="75" spans="1:31" s="2" customFormat="1" ht="6.95" customHeight="1">
      <c r="A75" s="34"/>
      <c r="B75" s="46"/>
      <c r="C75" s="47"/>
      <c r="D75" s="47"/>
      <c r="E75" s="47"/>
      <c r="F75" s="47"/>
      <c r="G75" s="47"/>
      <c r="H75" s="47"/>
      <c r="I75" s="47"/>
      <c r="J75" s="47"/>
      <c r="K75" s="47"/>
      <c r="L75" s="91"/>
      <c r="S75" s="34"/>
      <c r="T75" s="34"/>
      <c r="U75" s="34"/>
      <c r="V75" s="34"/>
      <c r="W75" s="34"/>
      <c r="X75" s="34"/>
      <c r="Y75" s="34"/>
      <c r="Z75" s="34"/>
      <c r="AA75" s="34"/>
      <c r="AB75" s="34"/>
      <c r="AC75" s="34"/>
      <c r="AD75" s="34"/>
      <c r="AE75" s="34"/>
    </row>
    <row r="76" spans="1:31" s="2" customFormat="1" ht="24.95" customHeight="1">
      <c r="A76" s="34"/>
      <c r="B76" s="35"/>
      <c r="C76" s="23" t="s">
        <v>162</v>
      </c>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2" customHeight="1">
      <c r="A78" s="34"/>
      <c r="B78" s="35"/>
      <c r="C78" s="29" t="s">
        <v>17</v>
      </c>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16.5" customHeight="1">
      <c r="A79" s="34"/>
      <c r="B79" s="35"/>
      <c r="C79" s="34"/>
      <c r="D79" s="34"/>
      <c r="E79" s="436" t="str">
        <f>E7</f>
        <v>ZŠ P. HOLÉHO - PŘESTAVBA PLAVECKÉHO PAVILONU</v>
      </c>
      <c r="F79" s="437"/>
      <c r="G79" s="437"/>
      <c r="H79" s="437"/>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146</v>
      </c>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6.5" customHeight="1">
      <c r="A81" s="34"/>
      <c r="B81" s="35"/>
      <c r="C81" s="34"/>
      <c r="D81" s="34"/>
      <c r="E81" s="432" t="str">
        <f>E9</f>
        <v>E 3 - Vyzdění severního průčelí</v>
      </c>
      <c r="F81" s="435"/>
      <c r="G81" s="435"/>
      <c r="H81" s="435"/>
      <c r="I81" s="34"/>
      <c r="J81" s="34"/>
      <c r="K81" s="34"/>
      <c r="L81" s="91"/>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F12</f>
        <v>Prokopa Holého 2632, Louny, 440 01</v>
      </c>
      <c r="G83" s="34"/>
      <c r="H83" s="34"/>
      <c r="I83" s="29" t="s">
        <v>23</v>
      </c>
      <c r="J83" s="52" t="str">
        <f>IF(J12="","",J12)</f>
        <v>21. 9. 2022</v>
      </c>
      <c r="K83" s="34"/>
      <c r="L83" s="91"/>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E15</f>
        <v>Město Louny</v>
      </c>
      <c r="G85" s="34"/>
      <c r="H85" s="34"/>
      <c r="I85" s="29" t="s">
        <v>32</v>
      </c>
      <c r="J85" s="32" t="str">
        <f>E21</f>
        <v>RYSIK Design s.r.o.</v>
      </c>
      <c r="K85" s="34"/>
      <c r="L85" s="91"/>
      <c r="S85" s="34"/>
      <c r="T85" s="34"/>
      <c r="U85" s="34"/>
      <c r="V85" s="34"/>
      <c r="W85" s="34"/>
      <c r="X85" s="34"/>
      <c r="Y85" s="34"/>
      <c r="Z85" s="34"/>
      <c r="AA85" s="34"/>
      <c r="AB85" s="34"/>
      <c r="AC85" s="34"/>
      <c r="AD85" s="34"/>
      <c r="AE85" s="34"/>
    </row>
    <row r="86" spans="1:65" s="2" customFormat="1" ht="25.7" customHeight="1">
      <c r="A86" s="34"/>
      <c r="B86" s="35"/>
      <c r="C86" s="29" t="s">
        <v>30</v>
      </c>
      <c r="D86" s="34"/>
      <c r="E86" s="34"/>
      <c r="F86" s="27" t="str">
        <f>IF(E18="","",E18)</f>
        <v>Vyplň údaj</v>
      </c>
      <c r="G86" s="34"/>
      <c r="H86" s="34"/>
      <c r="I86" s="29" t="s">
        <v>37</v>
      </c>
      <c r="J86" s="32" t="str">
        <f>E24</f>
        <v>ing. Kateřina Tumpachová</v>
      </c>
      <c r="K86" s="34"/>
      <c r="L86" s="91"/>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1"/>
      <c r="S87" s="34"/>
      <c r="T87" s="34"/>
      <c r="U87" s="34"/>
      <c r="V87" s="34"/>
      <c r="W87" s="34"/>
      <c r="X87" s="34"/>
      <c r="Y87" s="34"/>
      <c r="Z87" s="34"/>
      <c r="AA87" s="34"/>
      <c r="AB87" s="34"/>
      <c r="AC87" s="34"/>
      <c r="AD87" s="34"/>
      <c r="AE87" s="34"/>
    </row>
    <row r="88" spans="1:65" s="11" customFormat="1" ht="29.25" customHeight="1">
      <c r="A88" s="116"/>
      <c r="B88" s="117"/>
      <c r="C88" s="118" t="s">
        <v>163</v>
      </c>
      <c r="D88" s="119" t="s">
        <v>62</v>
      </c>
      <c r="E88" s="119" t="s">
        <v>58</v>
      </c>
      <c r="F88" s="119" t="s">
        <v>59</v>
      </c>
      <c r="G88" s="119" t="s">
        <v>164</v>
      </c>
      <c r="H88" s="119" t="s">
        <v>165</v>
      </c>
      <c r="I88" s="119" t="s">
        <v>166</v>
      </c>
      <c r="J88" s="119" t="s">
        <v>151</v>
      </c>
      <c r="K88" s="120" t="s">
        <v>167</v>
      </c>
      <c r="L88" s="121"/>
      <c r="M88" s="59" t="s">
        <v>3</v>
      </c>
      <c r="N88" s="60" t="s">
        <v>47</v>
      </c>
      <c r="O88" s="60" t="s">
        <v>168</v>
      </c>
      <c r="P88" s="60" t="s">
        <v>169</v>
      </c>
      <c r="Q88" s="60" t="s">
        <v>170</v>
      </c>
      <c r="R88" s="60" t="s">
        <v>171</v>
      </c>
      <c r="S88" s="60" t="s">
        <v>172</v>
      </c>
      <c r="T88" s="61" t="s">
        <v>173</v>
      </c>
      <c r="U88" s="116"/>
      <c r="V88" s="116"/>
      <c r="W88" s="116"/>
      <c r="X88" s="116"/>
      <c r="Y88" s="116"/>
      <c r="Z88" s="116"/>
      <c r="AA88" s="116"/>
      <c r="AB88" s="116"/>
      <c r="AC88" s="116"/>
      <c r="AD88" s="116"/>
      <c r="AE88" s="116"/>
    </row>
    <row r="89" spans="1:65" s="2" customFormat="1" ht="22.9" customHeight="1">
      <c r="A89" s="34"/>
      <c r="B89" s="35"/>
      <c r="C89" s="66" t="s">
        <v>174</v>
      </c>
      <c r="D89" s="34"/>
      <c r="E89" s="34"/>
      <c r="F89" s="34"/>
      <c r="G89" s="34"/>
      <c r="H89" s="34"/>
      <c r="I89" s="34"/>
      <c r="J89" s="122">
        <f>BK89</f>
        <v>0</v>
      </c>
      <c r="K89" s="34"/>
      <c r="L89" s="35"/>
      <c r="M89" s="62"/>
      <c r="N89" s="53"/>
      <c r="O89" s="63"/>
      <c r="P89" s="123">
        <f>P90+P231+P297</f>
        <v>0</v>
      </c>
      <c r="Q89" s="63"/>
      <c r="R89" s="123">
        <f>R90+R231+R297</f>
        <v>65.021985029800007</v>
      </c>
      <c r="S89" s="63"/>
      <c r="T89" s="124">
        <f>T90+T231+T297</f>
        <v>0</v>
      </c>
      <c r="U89" s="34"/>
      <c r="V89" s="34"/>
      <c r="W89" s="34"/>
      <c r="X89" s="34"/>
      <c r="Y89" s="34"/>
      <c r="Z89" s="34"/>
      <c r="AA89" s="34"/>
      <c r="AB89" s="34"/>
      <c r="AC89" s="34"/>
      <c r="AD89" s="34"/>
      <c r="AE89" s="34"/>
      <c r="AT89" s="19" t="s">
        <v>76</v>
      </c>
      <c r="AU89" s="19" t="s">
        <v>152</v>
      </c>
      <c r="BK89" s="125">
        <f>BK90+BK231+BK297</f>
        <v>0</v>
      </c>
    </row>
    <row r="90" spans="1:65" s="12" customFormat="1" ht="25.9" customHeight="1">
      <c r="B90" s="126"/>
      <c r="D90" s="127" t="s">
        <v>76</v>
      </c>
      <c r="E90" s="128" t="s">
        <v>175</v>
      </c>
      <c r="F90" s="128" t="s">
        <v>176</v>
      </c>
      <c r="I90" s="129"/>
      <c r="J90" s="130">
        <f>BK90</f>
        <v>0</v>
      </c>
      <c r="L90" s="126"/>
      <c r="M90" s="131"/>
      <c r="N90" s="132"/>
      <c r="O90" s="132"/>
      <c r="P90" s="133">
        <f>P91+P100+P157+P173+P226</f>
        <v>0</v>
      </c>
      <c r="Q90" s="132"/>
      <c r="R90" s="133">
        <f>R91+R100+R157+R173+R226</f>
        <v>63.468074374800011</v>
      </c>
      <c r="S90" s="132"/>
      <c r="T90" s="134">
        <f>T91+T100+T157+T173+T226</f>
        <v>0</v>
      </c>
      <c r="AR90" s="127" t="s">
        <v>85</v>
      </c>
      <c r="AT90" s="135" t="s">
        <v>76</v>
      </c>
      <c r="AU90" s="135" t="s">
        <v>77</v>
      </c>
      <c r="AY90" s="127" t="s">
        <v>177</v>
      </c>
      <c r="BK90" s="136">
        <f>BK91+BK100+BK157+BK173+BK226</f>
        <v>0</v>
      </c>
    </row>
    <row r="91" spans="1:65" s="12" customFormat="1" ht="22.9" customHeight="1">
      <c r="B91" s="126"/>
      <c r="D91" s="127" t="s">
        <v>76</v>
      </c>
      <c r="E91" s="137" t="s">
        <v>87</v>
      </c>
      <c r="F91" s="137" t="s">
        <v>550</v>
      </c>
      <c r="I91" s="129"/>
      <c r="J91" s="138">
        <f>BK91</f>
        <v>0</v>
      </c>
      <c r="L91" s="126"/>
      <c r="M91" s="131"/>
      <c r="N91" s="132"/>
      <c r="O91" s="132"/>
      <c r="P91" s="133">
        <f>SUM(P92:P99)</f>
        <v>0</v>
      </c>
      <c r="Q91" s="132"/>
      <c r="R91" s="133">
        <f>SUM(R92:R99)</f>
        <v>6.02595189</v>
      </c>
      <c r="S91" s="132"/>
      <c r="T91" s="134">
        <f>SUM(T92:T99)</f>
        <v>0</v>
      </c>
      <c r="AR91" s="127" t="s">
        <v>85</v>
      </c>
      <c r="AT91" s="135" t="s">
        <v>76</v>
      </c>
      <c r="AU91" s="135" t="s">
        <v>85</v>
      </c>
      <c r="AY91" s="127" t="s">
        <v>177</v>
      </c>
      <c r="BK91" s="136">
        <f>SUM(BK92:BK99)</f>
        <v>0</v>
      </c>
    </row>
    <row r="92" spans="1:65" s="2" customFormat="1" ht="21.75" customHeight="1">
      <c r="A92" s="34"/>
      <c r="B92" s="139"/>
      <c r="C92" s="140" t="s">
        <v>85</v>
      </c>
      <c r="D92" s="140" t="s">
        <v>180</v>
      </c>
      <c r="E92" s="141" t="s">
        <v>551</v>
      </c>
      <c r="F92" s="142" t="s">
        <v>552</v>
      </c>
      <c r="G92" s="143" t="s">
        <v>332</v>
      </c>
      <c r="H92" s="144">
        <v>6.3</v>
      </c>
      <c r="I92" s="145"/>
      <c r="J92" s="146">
        <f>ROUND(I92*H92,2)</f>
        <v>0</v>
      </c>
      <c r="K92" s="142" t="s">
        <v>184</v>
      </c>
      <c r="L92" s="35"/>
      <c r="M92" s="147" t="s">
        <v>3</v>
      </c>
      <c r="N92" s="148" t="s">
        <v>48</v>
      </c>
      <c r="O92" s="55"/>
      <c r="P92" s="149">
        <f>O92*H92</f>
        <v>0</v>
      </c>
      <c r="Q92" s="149">
        <v>0.95650029999999997</v>
      </c>
      <c r="R92" s="149">
        <f>Q92*H92</f>
        <v>6.02595189</v>
      </c>
      <c r="S92" s="149">
        <v>0</v>
      </c>
      <c r="T92" s="150">
        <f>S92*H92</f>
        <v>0</v>
      </c>
      <c r="U92" s="34"/>
      <c r="V92" s="34"/>
      <c r="W92" s="34"/>
      <c r="X92" s="34"/>
      <c r="Y92" s="34"/>
      <c r="Z92" s="34"/>
      <c r="AA92" s="34"/>
      <c r="AB92" s="34"/>
      <c r="AC92" s="34"/>
      <c r="AD92" s="34"/>
      <c r="AE92" s="34"/>
      <c r="AR92" s="151" t="s">
        <v>185</v>
      </c>
      <c r="AT92" s="151" t="s">
        <v>180</v>
      </c>
      <c r="AU92" s="151" t="s">
        <v>87</v>
      </c>
      <c r="AY92" s="19" t="s">
        <v>177</v>
      </c>
      <c r="BE92" s="152">
        <f>IF(N92="základní",J92,0)</f>
        <v>0</v>
      </c>
      <c r="BF92" s="152">
        <f>IF(N92="snížená",J92,0)</f>
        <v>0</v>
      </c>
      <c r="BG92" s="152">
        <f>IF(N92="zákl. přenesená",J92,0)</f>
        <v>0</v>
      </c>
      <c r="BH92" s="152">
        <f>IF(N92="sníž. přenesená",J92,0)</f>
        <v>0</v>
      </c>
      <c r="BI92" s="152">
        <f>IF(N92="nulová",J92,0)</f>
        <v>0</v>
      </c>
      <c r="BJ92" s="19" t="s">
        <v>85</v>
      </c>
      <c r="BK92" s="152">
        <f>ROUND(I92*H92,2)</f>
        <v>0</v>
      </c>
      <c r="BL92" s="19" t="s">
        <v>185</v>
      </c>
      <c r="BM92" s="151" t="s">
        <v>553</v>
      </c>
    </row>
    <row r="93" spans="1:65" s="2" customFormat="1" ht="19.5">
      <c r="A93" s="34"/>
      <c r="B93" s="35"/>
      <c r="C93" s="34"/>
      <c r="D93" s="153" t="s">
        <v>187</v>
      </c>
      <c r="E93" s="34"/>
      <c r="F93" s="154" t="s">
        <v>554</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187</v>
      </c>
      <c r="AU93" s="19" t="s">
        <v>87</v>
      </c>
    </row>
    <row r="94" spans="1:65" s="2" customFormat="1">
      <c r="A94" s="34"/>
      <c r="B94" s="35"/>
      <c r="C94" s="34"/>
      <c r="D94" s="158" t="s">
        <v>189</v>
      </c>
      <c r="E94" s="34"/>
      <c r="F94" s="159" t="s">
        <v>555</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189</v>
      </c>
      <c r="AU94" s="19" t="s">
        <v>87</v>
      </c>
    </row>
    <row r="95" spans="1:65" s="2" customFormat="1" ht="58.5">
      <c r="A95" s="34"/>
      <c r="B95" s="35"/>
      <c r="C95" s="34"/>
      <c r="D95" s="153" t="s">
        <v>191</v>
      </c>
      <c r="E95" s="34"/>
      <c r="F95" s="160" t="s">
        <v>556</v>
      </c>
      <c r="G95" s="34"/>
      <c r="H95" s="34"/>
      <c r="I95" s="155"/>
      <c r="J95" s="34"/>
      <c r="K95" s="34"/>
      <c r="L95" s="35"/>
      <c r="M95" s="156"/>
      <c r="N95" s="157"/>
      <c r="O95" s="55"/>
      <c r="P95" s="55"/>
      <c r="Q95" s="55"/>
      <c r="R95" s="55"/>
      <c r="S95" s="55"/>
      <c r="T95" s="56"/>
      <c r="U95" s="34"/>
      <c r="V95" s="34"/>
      <c r="W95" s="34"/>
      <c r="X95" s="34"/>
      <c r="Y95" s="34"/>
      <c r="Z95" s="34"/>
      <c r="AA95" s="34"/>
      <c r="AB95" s="34"/>
      <c r="AC95" s="34"/>
      <c r="AD95" s="34"/>
      <c r="AE95" s="34"/>
      <c r="AT95" s="19" t="s">
        <v>191</v>
      </c>
      <c r="AU95" s="19" t="s">
        <v>87</v>
      </c>
    </row>
    <row r="96" spans="1:65" s="13" customFormat="1">
      <c r="B96" s="161"/>
      <c r="D96" s="153" t="s">
        <v>193</v>
      </c>
      <c r="E96" s="162" t="s">
        <v>3</v>
      </c>
      <c r="F96" s="163" t="s">
        <v>557</v>
      </c>
      <c r="H96" s="164">
        <v>6</v>
      </c>
      <c r="I96" s="165"/>
      <c r="L96" s="161"/>
      <c r="M96" s="166"/>
      <c r="N96" s="167"/>
      <c r="O96" s="167"/>
      <c r="P96" s="167"/>
      <c r="Q96" s="167"/>
      <c r="R96" s="167"/>
      <c r="S96" s="167"/>
      <c r="T96" s="168"/>
      <c r="AT96" s="162" t="s">
        <v>193</v>
      </c>
      <c r="AU96" s="162" t="s">
        <v>87</v>
      </c>
      <c r="AV96" s="13" t="s">
        <v>87</v>
      </c>
      <c r="AW96" s="13" t="s">
        <v>36</v>
      </c>
      <c r="AX96" s="13" t="s">
        <v>77</v>
      </c>
      <c r="AY96" s="162" t="s">
        <v>177</v>
      </c>
    </row>
    <row r="97" spans="1:65" s="14" customFormat="1">
      <c r="B97" s="169"/>
      <c r="D97" s="153" t="s">
        <v>193</v>
      </c>
      <c r="E97" s="170" t="s">
        <v>3</v>
      </c>
      <c r="F97" s="171" t="s">
        <v>558</v>
      </c>
      <c r="H97" s="170" t="s">
        <v>3</v>
      </c>
      <c r="I97" s="172"/>
      <c r="L97" s="169"/>
      <c r="M97" s="173"/>
      <c r="N97" s="174"/>
      <c r="O97" s="174"/>
      <c r="P97" s="174"/>
      <c r="Q97" s="174"/>
      <c r="R97" s="174"/>
      <c r="S97" s="174"/>
      <c r="T97" s="175"/>
      <c r="AT97" s="170" t="s">
        <v>193</v>
      </c>
      <c r="AU97" s="170" t="s">
        <v>87</v>
      </c>
      <c r="AV97" s="14" t="s">
        <v>85</v>
      </c>
      <c r="AW97" s="14" t="s">
        <v>36</v>
      </c>
      <c r="AX97" s="14" t="s">
        <v>77</v>
      </c>
      <c r="AY97" s="170" t="s">
        <v>177</v>
      </c>
    </row>
    <row r="98" spans="1:65" s="13" customFormat="1">
      <c r="B98" s="161"/>
      <c r="D98" s="153" t="s">
        <v>193</v>
      </c>
      <c r="E98" s="162" t="s">
        <v>3</v>
      </c>
      <c r="F98" s="163" t="s">
        <v>559</v>
      </c>
      <c r="H98" s="164">
        <v>0.3</v>
      </c>
      <c r="I98" s="165"/>
      <c r="L98" s="161"/>
      <c r="M98" s="166"/>
      <c r="N98" s="167"/>
      <c r="O98" s="167"/>
      <c r="P98" s="167"/>
      <c r="Q98" s="167"/>
      <c r="R98" s="167"/>
      <c r="S98" s="167"/>
      <c r="T98" s="168"/>
      <c r="AT98" s="162" t="s">
        <v>193</v>
      </c>
      <c r="AU98" s="162" t="s">
        <v>87</v>
      </c>
      <c r="AV98" s="13" t="s">
        <v>87</v>
      </c>
      <c r="AW98" s="13" t="s">
        <v>36</v>
      </c>
      <c r="AX98" s="13" t="s">
        <v>77</v>
      </c>
      <c r="AY98" s="162" t="s">
        <v>177</v>
      </c>
    </row>
    <row r="99" spans="1:65" s="16" customFormat="1">
      <c r="B99" s="184"/>
      <c r="D99" s="153" t="s">
        <v>193</v>
      </c>
      <c r="E99" s="185" t="s">
        <v>3</v>
      </c>
      <c r="F99" s="186" t="s">
        <v>201</v>
      </c>
      <c r="H99" s="187">
        <v>6.3</v>
      </c>
      <c r="I99" s="188"/>
      <c r="L99" s="184"/>
      <c r="M99" s="189"/>
      <c r="N99" s="190"/>
      <c r="O99" s="190"/>
      <c r="P99" s="190"/>
      <c r="Q99" s="190"/>
      <c r="R99" s="190"/>
      <c r="S99" s="190"/>
      <c r="T99" s="191"/>
      <c r="AT99" s="185" t="s">
        <v>193</v>
      </c>
      <c r="AU99" s="185" t="s">
        <v>87</v>
      </c>
      <c r="AV99" s="16" t="s">
        <v>185</v>
      </c>
      <c r="AW99" s="16" t="s">
        <v>36</v>
      </c>
      <c r="AX99" s="16" t="s">
        <v>85</v>
      </c>
      <c r="AY99" s="185" t="s">
        <v>177</v>
      </c>
    </row>
    <row r="100" spans="1:65" s="12" customFormat="1" ht="22.9" customHeight="1">
      <c r="B100" s="126"/>
      <c r="D100" s="127" t="s">
        <v>76</v>
      </c>
      <c r="E100" s="137" t="s">
        <v>198</v>
      </c>
      <c r="F100" s="137" t="s">
        <v>560</v>
      </c>
      <c r="I100" s="129"/>
      <c r="J100" s="138">
        <f>BK100</f>
        <v>0</v>
      </c>
      <c r="L100" s="126"/>
      <c r="M100" s="131"/>
      <c r="N100" s="132"/>
      <c r="O100" s="132"/>
      <c r="P100" s="133">
        <f>SUM(P101:P156)</f>
        <v>0</v>
      </c>
      <c r="Q100" s="132"/>
      <c r="R100" s="133">
        <f>SUM(R101:R156)</f>
        <v>53.754462004800004</v>
      </c>
      <c r="S100" s="132"/>
      <c r="T100" s="134">
        <f>SUM(T101:T156)</f>
        <v>0</v>
      </c>
      <c r="AR100" s="127" t="s">
        <v>85</v>
      </c>
      <c r="AT100" s="135" t="s">
        <v>76</v>
      </c>
      <c r="AU100" s="135" t="s">
        <v>85</v>
      </c>
      <c r="AY100" s="127" t="s">
        <v>177</v>
      </c>
      <c r="BK100" s="136">
        <f>SUM(BK101:BK156)</f>
        <v>0</v>
      </c>
    </row>
    <row r="101" spans="1:65" s="2" customFormat="1" ht="16.5" customHeight="1">
      <c r="A101" s="34"/>
      <c r="B101" s="139"/>
      <c r="C101" s="140" t="s">
        <v>87</v>
      </c>
      <c r="D101" s="140" t="s">
        <v>180</v>
      </c>
      <c r="E101" s="141" t="s">
        <v>561</v>
      </c>
      <c r="F101" s="142" t="s">
        <v>562</v>
      </c>
      <c r="G101" s="143" t="s">
        <v>332</v>
      </c>
      <c r="H101" s="144">
        <v>59.8</v>
      </c>
      <c r="I101" s="145"/>
      <c r="J101" s="146">
        <f>ROUND(I101*H101,2)</f>
        <v>0</v>
      </c>
      <c r="K101" s="142" t="s">
        <v>184</v>
      </c>
      <c r="L101" s="35"/>
      <c r="M101" s="147" t="s">
        <v>3</v>
      </c>
      <c r="N101" s="148" t="s">
        <v>48</v>
      </c>
      <c r="O101" s="55"/>
      <c r="P101" s="149">
        <f>O101*H101</f>
        <v>0</v>
      </c>
      <c r="Q101" s="149">
        <v>0.45539200000000002</v>
      </c>
      <c r="R101" s="149">
        <f>Q101*H101</f>
        <v>27.232441600000001</v>
      </c>
      <c r="S101" s="149">
        <v>0</v>
      </c>
      <c r="T101" s="150">
        <f>S101*H101</f>
        <v>0</v>
      </c>
      <c r="U101" s="34"/>
      <c r="V101" s="34"/>
      <c r="W101" s="34"/>
      <c r="X101" s="34"/>
      <c r="Y101" s="34"/>
      <c r="Z101" s="34"/>
      <c r="AA101" s="34"/>
      <c r="AB101" s="34"/>
      <c r="AC101" s="34"/>
      <c r="AD101" s="34"/>
      <c r="AE101" s="34"/>
      <c r="AR101" s="151" t="s">
        <v>185</v>
      </c>
      <c r="AT101" s="151" t="s">
        <v>180</v>
      </c>
      <c r="AU101" s="151" t="s">
        <v>87</v>
      </c>
      <c r="AY101" s="19" t="s">
        <v>177</v>
      </c>
      <c r="BE101" s="152">
        <f>IF(N101="základní",J101,0)</f>
        <v>0</v>
      </c>
      <c r="BF101" s="152">
        <f>IF(N101="snížená",J101,0)</f>
        <v>0</v>
      </c>
      <c r="BG101" s="152">
        <f>IF(N101="zákl. přenesená",J101,0)</f>
        <v>0</v>
      </c>
      <c r="BH101" s="152">
        <f>IF(N101="sníž. přenesená",J101,0)</f>
        <v>0</v>
      </c>
      <c r="BI101" s="152">
        <f>IF(N101="nulová",J101,0)</f>
        <v>0</v>
      </c>
      <c r="BJ101" s="19" t="s">
        <v>85</v>
      </c>
      <c r="BK101" s="152">
        <f>ROUND(I101*H101,2)</f>
        <v>0</v>
      </c>
      <c r="BL101" s="19" t="s">
        <v>185</v>
      </c>
      <c r="BM101" s="151" t="s">
        <v>563</v>
      </c>
    </row>
    <row r="102" spans="1:65" s="2" customFormat="1" ht="19.5">
      <c r="A102" s="34"/>
      <c r="B102" s="35"/>
      <c r="C102" s="34"/>
      <c r="D102" s="153" t="s">
        <v>187</v>
      </c>
      <c r="E102" s="34"/>
      <c r="F102" s="154" t="s">
        <v>564</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187</v>
      </c>
      <c r="AU102" s="19" t="s">
        <v>87</v>
      </c>
    </row>
    <row r="103" spans="1:65" s="2" customFormat="1">
      <c r="A103" s="34"/>
      <c r="B103" s="35"/>
      <c r="C103" s="34"/>
      <c r="D103" s="158" t="s">
        <v>189</v>
      </c>
      <c r="E103" s="34"/>
      <c r="F103" s="159" t="s">
        <v>565</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189</v>
      </c>
      <c r="AU103" s="19" t="s">
        <v>87</v>
      </c>
    </row>
    <row r="104" spans="1:65" s="13" customFormat="1">
      <c r="B104" s="161"/>
      <c r="D104" s="153" t="s">
        <v>193</v>
      </c>
      <c r="E104" s="162" t="s">
        <v>3</v>
      </c>
      <c r="F104" s="163" t="s">
        <v>566</v>
      </c>
      <c r="H104" s="164">
        <v>55.2</v>
      </c>
      <c r="I104" s="165"/>
      <c r="L104" s="161"/>
      <c r="M104" s="166"/>
      <c r="N104" s="167"/>
      <c r="O104" s="167"/>
      <c r="P104" s="167"/>
      <c r="Q104" s="167"/>
      <c r="R104" s="167"/>
      <c r="S104" s="167"/>
      <c r="T104" s="168"/>
      <c r="AT104" s="162" t="s">
        <v>193</v>
      </c>
      <c r="AU104" s="162" t="s">
        <v>87</v>
      </c>
      <c r="AV104" s="13" t="s">
        <v>87</v>
      </c>
      <c r="AW104" s="13" t="s">
        <v>36</v>
      </c>
      <c r="AX104" s="13" t="s">
        <v>77</v>
      </c>
      <c r="AY104" s="162" t="s">
        <v>177</v>
      </c>
    </row>
    <row r="105" spans="1:65" s="14" customFormat="1">
      <c r="B105" s="169"/>
      <c r="D105" s="153" t="s">
        <v>193</v>
      </c>
      <c r="E105" s="170" t="s">
        <v>3</v>
      </c>
      <c r="F105" s="171" t="s">
        <v>567</v>
      </c>
      <c r="H105" s="170" t="s">
        <v>3</v>
      </c>
      <c r="I105" s="172"/>
      <c r="L105" s="169"/>
      <c r="M105" s="173"/>
      <c r="N105" s="174"/>
      <c r="O105" s="174"/>
      <c r="P105" s="174"/>
      <c r="Q105" s="174"/>
      <c r="R105" s="174"/>
      <c r="S105" s="174"/>
      <c r="T105" s="175"/>
      <c r="AT105" s="170" t="s">
        <v>193</v>
      </c>
      <c r="AU105" s="170" t="s">
        <v>87</v>
      </c>
      <c r="AV105" s="14" t="s">
        <v>85</v>
      </c>
      <c r="AW105" s="14" t="s">
        <v>36</v>
      </c>
      <c r="AX105" s="14" t="s">
        <v>77</v>
      </c>
      <c r="AY105" s="170" t="s">
        <v>177</v>
      </c>
    </row>
    <row r="106" spans="1:65" s="13" customFormat="1">
      <c r="B106" s="161"/>
      <c r="D106" s="153" t="s">
        <v>193</v>
      </c>
      <c r="E106" s="162" t="s">
        <v>3</v>
      </c>
      <c r="F106" s="163" t="s">
        <v>568</v>
      </c>
      <c r="H106" s="164">
        <v>4.5999999999999996</v>
      </c>
      <c r="I106" s="165"/>
      <c r="L106" s="161"/>
      <c r="M106" s="166"/>
      <c r="N106" s="167"/>
      <c r="O106" s="167"/>
      <c r="P106" s="167"/>
      <c r="Q106" s="167"/>
      <c r="R106" s="167"/>
      <c r="S106" s="167"/>
      <c r="T106" s="168"/>
      <c r="AT106" s="162" t="s">
        <v>193</v>
      </c>
      <c r="AU106" s="162" t="s">
        <v>87</v>
      </c>
      <c r="AV106" s="13" t="s">
        <v>87</v>
      </c>
      <c r="AW106" s="13" t="s">
        <v>36</v>
      </c>
      <c r="AX106" s="13" t="s">
        <v>77</v>
      </c>
      <c r="AY106" s="162" t="s">
        <v>177</v>
      </c>
    </row>
    <row r="107" spans="1:65" s="16" customFormat="1">
      <c r="B107" s="184"/>
      <c r="D107" s="153" t="s">
        <v>193</v>
      </c>
      <c r="E107" s="185" t="s">
        <v>3</v>
      </c>
      <c r="F107" s="186" t="s">
        <v>201</v>
      </c>
      <c r="H107" s="187">
        <v>59.800000000000004</v>
      </c>
      <c r="I107" s="188"/>
      <c r="L107" s="184"/>
      <c r="M107" s="189"/>
      <c r="N107" s="190"/>
      <c r="O107" s="190"/>
      <c r="P107" s="190"/>
      <c r="Q107" s="190"/>
      <c r="R107" s="190"/>
      <c r="S107" s="190"/>
      <c r="T107" s="191"/>
      <c r="AT107" s="185" t="s">
        <v>193</v>
      </c>
      <c r="AU107" s="185" t="s">
        <v>87</v>
      </c>
      <c r="AV107" s="16" t="s">
        <v>185</v>
      </c>
      <c r="AW107" s="16" t="s">
        <v>36</v>
      </c>
      <c r="AX107" s="16" t="s">
        <v>85</v>
      </c>
      <c r="AY107" s="185" t="s">
        <v>177</v>
      </c>
    </row>
    <row r="108" spans="1:65" s="2" customFormat="1" ht="24.2" customHeight="1">
      <c r="A108" s="34"/>
      <c r="B108" s="139"/>
      <c r="C108" s="140" t="s">
        <v>198</v>
      </c>
      <c r="D108" s="140" t="s">
        <v>180</v>
      </c>
      <c r="E108" s="141" t="s">
        <v>569</v>
      </c>
      <c r="F108" s="142" t="s">
        <v>570</v>
      </c>
      <c r="G108" s="143" t="s">
        <v>332</v>
      </c>
      <c r="H108" s="144">
        <v>20.399999999999999</v>
      </c>
      <c r="I108" s="145"/>
      <c r="J108" s="146">
        <f>ROUND(I108*H108,2)</f>
        <v>0</v>
      </c>
      <c r="K108" s="142" t="s">
        <v>184</v>
      </c>
      <c r="L108" s="35"/>
      <c r="M108" s="147" t="s">
        <v>3</v>
      </c>
      <c r="N108" s="148" t="s">
        <v>48</v>
      </c>
      <c r="O108" s="55"/>
      <c r="P108" s="149">
        <f>O108*H108</f>
        <v>0</v>
      </c>
      <c r="Q108" s="149">
        <v>0.15273999999999999</v>
      </c>
      <c r="R108" s="149">
        <f>Q108*H108</f>
        <v>3.1158959999999993</v>
      </c>
      <c r="S108" s="149">
        <v>0</v>
      </c>
      <c r="T108" s="150">
        <f>S108*H108</f>
        <v>0</v>
      </c>
      <c r="U108" s="34"/>
      <c r="V108" s="34"/>
      <c r="W108" s="34"/>
      <c r="X108" s="34"/>
      <c r="Y108" s="34"/>
      <c r="Z108" s="34"/>
      <c r="AA108" s="34"/>
      <c r="AB108" s="34"/>
      <c r="AC108" s="34"/>
      <c r="AD108" s="34"/>
      <c r="AE108" s="34"/>
      <c r="AR108" s="151" t="s">
        <v>185</v>
      </c>
      <c r="AT108" s="151" t="s">
        <v>180</v>
      </c>
      <c r="AU108" s="151" t="s">
        <v>87</v>
      </c>
      <c r="AY108" s="19" t="s">
        <v>177</v>
      </c>
      <c r="BE108" s="152">
        <f>IF(N108="základní",J108,0)</f>
        <v>0</v>
      </c>
      <c r="BF108" s="152">
        <f>IF(N108="snížená",J108,0)</f>
        <v>0</v>
      </c>
      <c r="BG108" s="152">
        <f>IF(N108="zákl. přenesená",J108,0)</f>
        <v>0</v>
      </c>
      <c r="BH108" s="152">
        <f>IF(N108="sníž. přenesená",J108,0)</f>
        <v>0</v>
      </c>
      <c r="BI108" s="152">
        <f>IF(N108="nulová",J108,0)</f>
        <v>0</v>
      </c>
      <c r="BJ108" s="19" t="s">
        <v>85</v>
      </c>
      <c r="BK108" s="152">
        <f>ROUND(I108*H108,2)</f>
        <v>0</v>
      </c>
      <c r="BL108" s="19" t="s">
        <v>185</v>
      </c>
      <c r="BM108" s="151" t="s">
        <v>571</v>
      </c>
    </row>
    <row r="109" spans="1:65" s="2" customFormat="1" ht="19.5">
      <c r="A109" s="34"/>
      <c r="B109" s="35"/>
      <c r="C109" s="34"/>
      <c r="D109" s="153" t="s">
        <v>187</v>
      </c>
      <c r="E109" s="34"/>
      <c r="F109" s="154" t="s">
        <v>572</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187</v>
      </c>
      <c r="AU109" s="19" t="s">
        <v>87</v>
      </c>
    </row>
    <row r="110" spans="1:65" s="2" customFormat="1">
      <c r="A110" s="34"/>
      <c r="B110" s="35"/>
      <c r="C110" s="34"/>
      <c r="D110" s="158" t="s">
        <v>189</v>
      </c>
      <c r="E110" s="34"/>
      <c r="F110" s="159" t="s">
        <v>573</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189</v>
      </c>
      <c r="AU110" s="19" t="s">
        <v>87</v>
      </c>
    </row>
    <row r="111" spans="1:65" s="14" customFormat="1">
      <c r="B111" s="169"/>
      <c r="D111" s="153" t="s">
        <v>193</v>
      </c>
      <c r="E111" s="170" t="s">
        <v>3</v>
      </c>
      <c r="F111" s="171" t="s">
        <v>574</v>
      </c>
      <c r="H111" s="170" t="s">
        <v>3</v>
      </c>
      <c r="I111" s="172"/>
      <c r="L111" s="169"/>
      <c r="M111" s="173"/>
      <c r="N111" s="174"/>
      <c r="O111" s="174"/>
      <c r="P111" s="174"/>
      <c r="Q111" s="174"/>
      <c r="R111" s="174"/>
      <c r="S111" s="174"/>
      <c r="T111" s="175"/>
      <c r="AT111" s="170" t="s">
        <v>193</v>
      </c>
      <c r="AU111" s="170" t="s">
        <v>87</v>
      </c>
      <c r="AV111" s="14" t="s">
        <v>85</v>
      </c>
      <c r="AW111" s="14" t="s">
        <v>36</v>
      </c>
      <c r="AX111" s="14" t="s">
        <v>77</v>
      </c>
      <c r="AY111" s="170" t="s">
        <v>177</v>
      </c>
    </row>
    <row r="112" spans="1:65" s="13" customFormat="1">
      <c r="B112" s="161"/>
      <c r="D112" s="153" t="s">
        <v>193</v>
      </c>
      <c r="E112" s="162" t="s">
        <v>3</v>
      </c>
      <c r="F112" s="163" t="s">
        <v>575</v>
      </c>
      <c r="H112" s="164">
        <v>20.399999999999999</v>
      </c>
      <c r="I112" s="165"/>
      <c r="L112" s="161"/>
      <c r="M112" s="166"/>
      <c r="N112" s="167"/>
      <c r="O112" s="167"/>
      <c r="P112" s="167"/>
      <c r="Q112" s="167"/>
      <c r="R112" s="167"/>
      <c r="S112" s="167"/>
      <c r="T112" s="168"/>
      <c r="AT112" s="162" t="s">
        <v>193</v>
      </c>
      <c r="AU112" s="162" t="s">
        <v>87</v>
      </c>
      <c r="AV112" s="13" t="s">
        <v>87</v>
      </c>
      <c r="AW112" s="13" t="s">
        <v>36</v>
      </c>
      <c r="AX112" s="13" t="s">
        <v>85</v>
      </c>
      <c r="AY112" s="162" t="s">
        <v>177</v>
      </c>
    </row>
    <row r="113" spans="1:65" s="2" customFormat="1" ht="16.5" customHeight="1">
      <c r="A113" s="34"/>
      <c r="B113" s="139"/>
      <c r="C113" s="140" t="s">
        <v>185</v>
      </c>
      <c r="D113" s="140" t="s">
        <v>180</v>
      </c>
      <c r="E113" s="141" t="s">
        <v>576</v>
      </c>
      <c r="F113" s="142" t="s">
        <v>577</v>
      </c>
      <c r="G113" s="143" t="s">
        <v>332</v>
      </c>
      <c r="H113" s="144">
        <v>124.76</v>
      </c>
      <c r="I113" s="145"/>
      <c r="J113" s="146">
        <f>ROUND(I113*H113,2)</f>
        <v>0</v>
      </c>
      <c r="K113" s="142" t="s">
        <v>184</v>
      </c>
      <c r="L113" s="35"/>
      <c r="M113" s="147" t="s">
        <v>3</v>
      </c>
      <c r="N113" s="148" t="s">
        <v>48</v>
      </c>
      <c r="O113" s="55"/>
      <c r="P113" s="149">
        <f>O113*H113</f>
        <v>0</v>
      </c>
      <c r="Q113" s="149">
        <v>0.18249000000000001</v>
      </c>
      <c r="R113" s="149">
        <f>Q113*H113</f>
        <v>22.767452400000003</v>
      </c>
      <c r="S113" s="149">
        <v>0</v>
      </c>
      <c r="T113" s="150">
        <f>S113*H113</f>
        <v>0</v>
      </c>
      <c r="U113" s="34"/>
      <c r="V113" s="34"/>
      <c r="W113" s="34"/>
      <c r="X113" s="34"/>
      <c r="Y113" s="34"/>
      <c r="Z113" s="34"/>
      <c r="AA113" s="34"/>
      <c r="AB113" s="34"/>
      <c r="AC113" s="34"/>
      <c r="AD113" s="34"/>
      <c r="AE113" s="34"/>
      <c r="AR113" s="151" t="s">
        <v>185</v>
      </c>
      <c r="AT113" s="151" t="s">
        <v>180</v>
      </c>
      <c r="AU113" s="151" t="s">
        <v>87</v>
      </c>
      <c r="AY113" s="19" t="s">
        <v>177</v>
      </c>
      <c r="BE113" s="152">
        <f>IF(N113="základní",J113,0)</f>
        <v>0</v>
      </c>
      <c r="BF113" s="152">
        <f>IF(N113="snížená",J113,0)</f>
        <v>0</v>
      </c>
      <c r="BG113" s="152">
        <f>IF(N113="zákl. přenesená",J113,0)</f>
        <v>0</v>
      </c>
      <c r="BH113" s="152">
        <f>IF(N113="sníž. přenesená",J113,0)</f>
        <v>0</v>
      </c>
      <c r="BI113" s="152">
        <f>IF(N113="nulová",J113,0)</f>
        <v>0</v>
      </c>
      <c r="BJ113" s="19" t="s">
        <v>85</v>
      </c>
      <c r="BK113" s="152">
        <f>ROUND(I113*H113,2)</f>
        <v>0</v>
      </c>
      <c r="BL113" s="19" t="s">
        <v>185</v>
      </c>
      <c r="BM113" s="151" t="s">
        <v>578</v>
      </c>
    </row>
    <row r="114" spans="1:65" s="2" customFormat="1" ht="19.5">
      <c r="A114" s="34"/>
      <c r="B114" s="35"/>
      <c r="C114" s="34"/>
      <c r="D114" s="153" t="s">
        <v>187</v>
      </c>
      <c r="E114" s="34"/>
      <c r="F114" s="154" t="s">
        <v>579</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187</v>
      </c>
      <c r="AU114" s="19" t="s">
        <v>87</v>
      </c>
    </row>
    <row r="115" spans="1:65" s="2" customFormat="1">
      <c r="A115" s="34"/>
      <c r="B115" s="35"/>
      <c r="C115" s="34"/>
      <c r="D115" s="158" t="s">
        <v>189</v>
      </c>
      <c r="E115" s="34"/>
      <c r="F115" s="159" t="s">
        <v>580</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189</v>
      </c>
      <c r="AU115" s="19" t="s">
        <v>87</v>
      </c>
    </row>
    <row r="116" spans="1:65" s="13" customFormat="1">
      <c r="B116" s="161"/>
      <c r="D116" s="153" t="s">
        <v>193</v>
      </c>
      <c r="E116" s="162" t="s">
        <v>3</v>
      </c>
      <c r="F116" s="163" t="s">
        <v>581</v>
      </c>
      <c r="H116" s="164">
        <v>189.6</v>
      </c>
      <c r="I116" s="165"/>
      <c r="L116" s="161"/>
      <c r="M116" s="166"/>
      <c r="N116" s="167"/>
      <c r="O116" s="167"/>
      <c r="P116" s="167"/>
      <c r="Q116" s="167"/>
      <c r="R116" s="167"/>
      <c r="S116" s="167"/>
      <c r="T116" s="168"/>
      <c r="AT116" s="162" t="s">
        <v>193</v>
      </c>
      <c r="AU116" s="162" t="s">
        <v>87</v>
      </c>
      <c r="AV116" s="13" t="s">
        <v>87</v>
      </c>
      <c r="AW116" s="13" t="s">
        <v>36</v>
      </c>
      <c r="AX116" s="13" t="s">
        <v>77</v>
      </c>
      <c r="AY116" s="162" t="s">
        <v>177</v>
      </c>
    </row>
    <row r="117" spans="1:65" s="14" customFormat="1">
      <c r="B117" s="169"/>
      <c r="D117" s="153" t="s">
        <v>193</v>
      </c>
      <c r="E117" s="170" t="s">
        <v>3</v>
      </c>
      <c r="F117" s="171" t="s">
        <v>558</v>
      </c>
      <c r="H117" s="170" t="s">
        <v>3</v>
      </c>
      <c r="I117" s="172"/>
      <c r="L117" s="169"/>
      <c r="M117" s="173"/>
      <c r="N117" s="174"/>
      <c r="O117" s="174"/>
      <c r="P117" s="174"/>
      <c r="Q117" s="174"/>
      <c r="R117" s="174"/>
      <c r="S117" s="174"/>
      <c r="T117" s="175"/>
      <c r="AT117" s="170" t="s">
        <v>193</v>
      </c>
      <c r="AU117" s="170" t="s">
        <v>87</v>
      </c>
      <c r="AV117" s="14" t="s">
        <v>85</v>
      </c>
      <c r="AW117" s="14" t="s">
        <v>36</v>
      </c>
      <c r="AX117" s="14" t="s">
        <v>77</v>
      </c>
      <c r="AY117" s="170" t="s">
        <v>177</v>
      </c>
    </row>
    <row r="118" spans="1:65" s="13" customFormat="1">
      <c r="B118" s="161"/>
      <c r="D118" s="153" t="s">
        <v>193</v>
      </c>
      <c r="E118" s="162" t="s">
        <v>3</v>
      </c>
      <c r="F118" s="163" t="s">
        <v>582</v>
      </c>
      <c r="H118" s="164">
        <v>15.8</v>
      </c>
      <c r="I118" s="165"/>
      <c r="L118" s="161"/>
      <c r="M118" s="166"/>
      <c r="N118" s="167"/>
      <c r="O118" s="167"/>
      <c r="P118" s="167"/>
      <c r="Q118" s="167"/>
      <c r="R118" s="167"/>
      <c r="S118" s="167"/>
      <c r="T118" s="168"/>
      <c r="AT118" s="162" t="s">
        <v>193</v>
      </c>
      <c r="AU118" s="162" t="s">
        <v>87</v>
      </c>
      <c r="AV118" s="13" t="s">
        <v>87</v>
      </c>
      <c r="AW118" s="13" t="s">
        <v>36</v>
      </c>
      <c r="AX118" s="13" t="s">
        <v>77</v>
      </c>
      <c r="AY118" s="162" t="s">
        <v>177</v>
      </c>
    </row>
    <row r="119" spans="1:65" s="14" customFormat="1">
      <c r="B119" s="169"/>
      <c r="D119" s="153" t="s">
        <v>193</v>
      </c>
      <c r="E119" s="170" t="s">
        <v>3</v>
      </c>
      <c r="F119" s="171" t="s">
        <v>583</v>
      </c>
      <c r="H119" s="170" t="s">
        <v>3</v>
      </c>
      <c r="I119" s="172"/>
      <c r="L119" s="169"/>
      <c r="M119" s="173"/>
      <c r="N119" s="174"/>
      <c r="O119" s="174"/>
      <c r="P119" s="174"/>
      <c r="Q119" s="174"/>
      <c r="R119" s="174"/>
      <c r="S119" s="174"/>
      <c r="T119" s="175"/>
      <c r="AT119" s="170" t="s">
        <v>193</v>
      </c>
      <c r="AU119" s="170" t="s">
        <v>87</v>
      </c>
      <c r="AV119" s="14" t="s">
        <v>85</v>
      </c>
      <c r="AW119" s="14" t="s">
        <v>36</v>
      </c>
      <c r="AX119" s="14" t="s">
        <v>77</v>
      </c>
      <c r="AY119" s="170" t="s">
        <v>177</v>
      </c>
    </row>
    <row r="120" spans="1:65" s="13" customFormat="1">
      <c r="B120" s="161"/>
      <c r="D120" s="153" t="s">
        <v>193</v>
      </c>
      <c r="E120" s="162" t="s">
        <v>3</v>
      </c>
      <c r="F120" s="163" t="s">
        <v>584</v>
      </c>
      <c r="H120" s="164">
        <v>-46.08</v>
      </c>
      <c r="I120" s="165"/>
      <c r="L120" s="161"/>
      <c r="M120" s="166"/>
      <c r="N120" s="167"/>
      <c r="O120" s="167"/>
      <c r="P120" s="167"/>
      <c r="Q120" s="167"/>
      <c r="R120" s="167"/>
      <c r="S120" s="167"/>
      <c r="T120" s="168"/>
      <c r="AT120" s="162" t="s">
        <v>193</v>
      </c>
      <c r="AU120" s="162" t="s">
        <v>87</v>
      </c>
      <c r="AV120" s="13" t="s">
        <v>87</v>
      </c>
      <c r="AW120" s="13" t="s">
        <v>36</v>
      </c>
      <c r="AX120" s="13" t="s">
        <v>77</v>
      </c>
      <c r="AY120" s="162" t="s">
        <v>177</v>
      </c>
    </row>
    <row r="121" spans="1:65" s="13" customFormat="1">
      <c r="B121" s="161"/>
      <c r="D121" s="153" t="s">
        <v>193</v>
      </c>
      <c r="E121" s="162" t="s">
        <v>3</v>
      </c>
      <c r="F121" s="163" t="s">
        <v>585</v>
      </c>
      <c r="H121" s="164">
        <v>-34.56</v>
      </c>
      <c r="I121" s="165"/>
      <c r="L121" s="161"/>
      <c r="M121" s="166"/>
      <c r="N121" s="167"/>
      <c r="O121" s="167"/>
      <c r="P121" s="167"/>
      <c r="Q121" s="167"/>
      <c r="R121" s="167"/>
      <c r="S121" s="167"/>
      <c r="T121" s="168"/>
      <c r="AT121" s="162" t="s">
        <v>193</v>
      </c>
      <c r="AU121" s="162" t="s">
        <v>87</v>
      </c>
      <c r="AV121" s="13" t="s">
        <v>87</v>
      </c>
      <c r="AW121" s="13" t="s">
        <v>36</v>
      </c>
      <c r="AX121" s="13" t="s">
        <v>77</v>
      </c>
      <c r="AY121" s="162" t="s">
        <v>177</v>
      </c>
    </row>
    <row r="122" spans="1:65" s="16" customFormat="1">
      <c r="B122" s="184"/>
      <c r="D122" s="153" t="s">
        <v>193</v>
      </c>
      <c r="E122" s="185" t="s">
        <v>3</v>
      </c>
      <c r="F122" s="186" t="s">
        <v>201</v>
      </c>
      <c r="H122" s="187">
        <v>124.75999999999999</v>
      </c>
      <c r="I122" s="188"/>
      <c r="L122" s="184"/>
      <c r="M122" s="189"/>
      <c r="N122" s="190"/>
      <c r="O122" s="190"/>
      <c r="P122" s="190"/>
      <c r="Q122" s="190"/>
      <c r="R122" s="190"/>
      <c r="S122" s="190"/>
      <c r="T122" s="191"/>
      <c r="AT122" s="185" t="s">
        <v>193</v>
      </c>
      <c r="AU122" s="185" t="s">
        <v>87</v>
      </c>
      <c r="AV122" s="16" t="s">
        <v>185</v>
      </c>
      <c r="AW122" s="16" t="s">
        <v>36</v>
      </c>
      <c r="AX122" s="16" t="s">
        <v>85</v>
      </c>
      <c r="AY122" s="185" t="s">
        <v>177</v>
      </c>
    </row>
    <row r="123" spans="1:65" s="2" customFormat="1" ht="21.75" customHeight="1">
      <c r="A123" s="34"/>
      <c r="B123" s="139"/>
      <c r="C123" s="140" t="s">
        <v>200</v>
      </c>
      <c r="D123" s="140" t="s">
        <v>180</v>
      </c>
      <c r="E123" s="141" t="s">
        <v>586</v>
      </c>
      <c r="F123" s="142" t="s">
        <v>587</v>
      </c>
      <c r="G123" s="143" t="s">
        <v>183</v>
      </c>
      <c r="H123" s="144">
        <v>0.499</v>
      </c>
      <c r="I123" s="145"/>
      <c r="J123" s="146">
        <f>ROUND(I123*H123,2)</f>
        <v>0</v>
      </c>
      <c r="K123" s="142" t="s">
        <v>184</v>
      </c>
      <c r="L123" s="35"/>
      <c r="M123" s="147" t="s">
        <v>3</v>
      </c>
      <c r="N123" s="148" t="s">
        <v>48</v>
      </c>
      <c r="O123" s="55"/>
      <c r="P123" s="149">
        <f>O123*H123</f>
        <v>0</v>
      </c>
      <c r="Q123" s="149">
        <v>1.9536000000000001E-2</v>
      </c>
      <c r="R123" s="149">
        <f>Q123*H123</f>
        <v>9.7484640000000001E-3</v>
      </c>
      <c r="S123" s="149">
        <v>0</v>
      </c>
      <c r="T123" s="150">
        <f>S123*H123</f>
        <v>0</v>
      </c>
      <c r="U123" s="34"/>
      <c r="V123" s="34"/>
      <c r="W123" s="34"/>
      <c r="X123" s="34"/>
      <c r="Y123" s="34"/>
      <c r="Z123" s="34"/>
      <c r="AA123" s="34"/>
      <c r="AB123" s="34"/>
      <c r="AC123" s="34"/>
      <c r="AD123" s="34"/>
      <c r="AE123" s="34"/>
      <c r="AR123" s="151" t="s">
        <v>185</v>
      </c>
      <c r="AT123" s="151" t="s">
        <v>180</v>
      </c>
      <c r="AU123" s="151" t="s">
        <v>87</v>
      </c>
      <c r="AY123" s="19" t="s">
        <v>177</v>
      </c>
      <c r="BE123" s="152">
        <f>IF(N123="základní",J123,0)</f>
        <v>0</v>
      </c>
      <c r="BF123" s="152">
        <f>IF(N123="snížená",J123,0)</f>
        <v>0</v>
      </c>
      <c r="BG123" s="152">
        <f>IF(N123="zákl. přenesená",J123,0)</f>
        <v>0</v>
      </c>
      <c r="BH123" s="152">
        <f>IF(N123="sníž. přenesená",J123,0)</f>
        <v>0</v>
      </c>
      <c r="BI123" s="152">
        <f>IF(N123="nulová",J123,0)</f>
        <v>0</v>
      </c>
      <c r="BJ123" s="19" t="s">
        <v>85</v>
      </c>
      <c r="BK123" s="152">
        <f>ROUND(I123*H123,2)</f>
        <v>0</v>
      </c>
      <c r="BL123" s="19" t="s">
        <v>185</v>
      </c>
      <c r="BM123" s="151" t="s">
        <v>588</v>
      </c>
    </row>
    <row r="124" spans="1:65" s="2" customFormat="1">
      <c r="A124" s="34"/>
      <c r="B124" s="35"/>
      <c r="C124" s="34"/>
      <c r="D124" s="153" t="s">
        <v>187</v>
      </c>
      <c r="E124" s="34"/>
      <c r="F124" s="154" t="s">
        <v>589</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187</v>
      </c>
      <c r="AU124" s="19" t="s">
        <v>87</v>
      </c>
    </row>
    <row r="125" spans="1:65" s="2" customFormat="1">
      <c r="A125" s="34"/>
      <c r="B125" s="35"/>
      <c r="C125" s="34"/>
      <c r="D125" s="158" t="s">
        <v>189</v>
      </c>
      <c r="E125" s="34"/>
      <c r="F125" s="159" t="s">
        <v>590</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189</v>
      </c>
      <c r="AU125" s="19" t="s">
        <v>87</v>
      </c>
    </row>
    <row r="126" spans="1:65" s="2" customFormat="1" ht="58.5">
      <c r="A126" s="34"/>
      <c r="B126" s="35"/>
      <c r="C126" s="34"/>
      <c r="D126" s="153" t="s">
        <v>191</v>
      </c>
      <c r="E126" s="34"/>
      <c r="F126" s="160" t="s">
        <v>591</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191</v>
      </c>
      <c r="AU126" s="19" t="s">
        <v>87</v>
      </c>
    </row>
    <row r="127" spans="1:65" s="2" customFormat="1" ht="16.5" customHeight="1">
      <c r="A127" s="34"/>
      <c r="B127" s="139"/>
      <c r="C127" s="195" t="s">
        <v>233</v>
      </c>
      <c r="D127" s="195" t="s">
        <v>484</v>
      </c>
      <c r="E127" s="196" t="s">
        <v>592</v>
      </c>
      <c r="F127" s="197" t="s">
        <v>593</v>
      </c>
      <c r="G127" s="198" t="s">
        <v>183</v>
      </c>
      <c r="H127" s="199">
        <v>0.52400000000000002</v>
      </c>
      <c r="I127" s="200"/>
      <c r="J127" s="201">
        <f>ROUND(I127*H127,2)</f>
        <v>0</v>
      </c>
      <c r="K127" s="197" t="s">
        <v>184</v>
      </c>
      <c r="L127" s="202"/>
      <c r="M127" s="203" t="s">
        <v>3</v>
      </c>
      <c r="N127" s="204" t="s">
        <v>48</v>
      </c>
      <c r="O127" s="55"/>
      <c r="P127" s="149">
        <f>O127*H127</f>
        <v>0</v>
      </c>
      <c r="Q127" s="149">
        <v>1</v>
      </c>
      <c r="R127" s="149">
        <f>Q127*H127</f>
        <v>0.52400000000000002</v>
      </c>
      <c r="S127" s="149">
        <v>0</v>
      </c>
      <c r="T127" s="150">
        <f>S127*H127</f>
        <v>0</v>
      </c>
      <c r="U127" s="34"/>
      <c r="V127" s="34"/>
      <c r="W127" s="34"/>
      <c r="X127" s="34"/>
      <c r="Y127" s="34"/>
      <c r="Z127" s="34"/>
      <c r="AA127" s="34"/>
      <c r="AB127" s="34"/>
      <c r="AC127" s="34"/>
      <c r="AD127" s="34"/>
      <c r="AE127" s="34"/>
      <c r="AR127" s="151" t="s">
        <v>248</v>
      </c>
      <c r="AT127" s="151" t="s">
        <v>484</v>
      </c>
      <c r="AU127" s="151" t="s">
        <v>87</v>
      </c>
      <c r="AY127" s="19" t="s">
        <v>177</v>
      </c>
      <c r="BE127" s="152">
        <f>IF(N127="základní",J127,0)</f>
        <v>0</v>
      </c>
      <c r="BF127" s="152">
        <f>IF(N127="snížená",J127,0)</f>
        <v>0</v>
      </c>
      <c r="BG127" s="152">
        <f>IF(N127="zákl. přenesená",J127,0)</f>
        <v>0</v>
      </c>
      <c r="BH127" s="152">
        <f>IF(N127="sníž. přenesená",J127,0)</f>
        <v>0</v>
      </c>
      <c r="BI127" s="152">
        <f>IF(N127="nulová",J127,0)</f>
        <v>0</v>
      </c>
      <c r="BJ127" s="19" t="s">
        <v>85</v>
      </c>
      <c r="BK127" s="152">
        <f>ROUND(I127*H127,2)</f>
        <v>0</v>
      </c>
      <c r="BL127" s="19" t="s">
        <v>185</v>
      </c>
      <c r="BM127" s="151" t="s">
        <v>594</v>
      </c>
    </row>
    <row r="128" spans="1:65" s="2" customFormat="1">
      <c r="A128" s="34"/>
      <c r="B128" s="35"/>
      <c r="C128" s="34"/>
      <c r="D128" s="153" t="s">
        <v>187</v>
      </c>
      <c r="E128" s="34"/>
      <c r="F128" s="154" t="s">
        <v>595</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187</v>
      </c>
      <c r="AU128" s="19" t="s">
        <v>87</v>
      </c>
    </row>
    <row r="129" spans="1:65" s="14" customFormat="1">
      <c r="B129" s="169"/>
      <c r="D129" s="153" t="s">
        <v>193</v>
      </c>
      <c r="E129" s="170" t="s">
        <v>3</v>
      </c>
      <c r="F129" s="171" t="s">
        <v>596</v>
      </c>
      <c r="H129" s="170" t="s">
        <v>3</v>
      </c>
      <c r="I129" s="172"/>
      <c r="L129" s="169"/>
      <c r="M129" s="173"/>
      <c r="N129" s="174"/>
      <c r="O129" s="174"/>
      <c r="P129" s="174"/>
      <c r="Q129" s="174"/>
      <c r="R129" s="174"/>
      <c r="S129" s="174"/>
      <c r="T129" s="175"/>
      <c r="AT129" s="170" t="s">
        <v>193</v>
      </c>
      <c r="AU129" s="170" t="s">
        <v>87</v>
      </c>
      <c r="AV129" s="14" t="s">
        <v>85</v>
      </c>
      <c r="AW129" s="14" t="s">
        <v>36</v>
      </c>
      <c r="AX129" s="14" t="s">
        <v>77</v>
      </c>
      <c r="AY129" s="170" t="s">
        <v>177</v>
      </c>
    </row>
    <row r="130" spans="1:65" s="13" customFormat="1">
      <c r="B130" s="161"/>
      <c r="D130" s="153" t="s">
        <v>193</v>
      </c>
      <c r="E130" s="162" t="s">
        <v>3</v>
      </c>
      <c r="F130" s="163" t="s">
        <v>597</v>
      </c>
      <c r="H130" s="164">
        <v>0.499</v>
      </c>
      <c r="I130" s="165"/>
      <c r="L130" s="161"/>
      <c r="M130" s="166"/>
      <c r="N130" s="167"/>
      <c r="O130" s="167"/>
      <c r="P130" s="167"/>
      <c r="Q130" s="167"/>
      <c r="R130" s="167"/>
      <c r="S130" s="167"/>
      <c r="T130" s="168"/>
      <c r="AT130" s="162" t="s">
        <v>193</v>
      </c>
      <c r="AU130" s="162" t="s">
        <v>87</v>
      </c>
      <c r="AV130" s="13" t="s">
        <v>87</v>
      </c>
      <c r="AW130" s="13" t="s">
        <v>36</v>
      </c>
      <c r="AX130" s="13" t="s">
        <v>77</v>
      </c>
      <c r="AY130" s="162" t="s">
        <v>177</v>
      </c>
    </row>
    <row r="131" spans="1:65" s="16" customFormat="1">
      <c r="B131" s="184"/>
      <c r="D131" s="153" t="s">
        <v>193</v>
      </c>
      <c r="E131" s="185" t="s">
        <v>3</v>
      </c>
      <c r="F131" s="186" t="s">
        <v>201</v>
      </c>
      <c r="H131" s="187">
        <v>0.499</v>
      </c>
      <c r="I131" s="188"/>
      <c r="L131" s="184"/>
      <c r="M131" s="189"/>
      <c r="N131" s="190"/>
      <c r="O131" s="190"/>
      <c r="P131" s="190"/>
      <c r="Q131" s="190"/>
      <c r="R131" s="190"/>
      <c r="S131" s="190"/>
      <c r="T131" s="191"/>
      <c r="AT131" s="185" t="s">
        <v>193</v>
      </c>
      <c r="AU131" s="185" t="s">
        <v>87</v>
      </c>
      <c r="AV131" s="16" t="s">
        <v>185</v>
      </c>
      <c r="AW131" s="16" t="s">
        <v>36</v>
      </c>
      <c r="AX131" s="16" t="s">
        <v>85</v>
      </c>
      <c r="AY131" s="185" t="s">
        <v>177</v>
      </c>
    </row>
    <row r="132" spans="1:65" s="13" customFormat="1">
      <c r="B132" s="161"/>
      <c r="D132" s="153" t="s">
        <v>193</v>
      </c>
      <c r="F132" s="163" t="s">
        <v>598</v>
      </c>
      <c r="H132" s="164">
        <v>0.52400000000000002</v>
      </c>
      <c r="I132" s="165"/>
      <c r="L132" s="161"/>
      <c r="M132" s="166"/>
      <c r="N132" s="167"/>
      <c r="O132" s="167"/>
      <c r="P132" s="167"/>
      <c r="Q132" s="167"/>
      <c r="R132" s="167"/>
      <c r="S132" s="167"/>
      <c r="T132" s="168"/>
      <c r="AT132" s="162" t="s">
        <v>193</v>
      </c>
      <c r="AU132" s="162" t="s">
        <v>87</v>
      </c>
      <c r="AV132" s="13" t="s">
        <v>87</v>
      </c>
      <c r="AW132" s="13" t="s">
        <v>4</v>
      </c>
      <c r="AX132" s="13" t="s">
        <v>85</v>
      </c>
      <c r="AY132" s="162" t="s">
        <v>177</v>
      </c>
    </row>
    <row r="133" spans="1:65" s="2" customFormat="1" ht="16.5" customHeight="1">
      <c r="A133" s="34"/>
      <c r="B133" s="139"/>
      <c r="C133" s="140" t="s">
        <v>241</v>
      </c>
      <c r="D133" s="140" t="s">
        <v>180</v>
      </c>
      <c r="E133" s="141" t="s">
        <v>599</v>
      </c>
      <c r="F133" s="142" t="s">
        <v>600</v>
      </c>
      <c r="G133" s="143" t="s">
        <v>476</v>
      </c>
      <c r="H133" s="144">
        <v>48</v>
      </c>
      <c r="I133" s="145"/>
      <c r="J133" s="146">
        <f>ROUND(I133*H133,2)</f>
        <v>0</v>
      </c>
      <c r="K133" s="142" t="s">
        <v>184</v>
      </c>
      <c r="L133" s="35"/>
      <c r="M133" s="147" t="s">
        <v>3</v>
      </c>
      <c r="N133" s="148" t="s">
        <v>48</v>
      </c>
      <c r="O133" s="55"/>
      <c r="P133" s="149">
        <f>O133*H133</f>
        <v>0</v>
      </c>
      <c r="Q133" s="149">
        <v>1.2040709999999999E-4</v>
      </c>
      <c r="R133" s="149">
        <f>Q133*H133</f>
        <v>5.7795408E-3</v>
      </c>
      <c r="S133" s="149">
        <v>0</v>
      </c>
      <c r="T133" s="150">
        <f>S133*H133</f>
        <v>0</v>
      </c>
      <c r="U133" s="34"/>
      <c r="V133" s="34"/>
      <c r="W133" s="34"/>
      <c r="X133" s="34"/>
      <c r="Y133" s="34"/>
      <c r="Z133" s="34"/>
      <c r="AA133" s="34"/>
      <c r="AB133" s="34"/>
      <c r="AC133" s="34"/>
      <c r="AD133" s="34"/>
      <c r="AE133" s="34"/>
      <c r="AR133" s="151" t="s">
        <v>185</v>
      </c>
      <c r="AT133" s="151" t="s">
        <v>180</v>
      </c>
      <c r="AU133" s="151" t="s">
        <v>87</v>
      </c>
      <c r="AY133" s="19" t="s">
        <v>177</v>
      </c>
      <c r="BE133" s="152">
        <f>IF(N133="základní",J133,0)</f>
        <v>0</v>
      </c>
      <c r="BF133" s="152">
        <f>IF(N133="snížená",J133,0)</f>
        <v>0</v>
      </c>
      <c r="BG133" s="152">
        <f>IF(N133="zákl. přenesená",J133,0)</f>
        <v>0</v>
      </c>
      <c r="BH133" s="152">
        <f>IF(N133="sníž. přenesená",J133,0)</f>
        <v>0</v>
      </c>
      <c r="BI133" s="152">
        <f>IF(N133="nulová",J133,0)</f>
        <v>0</v>
      </c>
      <c r="BJ133" s="19" t="s">
        <v>85</v>
      </c>
      <c r="BK133" s="152">
        <f>ROUND(I133*H133,2)</f>
        <v>0</v>
      </c>
      <c r="BL133" s="19" t="s">
        <v>185</v>
      </c>
      <c r="BM133" s="151" t="s">
        <v>601</v>
      </c>
    </row>
    <row r="134" spans="1:65" s="2" customFormat="1">
      <c r="A134" s="34"/>
      <c r="B134" s="35"/>
      <c r="C134" s="34"/>
      <c r="D134" s="153" t="s">
        <v>187</v>
      </c>
      <c r="E134" s="34"/>
      <c r="F134" s="154" t="s">
        <v>602</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187</v>
      </c>
      <c r="AU134" s="19" t="s">
        <v>87</v>
      </c>
    </row>
    <row r="135" spans="1:65" s="2" customFormat="1">
      <c r="A135" s="34"/>
      <c r="B135" s="35"/>
      <c r="C135" s="34"/>
      <c r="D135" s="158" t="s">
        <v>189</v>
      </c>
      <c r="E135" s="34"/>
      <c r="F135" s="159" t="s">
        <v>603</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189</v>
      </c>
      <c r="AU135" s="19" t="s">
        <v>87</v>
      </c>
    </row>
    <row r="136" spans="1:65" s="2" customFormat="1" ht="68.25">
      <c r="A136" s="34"/>
      <c r="B136" s="35"/>
      <c r="C136" s="34"/>
      <c r="D136" s="153" t="s">
        <v>191</v>
      </c>
      <c r="E136" s="34"/>
      <c r="F136" s="160" t="s">
        <v>604</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191</v>
      </c>
      <c r="AU136" s="19" t="s">
        <v>87</v>
      </c>
    </row>
    <row r="137" spans="1:65" s="13" customFormat="1">
      <c r="B137" s="161"/>
      <c r="D137" s="153" t="s">
        <v>193</v>
      </c>
      <c r="E137" s="162" t="s">
        <v>3</v>
      </c>
      <c r="F137" s="163" t="s">
        <v>605</v>
      </c>
      <c r="H137" s="164">
        <v>48</v>
      </c>
      <c r="I137" s="165"/>
      <c r="L137" s="161"/>
      <c r="M137" s="166"/>
      <c r="N137" s="167"/>
      <c r="O137" s="167"/>
      <c r="P137" s="167"/>
      <c r="Q137" s="167"/>
      <c r="R137" s="167"/>
      <c r="S137" s="167"/>
      <c r="T137" s="168"/>
      <c r="AT137" s="162" t="s">
        <v>193</v>
      </c>
      <c r="AU137" s="162" t="s">
        <v>87</v>
      </c>
      <c r="AV137" s="13" t="s">
        <v>87</v>
      </c>
      <c r="AW137" s="13" t="s">
        <v>36</v>
      </c>
      <c r="AX137" s="13" t="s">
        <v>85</v>
      </c>
      <c r="AY137" s="162" t="s">
        <v>177</v>
      </c>
    </row>
    <row r="138" spans="1:65" s="2" customFormat="1" ht="16.5" customHeight="1">
      <c r="A138" s="34"/>
      <c r="B138" s="139"/>
      <c r="C138" s="140" t="s">
        <v>248</v>
      </c>
      <c r="D138" s="140" t="s">
        <v>180</v>
      </c>
      <c r="E138" s="141" t="s">
        <v>606</v>
      </c>
      <c r="F138" s="142" t="s">
        <v>607</v>
      </c>
      <c r="G138" s="143" t="s">
        <v>476</v>
      </c>
      <c r="H138" s="144">
        <v>40.799999999999997</v>
      </c>
      <c r="I138" s="145"/>
      <c r="J138" s="146">
        <f>ROUND(I138*H138,2)</f>
        <v>0</v>
      </c>
      <c r="K138" s="142" t="s">
        <v>244</v>
      </c>
      <c r="L138" s="35"/>
      <c r="M138" s="147" t="s">
        <v>3</v>
      </c>
      <c r="N138" s="148" t="s">
        <v>48</v>
      </c>
      <c r="O138" s="55"/>
      <c r="P138" s="149">
        <f>O138*H138</f>
        <v>0</v>
      </c>
      <c r="Q138" s="149">
        <v>1.2999999999999999E-4</v>
      </c>
      <c r="R138" s="149">
        <f>Q138*H138</f>
        <v>5.3039999999999988E-3</v>
      </c>
      <c r="S138" s="149">
        <v>0</v>
      </c>
      <c r="T138" s="150">
        <f>S138*H138</f>
        <v>0</v>
      </c>
      <c r="U138" s="34"/>
      <c r="V138" s="34"/>
      <c r="W138" s="34"/>
      <c r="X138" s="34"/>
      <c r="Y138" s="34"/>
      <c r="Z138" s="34"/>
      <c r="AA138" s="34"/>
      <c r="AB138" s="34"/>
      <c r="AC138" s="34"/>
      <c r="AD138" s="34"/>
      <c r="AE138" s="34"/>
      <c r="AR138" s="151" t="s">
        <v>185</v>
      </c>
      <c r="AT138" s="151" t="s">
        <v>180</v>
      </c>
      <c r="AU138" s="151" t="s">
        <v>87</v>
      </c>
      <c r="AY138" s="19" t="s">
        <v>177</v>
      </c>
      <c r="BE138" s="152">
        <f>IF(N138="základní",J138,0)</f>
        <v>0</v>
      </c>
      <c r="BF138" s="152">
        <f>IF(N138="snížená",J138,0)</f>
        <v>0</v>
      </c>
      <c r="BG138" s="152">
        <f>IF(N138="zákl. přenesená",J138,0)</f>
        <v>0</v>
      </c>
      <c r="BH138" s="152">
        <f>IF(N138="sníž. přenesená",J138,0)</f>
        <v>0</v>
      </c>
      <c r="BI138" s="152">
        <f>IF(N138="nulová",J138,0)</f>
        <v>0</v>
      </c>
      <c r="BJ138" s="19" t="s">
        <v>85</v>
      </c>
      <c r="BK138" s="152">
        <f>ROUND(I138*H138,2)</f>
        <v>0</v>
      </c>
      <c r="BL138" s="19" t="s">
        <v>185</v>
      </c>
      <c r="BM138" s="151" t="s">
        <v>608</v>
      </c>
    </row>
    <row r="139" spans="1:65" s="2" customFormat="1">
      <c r="A139" s="34"/>
      <c r="B139" s="35"/>
      <c r="C139" s="34"/>
      <c r="D139" s="153" t="s">
        <v>187</v>
      </c>
      <c r="E139" s="34"/>
      <c r="F139" s="154" t="s">
        <v>609</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187</v>
      </c>
      <c r="AU139" s="19" t="s">
        <v>87</v>
      </c>
    </row>
    <row r="140" spans="1:65" s="2" customFormat="1" ht="68.25">
      <c r="A140" s="34"/>
      <c r="B140" s="35"/>
      <c r="C140" s="34"/>
      <c r="D140" s="153" t="s">
        <v>191</v>
      </c>
      <c r="E140" s="34"/>
      <c r="F140" s="160" t="s">
        <v>604</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191</v>
      </c>
      <c r="AU140" s="19" t="s">
        <v>87</v>
      </c>
    </row>
    <row r="141" spans="1:65" s="14" customFormat="1">
      <c r="B141" s="169"/>
      <c r="D141" s="153" t="s">
        <v>193</v>
      </c>
      <c r="E141" s="170" t="s">
        <v>3</v>
      </c>
      <c r="F141" s="171" t="s">
        <v>610</v>
      </c>
      <c r="H141" s="170" t="s">
        <v>3</v>
      </c>
      <c r="I141" s="172"/>
      <c r="L141" s="169"/>
      <c r="M141" s="173"/>
      <c r="N141" s="174"/>
      <c r="O141" s="174"/>
      <c r="P141" s="174"/>
      <c r="Q141" s="174"/>
      <c r="R141" s="174"/>
      <c r="S141" s="174"/>
      <c r="T141" s="175"/>
      <c r="AT141" s="170" t="s">
        <v>193</v>
      </c>
      <c r="AU141" s="170" t="s">
        <v>87</v>
      </c>
      <c r="AV141" s="14" t="s">
        <v>85</v>
      </c>
      <c r="AW141" s="14" t="s">
        <v>36</v>
      </c>
      <c r="AX141" s="14" t="s">
        <v>77</v>
      </c>
      <c r="AY141" s="170" t="s">
        <v>177</v>
      </c>
    </row>
    <row r="142" spans="1:65" s="13" customFormat="1">
      <c r="B142" s="161"/>
      <c r="D142" s="153" t="s">
        <v>193</v>
      </c>
      <c r="E142" s="162" t="s">
        <v>3</v>
      </c>
      <c r="F142" s="163" t="s">
        <v>611</v>
      </c>
      <c r="H142" s="164">
        <v>9.1999999999999993</v>
      </c>
      <c r="I142" s="165"/>
      <c r="L142" s="161"/>
      <c r="M142" s="166"/>
      <c r="N142" s="167"/>
      <c r="O142" s="167"/>
      <c r="P142" s="167"/>
      <c r="Q142" s="167"/>
      <c r="R142" s="167"/>
      <c r="S142" s="167"/>
      <c r="T142" s="168"/>
      <c r="AT142" s="162" t="s">
        <v>193</v>
      </c>
      <c r="AU142" s="162" t="s">
        <v>87</v>
      </c>
      <c r="AV142" s="13" t="s">
        <v>87</v>
      </c>
      <c r="AW142" s="13" t="s">
        <v>36</v>
      </c>
      <c r="AX142" s="13" t="s">
        <v>77</v>
      </c>
      <c r="AY142" s="162" t="s">
        <v>177</v>
      </c>
    </row>
    <row r="143" spans="1:65" s="13" customFormat="1">
      <c r="B143" s="161"/>
      <c r="D143" s="153" t="s">
        <v>193</v>
      </c>
      <c r="E143" s="162" t="s">
        <v>3</v>
      </c>
      <c r="F143" s="163" t="s">
        <v>612</v>
      </c>
      <c r="H143" s="164">
        <v>31.6</v>
      </c>
      <c r="I143" s="165"/>
      <c r="L143" s="161"/>
      <c r="M143" s="166"/>
      <c r="N143" s="167"/>
      <c r="O143" s="167"/>
      <c r="P143" s="167"/>
      <c r="Q143" s="167"/>
      <c r="R143" s="167"/>
      <c r="S143" s="167"/>
      <c r="T143" s="168"/>
      <c r="AT143" s="162" t="s">
        <v>193</v>
      </c>
      <c r="AU143" s="162" t="s">
        <v>87</v>
      </c>
      <c r="AV143" s="13" t="s">
        <v>87</v>
      </c>
      <c r="AW143" s="13" t="s">
        <v>36</v>
      </c>
      <c r="AX143" s="13" t="s">
        <v>77</v>
      </c>
      <c r="AY143" s="162" t="s">
        <v>177</v>
      </c>
    </row>
    <row r="144" spans="1:65" s="16" customFormat="1">
      <c r="B144" s="184"/>
      <c r="D144" s="153" t="s">
        <v>193</v>
      </c>
      <c r="E144" s="185" t="s">
        <v>3</v>
      </c>
      <c r="F144" s="186" t="s">
        <v>201</v>
      </c>
      <c r="H144" s="187">
        <v>40.799999999999997</v>
      </c>
      <c r="I144" s="188"/>
      <c r="L144" s="184"/>
      <c r="M144" s="189"/>
      <c r="N144" s="190"/>
      <c r="O144" s="190"/>
      <c r="P144" s="190"/>
      <c r="Q144" s="190"/>
      <c r="R144" s="190"/>
      <c r="S144" s="190"/>
      <c r="T144" s="191"/>
      <c r="AT144" s="185" t="s">
        <v>193</v>
      </c>
      <c r="AU144" s="185" t="s">
        <v>87</v>
      </c>
      <c r="AV144" s="16" t="s">
        <v>185</v>
      </c>
      <c r="AW144" s="16" t="s">
        <v>36</v>
      </c>
      <c r="AX144" s="16" t="s">
        <v>85</v>
      </c>
      <c r="AY144" s="185" t="s">
        <v>177</v>
      </c>
    </row>
    <row r="145" spans="1:65" s="2" customFormat="1" ht="16.5" customHeight="1">
      <c r="A145" s="34"/>
      <c r="B145" s="139"/>
      <c r="C145" s="140" t="s">
        <v>252</v>
      </c>
      <c r="D145" s="140" t="s">
        <v>180</v>
      </c>
      <c r="E145" s="141" t="s">
        <v>613</v>
      </c>
      <c r="F145" s="142" t="s">
        <v>614</v>
      </c>
      <c r="G145" s="143" t="s">
        <v>476</v>
      </c>
      <c r="H145" s="144">
        <v>102</v>
      </c>
      <c r="I145" s="145"/>
      <c r="J145" s="146">
        <f>ROUND(I145*H145,2)</f>
        <v>0</v>
      </c>
      <c r="K145" s="142" t="s">
        <v>244</v>
      </c>
      <c r="L145" s="35"/>
      <c r="M145" s="147" t="s">
        <v>3</v>
      </c>
      <c r="N145" s="148" t="s">
        <v>48</v>
      </c>
      <c r="O145" s="55"/>
      <c r="P145" s="149">
        <f>O145*H145</f>
        <v>0</v>
      </c>
      <c r="Q145" s="149">
        <v>2.0000000000000001E-4</v>
      </c>
      <c r="R145" s="149">
        <f>Q145*H145</f>
        <v>2.0400000000000001E-2</v>
      </c>
      <c r="S145" s="149">
        <v>0</v>
      </c>
      <c r="T145" s="150">
        <f>S145*H145</f>
        <v>0</v>
      </c>
      <c r="U145" s="34"/>
      <c r="V145" s="34"/>
      <c r="W145" s="34"/>
      <c r="X145" s="34"/>
      <c r="Y145" s="34"/>
      <c r="Z145" s="34"/>
      <c r="AA145" s="34"/>
      <c r="AB145" s="34"/>
      <c r="AC145" s="34"/>
      <c r="AD145" s="34"/>
      <c r="AE145" s="34"/>
      <c r="AR145" s="151" t="s">
        <v>185</v>
      </c>
      <c r="AT145" s="151" t="s">
        <v>180</v>
      </c>
      <c r="AU145" s="151" t="s">
        <v>87</v>
      </c>
      <c r="AY145" s="19" t="s">
        <v>177</v>
      </c>
      <c r="BE145" s="152">
        <f>IF(N145="základní",J145,0)</f>
        <v>0</v>
      </c>
      <c r="BF145" s="152">
        <f>IF(N145="snížená",J145,0)</f>
        <v>0</v>
      </c>
      <c r="BG145" s="152">
        <f>IF(N145="zákl. přenesená",J145,0)</f>
        <v>0</v>
      </c>
      <c r="BH145" s="152">
        <f>IF(N145="sníž. přenesená",J145,0)</f>
        <v>0</v>
      </c>
      <c r="BI145" s="152">
        <f>IF(N145="nulová",J145,0)</f>
        <v>0</v>
      </c>
      <c r="BJ145" s="19" t="s">
        <v>85</v>
      </c>
      <c r="BK145" s="152">
        <f>ROUND(I145*H145,2)</f>
        <v>0</v>
      </c>
      <c r="BL145" s="19" t="s">
        <v>185</v>
      </c>
      <c r="BM145" s="151" t="s">
        <v>615</v>
      </c>
    </row>
    <row r="146" spans="1:65" s="2" customFormat="1">
      <c r="A146" s="34"/>
      <c r="B146" s="35"/>
      <c r="C146" s="34"/>
      <c r="D146" s="153" t="s">
        <v>187</v>
      </c>
      <c r="E146" s="34"/>
      <c r="F146" s="154" t="s">
        <v>616</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187</v>
      </c>
      <c r="AU146" s="19" t="s">
        <v>87</v>
      </c>
    </row>
    <row r="147" spans="1:65" s="2" customFormat="1" ht="68.25">
      <c r="A147" s="34"/>
      <c r="B147" s="35"/>
      <c r="C147" s="34"/>
      <c r="D147" s="153" t="s">
        <v>191</v>
      </c>
      <c r="E147" s="34"/>
      <c r="F147" s="160" t="s">
        <v>604</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191</v>
      </c>
      <c r="AU147" s="19" t="s">
        <v>87</v>
      </c>
    </row>
    <row r="148" spans="1:65" s="13" customFormat="1">
      <c r="B148" s="161"/>
      <c r="D148" s="153" t="s">
        <v>193</v>
      </c>
      <c r="E148" s="162" t="s">
        <v>3</v>
      </c>
      <c r="F148" s="163" t="s">
        <v>617</v>
      </c>
      <c r="H148" s="164">
        <v>23</v>
      </c>
      <c r="I148" s="165"/>
      <c r="L148" s="161"/>
      <c r="M148" s="166"/>
      <c r="N148" s="167"/>
      <c r="O148" s="167"/>
      <c r="P148" s="167"/>
      <c r="Q148" s="167"/>
      <c r="R148" s="167"/>
      <c r="S148" s="167"/>
      <c r="T148" s="168"/>
      <c r="AT148" s="162" t="s">
        <v>193</v>
      </c>
      <c r="AU148" s="162" t="s">
        <v>87</v>
      </c>
      <c r="AV148" s="13" t="s">
        <v>87</v>
      </c>
      <c r="AW148" s="13" t="s">
        <v>36</v>
      </c>
      <c r="AX148" s="13" t="s">
        <v>77</v>
      </c>
      <c r="AY148" s="162" t="s">
        <v>177</v>
      </c>
    </row>
    <row r="149" spans="1:65" s="13" customFormat="1">
      <c r="B149" s="161"/>
      <c r="D149" s="153" t="s">
        <v>193</v>
      </c>
      <c r="E149" s="162" t="s">
        <v>3</v>
      </c>
      <c r="F149" s="163" t="s">
        <v>618</v>
      </c>
      <c r="H149" s="164">
        <v>79</v>
      </c>
      <c r="I149" s="165"/>
      <c r="L149" s="161"/>
      <c r="M149" s="166"/>
      <c r="N149" s="167"/>
      <c r="O149" s="167"/>
      <c r="P149" s="167"/>
      <c r="Q149" s="167"/>
      <c r="R149" s="167"/>
      <c r="S149" s="167"/>
      <c r="T149" s="168"/>
      <c r="AT149" s="162" t="s">
        <v>193</v>
      </c>
      <c r="AU149" s="162" t="s">
        <v>87</v>
      </c>
      <c r="AV149" s="13" t="s">
        <v>87</v>
      </c>
      <c r="AW149" s="13" t="s">
        <v>36</v>
      </c>
      <c r="AX149" s="13" t="s">
        <v>77</v>
      </c>
      <c r="AY149" s="162" t="s">
        <v>177</v>
      </c>
    </row>
    <row r="150" spans="1:65" s="16" customFormat="1">
      <c r="B150" s="184"/>
      <c r="D150" s="153" t="s">
        <v>193</v>
      </c>
      <c r="E150" s="185" t="s">
        <v>3</v>
      </c>
      <c r="F150" s="186" t="s">
        <v>201</v>
      </c>
      <c r="H150" s="187">
        <v>102</v>
      </c>
      <c r="I150" s="188"/>
      <c r="L150" s="184"/>
      <c r="M150" s="189"/>
      <c r="N150" s="190"/>
      <c r="O150" s="190"/>
      <c r="P150" s="190"/>
      <c r="Q150" s="190"/>
      <c r="R150" s="190"/>
      <c r="S150" s="190"/>
      <c r="T150" s="191"/>
      <c r="AT150" s="185" t="s">
        <v>193</v>
      </c>
      <c r="AU150" s="185" t="s">
        <v>87</v>
      </c>
      <c r="AV150" s="16" t="s">
        <v>185</v>
      </c>
      <c r="AW150" s="16" t="s">
        <v>36</v>
      </c>
      <c r="AX150" s="16" t="s">
        <v>85</v>
      </c>
      <c r="AY150" s="185" t="s">
        <v>177</v>
      </c>
    </row>
    <row r="151" spans="1:65" s="2" customFormat="1" ht="16.5" customHeight="1">
      <c r="A151" s="34"/>
      <c r="B151" s="139"/>
      <c r="C151" s="140" t="s">
        <v>258</v>
      </c>
      <c r="D151" s="140" t="s">
        <v>180</v>
      </c>
      <c r="E151" s="141" t="s">
        <v>619</v>
      </c>
      <c r="F151" s="142" t="s">
        <v>620</v>
      </c>
      <c r="G151" s="143" t="s">
        <v>476</v>
      </c>
      <c r="H151" s="144">
        <v>24</v>
      </c>
      <c r="I151" s="145"/>
      <c r="J151" s="146">
        <f>ROUND(I151*H151,2)</f>
        <v>0</v>
      </c>
      <c r="K151" s="142" t="s">
        <v>184</v>
      </c>
      <c r="L151" s="35"/>
      <c r="M151" s="147" t="s">
        <v>3</v>
      </c>
      <c r="N151" s="148" t="s">
        <v>48</v>
      </c>
      <c r="O151" s="55"/>
      <c r="P151" s="149">
        <f>O151*H151</f>
        <v>0</v>
      </c>
      <c r="Q151" s="149">
        <v>3.0599999999999998E-3</v>
      </c>
      <c r="R151" s="149">
        <f>Q151*H151</f>
        <v>7.3439999999999991E-2</v>
      </c>
      <c r="S151" s="149">
        <v>0</v>
      </c>
      <c r="T151" s="150">
        <f>S151*H151</f>
        <v>0</v>
      </c>
      <c r="U151" s="34"/>
      <c r="V151" s="34"/>
      <c r="W151" s="34"/>
      <c r="X151" s="34"/>
      <c r="Y151" s="34"/>
      <c r="Z151" s="34"/>
      <c r="AA151" s="34"/>
      <c r="AB151" s="34"/>
      <c r="AC151" s="34"/>
      <c r="AD151" s="34"/>
      <c r="AE151" s="34"/>
      <c r="AR151" s="151" t="s">
        <v>185</v>
      </c>
      <c r="AT151" s="151" t="s">
        <v>180</v>
      </c>
      <c r="AU151" s="151" t="s">
        <v>87</v>
      </c>
      <c r="AY151" s="19" t="s">
        <v>177</v>
      </c>
      <c r="BE151" s="152">
        <f>IF(N151="základní",J151,0)</f>
        <v>0</v>
      </c>
      <c r="BF151" s="152">
        <f>IF(N151="snížená",J151,0)</f>
        <v>0</v>
      </c>
      <c r="BG151" s="152">
        <f>IF(N151="zákl. přenesená",J151,0)</f>
        <v>0</v>
      </c>
      <c r="BH151" s="152">
        <f>IF(N151="sníž. přenesená",J151,0)</f>
        <v>0</v>
      </c>
      <c r="BI151" s="152">
        <f>IF(N151="nulová",J151,0)</f>
        <v>0</v>
      </c>
      <c r="BJ151" s="19" t="s">
        <v>85</v>
      </c>
      <c r="BK151" s="152">
        <f>ROUND(I151*H151,2)</f>
        <v>0</v>
      </c>
      <c r="BL151" s="19" t="s">
        <v>185</v>
      </c>
      <c r="BM151" s="151" t="s">
        <v>621</v>
      </c>
    </row>
    <row r="152" spans="1:65" s="2" customFormat="1">
      <c r="A152" s="34"/>
      <c r="B152" s="35"/>
      <c r="C152" s="34"/>
      <c r="D152" s="153" t="s">
        <v>187</v>
      </c>
      <c r="E152" s="34"/>
      <c r="F152" s="154" t="s">
        <v>622</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187</v>
      </c>
      <c r="AU152" s="19" t="s">
        <v>87</v>
      </c>
    </row>
    <row r="153" spans="1:65" s="2" customFormat="1">
      <c r="A153" s="34"/>
      <c r="B153" s="35"/>
      <c r="C153" s="34"/>
      <c r="D153" s="158" t="s">
        <v>189</v>
      </c>
      <c r="E153" s="34"/>
      <c r="F153" s="159" t="s">
        <v>623</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189</v>
      </c>
      <c r="AU153" s="19" t="s">
        <v>87</v>
      </c>
    </row>
    <row r="154" spans="1:65" s="2" customFormat="1" ht="68.25">
      <c r="A154" s="34"/>
      <c r="B154" s="35"/>
      <c r="C154" s="34"/>
      <c r="D154" s="153" t="s">
        <v>191</v>
      </c>
      <c r="E154" s="34"/>
      <c r="F154" s="160" t="s">
        <v>604</v>
      </c>
      <c r="G154" s="34"/>
      <c r="H154" s="34"/>
      <c r="I154" s="155"/>
      <c r="J154" s="34"/>
      <c r="K154" s="34"/>
      <c r="L154" s="35"/>
      <c r="M154" s="156"/>
      <c r="N154" s="157"/>
      <c r="O154" s="55"/>
      <c r="P154" s="55"/>
      <c r="Q154" s="55"/>
      <c r="R154" s="55"/>
      <c r="S154" s="55"/>
      <c r="T154" s="56"/>
      <c r="U154" s="34"/>
      <c r="V154" s="34"/>
      <c r="W154" s="34"/>
      <c r="X154" s="34"/>
      <c r="Y154" s="34"/>
      <c r="Z154" s="34"/>
      <c r="AA154" s="34"/>
      <c r="AB154" s="34"/>
      <c r="AC154" s="34"/>
      <c r="AD154" s="34"/>
      <c r="AE154" s="34"/>
      <c r="AT154" s="19" t="s">
        <v>191</v>
      </c>
      <c r="AU154" s="19" t="s">
        <v>87</v>
      </c>
    </row>
    <row r="155" spans="1:65" s="14" customFormat="1">
      <c r="B155" s="169"/>
      <c r="D155" s="153" t="s">
        <v>193</v>
      </c>
      <c r="E155" s="170" t="s">
        <v>3</v>
      </c>
      <c r="F155" s="171" t="s">
        <v>624</v>
      </c>
      <c r="H155" s="170" t="s">
        <v>3</v>
      </c>
      <c r="I155" s="172"/>
      <c r="L155" s="169"/>
      <c r="M155" s="173"/>
      <c r="N155" s="174"/>
      <c r="O155" s="174"/>
      <c r="P155" s="174"/>
      <c r="Q155" s="174"/>
      <c r="R155" s="174"/>
      <c r="S155" s="174"/>
      <c r="T155" s="175"/>
      <c r="AT155" s="170" t="s">
        <v>193</v>
      </c>
      <c r="AU155" s="170" t="s">
        <v>87</v>
      </c>
      <c r="AV155" s="14" t="s">
        <v>85</v>
      </c>
      <c r="AW155" s="14" t="s">
        <v>36</v>
      </c>
      <c r="AX155" s="14" t="s">
        <v>77</v>
      </c>
      <c r="AY155" s="170" t="s">
        <v>177</v>
      </c>
    </row>
    <row r="156" spans="1:65" s="13" customFormat="1">
      <c r="B156" s="161"/>
      <c r="D156" s="153" t="s">
        <v>193</v>
      </c>
      <c r="E156" s="162" t="s">
        <v>3</v>
      </c>
      <c r="F156" s="163" t="s">
        <v>625</v>
      </c>
      <c r="H156" s="164">
        <v>24</v>
      </c>
      <c r="I156" s="165"/>
      <c r="L156" s="161"/>
      <c r="M156" s="166"/>
      <c r="N156" s="167"/>
      <c r="O156" s="167"/>
      <c r="P156" s="167"/>
      <c r="Q156" s="167"/>
      <c r="R156" s="167"/>
      <c r="S156" s="167"/>
      <c r="T156" s="168"/>
      <c r="AT156" s="162" t="s">
        <v>193</v>
      </c>
      <c r="AU156" s="162" t="s">
        <v>87</v>
      </c>
      <c r="AV156" s="13" t="s">
        <v>87</v>
      </c>
      <c r="AW156" s="13" t="s">
        <v>36</v>
      </c>
      <c r="AX156" s="13" t="s">
        <v>85</v>
      </c>
      <c r="AY156" s="162" t="s">
        <v>177</v>
      </c>
    </row>
    <row r="157" spans="1:65" s="12" customFormat="1" ht="22.9" customHeight="1">
      <c r="B157" s="126"/>
      <c r="D157" s="127" t="s">
        <v>76</v>
      </c>
      <c r="E157" s="137" t="s">
        <v>233</v>
      </c>
      <c r="F157" s="137" t="s">
        <v>626</v>
      </c>
      <c r="I157" s="129"/>
      <c r="J157" s="138">
        <f>BK157</f>
        <v>0</v>
      </c>
      <c r="L157" s="126"/>
      <c r="M157" s="131"/>
      <c r="N157" s="132"/>
      <c r="O157" s="132"/>
      <c r="P157" s="133">
        <f>SUM(P158:P172)</f>
        <v>0</v>
      </c>
      <c r="Q157" s="132"/>
      <c r="R157" s="133">
        <f>SUM(R158:R172)</f>
        <v>2.3219884799999999</v>
      </c>
      <c r="S157" s="132"/>
      <c r="T157" s="134">
        <f>SUM(T158:T172)</f>
        <v>0</v>
      </c>
      <c r="AR157" s="127" t="s">
        <v>85</v>
      </c>
      <c r="AT157" s="135" t="s">
        <v>76</v>
      </c>
      <c r="AU157" s="135" t="s">
        <v>85</v>
      </c>
      <c r="AY157" s="127" t="s">
        <v>177</v>
      </c>
      <c r="BK157" s="136">
        <f>SUM(BK158:BK172)</f>
        <v>0</v>
      </c>
    </row>
    <row r="158" spans="1:65" s="2" customFormat="1" ht="16.5" customHeight="1">
      <c r="A158" s="34"/>
      <c r="B158" s="139"/>
      <c r="C158" s="140" t="s">
        <v>265</v>
      </c>
      <c r="D158" s="140" t="s">
        <v>180</v>
      </c>
      <c r="E158" s="141" t="s">
        <v>627</v>
      </c>
      <c r="F158" s="142" t="s">
        <v>628</v>
      </c>
      <c r="G158" s="143" t="s">
        <v>332</v>
      </c>
      <c r="H158" s="144">
        <v>30.24</v>
      </c>
      <c r="I158" s="145"/>
      <c r="J158" s="146">
        <f>ROUND(I158*H158,2)</f>
        <v>0</v>
      </c>
      <c r="K158" s="142" t="s">
        <v>184</v>
      </c>
      <c r="L158" s="35"/>
      <c r="M158" s="147" t="s">
        <v>3</v>
      </c>
      <c r="N158" s="148" t="s">
        <v>48</v>
      </c>
      <c r="O158" s="55"/>
      <c r="P158" s="149">
        <f>O158*H158</f>
        <v>0</v>
      </c>
      <c r="Q158" s="149">
        <v>4.2599999999999999E-2</v>
      </c>
      <c r="R158" s="149">
        <f>Q158*H158</f>
        <v>1.2882239999999998</v>
      </c>
      <c r="S158" s="149">
        <v>0</v>
      </c>
      <c r="T158" s="150">
        <f>S158*H158</f>
        <v>0</v>
      </c>
      <c r="U158" s="34"/>
      <c r="V158" s="34"/>
      <c r="W158" s="34"/>
      <c r="X158" s="34"/>
      <c r="Y158" s="34"/>
      <c r="Z158" s="34"/>
      <c r="AA158" s="34"/>
      <c r="AB158" s="34"/>
      <c r="AC158" s="34"/>
      <c r="AD158" s="34"/>
      <c r="AE158" s="34"/>
      <c r="AR158" s="151" t="s">
        <v>185</v>
      </c>
      <c r="AT158" s="151" t="s">
        <v>180</v>
      </c>
      <c r="AU158" s="151" t="s">
        <v>87</v>
      </c>
      <c r="AY158" s="19" t="s">
        <v>177</v>
      </c>
      <c r="BE158" s="152">
        <f>IF(N158="základní",J158,0)</f>
        <v>0</v>
      </c>
      <c r="BF158" s="152">
        <f>IF(N158="snížená",J158,0)</f>
        <v>0</v>
      </c>
      <c r="BG158" s="152">
        <f>IF(N158="zákl. přenesená",J158,0)</f>
        <v>0</v>
      </c>
      <c r="BH158" s="152">
        <f>IF(N158="sníž. přenesená",J158,0)</f>
        <v>0</v>
      </c>
      <c r="BI158" s="152">
        <f>IF(N158="nulová",J158,0)</f>
        <v>0</v>
      </c>
      <c r="BJ158" s="19" t="s">
        <v>85</v>
      </c>
      <c r="BK158" s="152">
        <f>ROUND(I158*H158,2)</f>
        <v>0</v>
      </c>
      <c r="BL158" s="19" t="s">
        <v>185</v>
      </c>
      <c r="BM158" s="151" t="s">
        <v>629</v>
      </c>
    </row>
    <row r="159" spans="1:65" s="2" customFormat="1">
      <c r="A159" s="34"/>
      <c r="B159" s="35"/>
      <c r="C159" s="34"/>
      <c r="D159" s="153" t="s">
        <v>187</v>
      </c>
      <c r="E159" s="34"/>
      <c r="F159" s="154" t="s">
        <v>630</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187</v>
      </c>
      <c r="AU159" s="19" t="s">
        <v>87</v>
      </c>
    </row>
    <row r="160" spans="1:65" s="2" customFormat="1">
      <c r="A160" s="34"/>
      <c r="B160" s="35"/>
      <c r="C160" s="34"/>
      <c r="D160" s="158" t="s">
        <v>189</v>
      </c>
      <c r="E160" s="34"/>
      <c r="F160" s="159" t="s">
        <v>631</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189</v>
      </c>
      <c r="AU160" s="19" t="s">
        <v>87</v>
      </c>
    </row>
    <row r="161" spans="1:65" s="2" customFormat="1" ht="39">
      <c r="A161" s="34"/>
      <c r="B161" s="35"/>
      <c r="C161" s="34"/>
      <c r="D161" s="153" t="s">
        <v>191</v>
      </c>
      <c r="E161" s="34"/>
      <c r="F161" s="160" t="s">
        <v>632</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191</v>
      </c>
      <c r="AU161" s="19" t="s">
        <v>87</v>
      </c>
    </row>
    <row r="162" spans="1:65" s="13" customFormat="1">
      <c r="B162" s="161"/>
      <c r="D162" s="153" t="s">
        <v>193</v>
      </c>
      <c r="E162" s="162" t="s">
        <v>3</v>
      </c>
      <c r="F162" s="163" t="s">
        <v>633</v>
      </c>
      <c r="H162" s="164">
        <v>30.24</v>
      </c>
      <c r="I162" s="165"/>
      <c r="L162" s="161"/>
      <c r="M162" s="166"/>
      <c r="N162" s="167"/>
      <c r="O162" s="167"/>
      <c r="P162" s="167"/>
      <c r="Q162" s="167"/>
      <c r="R162" s="167"/>
      <c r="S162" s="167"/>
      <c r="T162" s="168"/>
      <c r="AT162" s="162" t="s">
        <v>193</v>
      </c>
      <c r="AU162" s="162" t="s">
        <v>87</v>
      </c>
      <c r="AV162" s="13" t="s">
        <v>87</v>
      </c>
      <c r="AW162" s="13" t="s">
        <v>36</v>
      </c>
      <c r="AX162" s="13" t="s">
        <v>85</v>
      </c>
      <c r="AY162" s="162" t="s">
        <v>177</v>
      </c>
    </row>
    <row r="163" spans="1:65" s="2" customFormat="1" ht="16.5" customHeight="1">
      <c r="A163" s="34"/>
      <c r="B163" s="139"/>
      <c r="C163" s="140" t="s">
        <v>271</v>
      </c>
      <c r="D163" s="140" t="s">
        <v>180</v>
      </c>
      <c r="E163" s="141" t="s">
        <v>634</v>
      </c>
      <c r="F163" s="142" t="s">
        <v>635</v>
      </c>
      <c r="G163" s="143" t="s">
        <v>332</v>
      </c>
      <c r="H163" s="144">
        <v>30.24</v>
      </c>
      <c r="I163" s="145"/>
      <c r="J163" s="146">
        <f>ROUND(I163*H163,2)</f>
        <v>0</v>
      </c>
      <c r="K163" s="142" t="s">
        <v>184</v>
      </c>
      <c r="L163" s="35"/>
      <c r="M163" s="147" t="s">
        <v>3</v>
      </c>
      <c r="N163" s="148" t="s">
        <v>48</v>
      </c>
      <c r="O163" s="55"/>
      <c r="P163" s="149">
        <f>O163*H163</f>
        <v>0</v>
      </c>
      <c r="Q163" s="149">
        <v>8.52E-4</v>
      </c>
      <c r="R163" s="149">
        <f>Q163*H163</f>
        <v>2.5764479999999999E-2</v>
      </c>
      <c r="S163" s="149">
        <v>0</v>
      </c>
      <c r="T163" s="150">
        <f>S163*H163</f>
        <v>0</v>
      </c>
      <c r="U163" s="34"/>
      <c r="V163" s="34"/>
      <c r="W163" s="34"/>
      <c r="X163" s="34"/>
      <c r="Y163" s="34"/>
      <c r="Z163" s="34"/>
      <c r="AA163" s="34"/>
      <c r="AB163" s="34"/>
      <c r="AC163" s="34"/>
      <c r="AD163" s="34"/>
      <c r="AE163" s="34"/>
      <c r="AR163" s="151" t="s">
        <v>185</v>
      </c>
      <c r="AT163" s="151" t="s">
        <v>180</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636</v>
      </c>
    </row>
    <row r="164" spans="1:65" s="2" customFormat="1">
      <c r="A164" s="34"/>
      <c r="B164" s="35"/>
      <c r="C164" s="34"/>
      <c r="D164" s="153" t="s">
        <v>187</v>
      </c>
      <c r="E164" s="34"/>
      <c r="F164" s="154" t="s">
        <v>637</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c r="A165" s="34"/>
      <c r="B165" s="35"/>
      <c r="C165" s="34"/>
      <c r="D165" s="158" t="s">
        <v>189</v>
      </c>
      <c r="E165" s="34"/>
      <c r="F165" s="159" t="s">
        <v>638</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87</v>
      </c>
    </row>
    <row r="166" spans="1:65" s="2" customFormat="1" ht="29.25">
      <c r="A166" s="34"/>
      <c r="B166" s="35"/>
      <c r="C166" s="34"/>
      <c r="D166" s="153" t="s">
        <v>191</v>
      </c>
      <c r="E166" s="34"/>
      <c r="F166" s="160" t="s">
        <v>639</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191</v>
      </c>
      <c r="AU166" s="19" t="s">
        <v>87</v>
      </c>
    </row>
    <row r="167" spans="1:65" s="2" customFormat="1" ht="16.5" customHeight="1">
      <c r="A167" s="34"/>
      <c r="B167" s="139"/>
      <c r="C167" s="140" t="s">
        <v>277</v>
      </c>
      <c r="D167" s="140" t="s">
        <v>180</v>
      </c>
      <c r="E167" s="141" t="s">
        <v>640</v>
      </c>
      <c r="F167" s="142" t="s">
        <v>641</v>
      </c>
      <c r="G167" s="143" t="s">
        <v>332</v>
      </c>
      <c r="H167" s="144">
        <v>9.6</v>
      </c>
      <c r="I167" s="145"/>
      <c r="J167" s="146">
        <f>ROUND(I167*H167,2)</f>
        <v>0</v>
      </c>
      <c r="K167" s="142" t="s">
        <v>184</v>
      </c>
      <c r="L167" s="35"/>
      <c r="M167" s="147" t="s">
        <v>3</v>
      </c>
      <c r="N167" s="148" t="s">
        <v>48</v>
      </c>
      <c r="O167" s="55"/>
      <c r="P167" s="149">
        <f>O167*H167</f>
        <v>0</v>
      </c>
      <c r="Q167" s="149">
        <v>0.105</v>
      </c>
      <c r="R167" s="149">
        <f>Q167*H167</f>
        <v>1.008</v>
      </c>
      <c r="S167" s="149">
        <v>0</v>
      </c>
      <c r="T167" s="150">
        <f>S167*H167</f>
        <v>0</v>
      </c>
      <c r="U167" s="34"/>
      <c r="V167" s="34"/>
      <c r="W167" s="34"/>
      <c r="X167" s="34"/>
      <c r="Y167" s="34"/>
      <c r="Z167" s="34"/>
      <c r="AA167" s="34"/>
      <c r="AB167" s="34"/>
      <c r="AC167" s="34"/>
      <c r="AD167" s="34"/>
      <c r="AE167" s="34"/>
      <c r="AR167" s="151" t="s">
        <v>185</v>
      </c>
      <c r="AT167" s="151" t="s">
        <v>180</v>
      </c>
      <c r="AU167" s="151" t="s">
        <v>87</v>
      </c>
      <c r="AY167" s="19" t="s">
        <v>177</v>
      </c>
      <c r="BE167" s="152">
        <f>IF(N167="základní",J167,0)</f>
        <v>0</v>
      </c>
      <c r="BF167" s="152">
        <f>IF(N167="snížená",J167,0)</f>
        <v>0</v>
      </c>
      <c r="BG167" s="152">
        <f>IF(N167="zákl. přenesená",J167,0)</f>
        <v>0</v>
      </c>
      <c r="BH167" s="152">
        <f>IF(N167="sníž. přenesená",J167,0)</f>
        <v>0</v>
      </c>
      <c r="BI167" s="152">
        <f>IF(N167="nulová",J167,0)</f>
        <v>0</v>
      </c>
      <c r="BJ167" s="19" t="s">
        <v>85</v>
      </c>
      <c r="BK167" s="152">
        <f>ROUND(I167*H167,2)</f>
        <v>0</v>
      </c>
      <c r="BL167" s="19" t="s">
        <v>185</v>
      </c>
      <c r="BM167" s="151" t="s">
        <v>642</v>
      </c>
    </row>
    <row r="168" spans="1:65" s="2" customFormat="1">
      <c r="A168" s="34"/>
      <c r="B168" s="35"/>
      <c r="C168" s="34"/>
      <c r="D168" s="153" t="s">
        <v>187</v>
      </c>
      <c r="E168" s="34"/>
      <c r="F168" s="154" t="s">
        <v>643</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187</v>
      </c>
      <c r="AU168" s="19" t="s">
        <v>87</v>
      </c>
    </row>
    <row r="169" spans="1:65" s="2" customFormat="1">
      <c r="A169" s="34"/>
      <c r="B169" s="35"/>
      <c r="C169" s="34"/>
      <c r="D169" s="158" t="s">
        <v>189</v>
      </c>
      <c r="E169" s="34"/>
      <c r="F169" s="159" t="s">
        <v>644</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189</v>
      </c>
      <c r="AU169" s="19" t="s">
        <v>87</v>
      </c>
    </row>
    <row r="170" spans="1:65" s="2" customFormat="1" ht="97.5">
      <c r="A170" s="34"/>
      <c r="B170" s="35"/>
      <c r="C170" s="34"/>
      <c r="D170" s="153" t="s">
        <v>191</v>
      </c>
      <c r="E170" s="34"/>
      <c r="F170" s="160" t="s">
        <v>645</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191</v>
      </c>
      <c r="AU170" s="19" t="s">
        <v>87</v>
      </c>
    </row>
    <row r="171" spans="1:65" s="14" customFormat="1">
      <c r="B171" s="169"/>
      <c r="D171" s="153" t="s">
        <v>193</v>
      </c>
      <c r="E171" s="170" t="s">
        <v>3</v>
      </c>
      <c r="F171" s="171" t="s">
        <v>646</v>
      </c>
      <c r="H171" s="170" t="s">
        <v>3</v>
      </c>
      <c r="I171" s="172"/>
      <c r="L171" s="169"/>
      <c r="M171" s="173"/>
      <c r="N171" s="174"/>
      <c r="O171" s="174"/>
      <c r="P171" s="174"/>
      <c r="Q171" s="174"/>
      <c r="R171" s="174"/>
      <c r="S171" s="174"/>
      <c r="T171" s="175"/>
      <c r="AT171" s="170" t="s">
        <v>193</v>
      </c>
      <c r="AU171" s="170" t="s">
        <v>87</v>
      </c>
      <c r="AV171" s="14" t="s">
        <v>85</v>
      </c>
      <c r="AW171" s="14" t="s">
        <v>36</v>
      </c>
      <c r="AX171" s="14" t="s">
        <v>77</v>
      </c>
      <c r="AY171" s="170" t="s">
        <v>177</v>
      </c>
    </row>
    <row r="172" spans="1:65" s="13" customFormat="1">
      <c r="B172" s="161"/>
      <c r="D172" s="153" t="s">
        <v>193</v>
      </c>
      <c r="E172" s="162" t="s">
        <v>3</v>
      </c>
      <c r="F172" s="163" t="s">
        <v>647</v>
      </c>
      <c r="H172" s="164">
        <v>9.6</v>
      </c>
      <c r="I172" s="165"/>
      <c r="L172" s="161"/>
      <c r="M172" s="166"/>
      <c r="N172" s="167"/>
      <c r="O172" s="167"/>
      <c r="P172" s="167"/>
      <c r="Q172" s="167"/>
      <c r="R172" s="167"/>
      <c r="S172" s="167"/>
      <c r="T172" s="168"/>
      <c r="AT172" s="162" t="s">
        <v>193</v>
      </c>
      <c r="AU172" s="162" t="s">
        <v>87</v>
      </c>
      <c r="AV172" s="13" t="s">
        <v>87</v>
      </c>
      <c r="AW172" s="13" t="s">
        <v>36</v>
      </c>
      <c r="AX172" s="13" t="s">
        <v>85</v>
      </c>
      <c r="AY172" s="162" t="s">
        <v>177</v>
      </c>
    </row>
    <row r="173" spans="1:65" s="12" customFormat="1" ht="22.9" customHeight="1">
      <c r="B173" s="126"/>
      <c r="D173" s="127" t="s">
        <v>76</v>
      </c>
      <c r="E173" s="137" t="s">
        <v>252</v>
      </c>
      <c r="F173" s="137" t="s">
        <v>329</v>
      </c>
      <c r="I173" s="129"/>
      <c r="J173" s="138">
        <f>BK173</f>
        <v>0</v>
      </c>
      <c r="L173" s="126"/>
      <c r="M173" s="131"/>
      <c r="N173" s="132"/>
      <c r="O173" s="132"/>
      <c r="P173" s="133">
        <f>SUM(P174:P225)</f>
        <v>0</v>
      </c>
      <c r="Q173" s="132"/>
      <c r="R173" s="133">
        <f>SUM(R174:R225)</f>
        <v>1.365672</v>
      </c>
      <c r="S173" s="132"/>
      <c r="T173" s="134">
        <f>SUM(T174:T225)</f>
        <v>0</v>
      </c>
      <c r="AR173" s="127" t="s">
        <v>85</v>
      </c>
      <c r="AT173" s="135" t="s">
        <v>76</v>
      </c>
      <c r="AU173" s="135" t="s">
        <v>85</v>
      </c>
      <c r="AY173" s="127" t="s">
        <v>177</v>
      </c>
      <c r="BK173" s="136">
        <f>SUM(BK174:BK225)</f>
        <v>0</v>
      </c>
    </row>
    <row r="174" spans="1:65" s="2" customFormat="1" ht="21.75" customHeight="1">
      <c r="A174" s="34"/>
      <c r="B174" s="139"/>
      <c r="C174" s="140" t="s">
        <v>283</v>
      </c>
      <c r="D174" s="140" t="s">
        <v>180</v>
      </c>
      <c r="E174" s="141" t="s">
        <v>648</v>
      </c>
      <c r="F174" s="142" t="s">
        <v>649</v>
      </c>
      <c r="G174" s="143" t="s">
        <v>332</v>
      </c>
      <c r="H174" s="144">
        <v>240</v>
      </c>
      <c r="I174" s="145"/>
      <c r="J174" s="146">
        <f>ROUND(I174*H174,2)</f>
        <v>0</v>
      </c>
      <c r="K174" s="142" t="s">
        <v>184</v>
      </c>
      <c r="L174" s="35"/>
      <c r="M174" s="147" t="s">
        <v>3</v>
      </c>
      <c r="N174" s="148" t="s">
        <v>48</v>
      </c>
      <c r="O174" s="55"/>
      <c r="P174" s="149">
        <f>O174*H174</f>
        <v>0</v>
      </c>
      <c r="Q174" s="149">
        <v>0</v>
      </c>
      <c r="R174" s="149">
        <f>Q174*H174</f>
        <v>0</v>
      </c>
      <c r="S174" s="149">
        <v>0</v>
      </c>
      <c r="T174" s="150">
        <f>S174*H174</f>
        <v>0</v>
      </c>
      <c r="U174" s="34"/>
      <c r="V174" s="34"/>
      <c r="W174" s="34"/>
      <c r="X174" s="34"/>
      <c r="Y174" s="34"/>
      <c r="Z174" s="34"/>
      <c r="AA174" s="34"/>
      <c r="AB174" s="34"/>
      <c r="AC174" s="34"/>
      <c r="AD174" s="34"/>
      <c r="AE174" s="34"/>
      <c r="AR174" s="151" t="s">
        <v>185</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650</v>
      </c>
    </row>
    <row r="175" spans="1:65" s="2" customFormat="1" ht="19.5">
      <c r="A175" s="34"/>
      <c r="B175" s="35"/>
      <c r="C175" s="34"/>
      <c r="D175" s="153" t="s">
        <v>187</v>
      </c>
      <c r="E175" s="34"/>
      <c r="F175" s="154" t="s">
        <v>651</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652</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2" customFormat="1" ht="58.5">
      <c r="A177" s="34"/>
      <c r="B177" s="35"/>
      <c r="C177" s="34"/>
      <c r="D177" s="153" t="s">
        <v>191</v>
      </c>
      <c r="E177" s="34"/>
      <c r="F177" s="160" t="s">
        <v>653</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87</v>
      </c>
    </row>
    <row r="178" spans="1:65" s="2" customFormat="1" ht="21.75" customHeight="1">
      <c r="A178" s="34"/>
      <c r="B178" s="139"/>
      <c r="C178" s="140" t="s">
        <v>9</v>
      </c>
      <c r="D178" s="140" t="s">
        <v>180</v>
      </c>
      <c r="E178" s="141" t="s">
        <v>654</v>
      </c>
      <c r="F178" s="142" t="s">
        <v>655</v>
      </c>
      <c r="G178" s="143" t="s">
        <v>332</v>
      </c>
      <c r="H178" s="144">
        <v>7200</v>
      </c>
      <c r="I178" s="145"/>
      <c r="J178" s="146">
        <f>ROUND(I178*H178,2)</f>
        <v>0</v>
      </c>
      <c r="K178" s="142" t="s">
        <v>184</v>
      </c>
      <c r="L178" s="35"/>
      <c r="M178" s="147" t="s">
        <v>3</v>
      </c>
      <c r="N178" s="148" t="s">
        <v>48</v>
      </c>
      <c r="O178" s="55"/>
      <c r="P178" s="149">
        <f>O178*H178</f>
        <v>0</v>
      </c>
      <c r="Q178" s="149">
        <v>0</v>
      </c>
      <c r="R178" s="149">
        <f>Q178*H178</f>
        <v>0</v>
      </c>
      <c r="S178" s="149">
        <v>0</v>
      </c>
      <c r="T178" s="150">
        <f>S178*H178</f>
        <v>0</v>
      </c>
      <c r="U178" s="34"/>
      <c r="V178" s="34"/>
      <c r="W178" s="34"/>
      <c r="X178" s="34"/>
      <c r="Y178" s="34"/>
      <c r="Z178" s="34"/>
      <c r="AA178" s="34"/>
      <c r="AB178" s="34"/>
      <c r="AC178" s="34"/>
      <c r="AD178" s="34"/>
      <c r="AE178" s="34"/>
      <c r="AR178" s="151" t="s">
        <v>185</v>
      </c>
      <c r="AT178" s="151" t="s">
        <v>180</v>
      </c>
      <c r="AU178" s="151" t="s">
        <v>87</v>
      </c>
      <c r="AY178" s="19" t="s">
        <v>177</v>
      </c>
      <c r="BE178" s="152">
        <f>IF(N178="základní",J178,0)</f>
        <v>0</v>
      </c>
      <c r="BF178" s="152">
        <f>IF(N178="snížená",J178,0)</f>
        <v>0</v>
      </c>
      <c r="BG178" s="152">
        <f>IF(N178="zákl. přenesená",J178,0)</f>
        <v>0</v>
      </c>
      <c r="BH178" s="152">
        <f>IF(N178="sníž. přenesená",J178,0)</f>
        <v>0</v>
      </c>
      <c r="BI178" s="152">
        <f>IF(N178="nulová",J178,0)</f>
        <v>0</v>
      </c>
      <c r="BJ178" s="19" t="s">
        <v>85</v>
      </c>
      <c r="BK178" s="152">
        <f>ROUND(I178*H178,2)</f>
        <v>0</v>
      </c>
      <c r="BL178" s="19" t="s">
        <v>185</v>
      </c>
      <c r="BM178" s="151" t="s">
        <v>656</v>
      </c>
    </row>
    <row r="179" spans="1:65" s="2" customFormat="1" ht="19.5">
      <c r="A179" s="34"/>
      <c r="B179" s="35"/>
      <c r="C179" s="34"/>
      <c r="D179" s="153" t="s">
        <v>187</v>
      </c>
      <c r="E179" s="34"/>
      <c r="F179" s="154" t="s">
        <v>657</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187</v>
      </c>
      <c r="AU179" s="19" t="s">
        <v>87</v>
      </c>
    </row>
    <row r="180" spans="1:65" s="2" customFormat="1">
      <c r="A180" s="34"/>
      <c r="B180" s="35"/>
      <c r="C180" s="34"/>
      <c r="D180" s="158" t="s">
        <v>189</v>
      </c>
      <c r="E180" s="34"/>
      <c r="F180" s="159" t="s">
        <v>658</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189</v>
      </c>
      <c r="AU180" s="19" t="s">
        <v>87</v>
      </c>
    </row>
    <row r="181" spans="1:65" s="2" customFormat="1" ht="58.5">
      <c r="A181" s="34"/>
      <c r="B181" s="35"/>
      <c r="C181" s="34"/>
      <c r="D181" s="153" t="s">
        <v>191</v>
      </c>
      <c r="E181" s="34"/>
      <c r="F181" s="160" t="s">
        <v>653</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191</v>
      </c>
      <c r="AU181" s="19" t="s">
        <v>87</v>
      </c>
    </row>
    <row r="182" spans="1:65" s="13" customFormat="1">
      <c r="B182" s="161"/>
      <c r="D182" s="153" t="s">
        <v>193</v>
      </c>
      <c r="E182" s="162" t="s">
        <v>3</v>
      </c>
      <c r="F182" s="163" t="s">
        <v>659</v>
      </c>
      <c r="H182" s="164">
        <v>7200</v>
      </c>
      <c r="I182" s="165"/>
      <c r="L182" s="161"/>
      <c r="M182" s="166"/>
      <c r="N182" s="167"/>
      <c r="O182" s="167"/>
      <c r="P182" s="167"/>
      <c r="Q182" s="167"/>
      <c r="R182" s="167"/>
      <c r="S182" s="167"/>
      <c r="T182" s="168"/>
      <c r="AT182" s="162" t="s">
        <v>193</v>
      </c>
      <c r="AU182" s="162" t="s">
        <v>87</v>
      </c>
      <c r="AV182" s="13" t="s">
        <v>87</v>
      </c>
      <c r="AW182" s="13" t="s">
        <v>36</v>
      </c>
      <c r="AX182" s="13" t="s">
        <v>85</v>
      </c>
      <c r="AY182" s="162" t="s">
        <v>177</v>
      </c>
    </row>
    <row r="183" spans="1:65" s="2" customFormat="1" ht="21.75" customHeight="1">
      <c r="A183" s="34"/>
      <c r="B183" s="139"/>
      <c r="C183" s="140" t="s">
        <v>237</v>
      </c>
      <c r="D183" s="140" t="s">
        <v>180</v>
      </c>
      <c r="E183" s="141" t="s">
        <v>660</v>
      </c>
      <c r="F183" s="142" t="s">
        <v>661</v>
      </c>
      <c r="G183" s="143" t="s">
        <v>332</v>
      </c>
      <c r="H183" s="144">
        <v>240</v>
      </c>
      <c r="I183" s="145"/>
      <c r="J183" s="146">
        <f>ROUND(I183*H183,2)</f>
        <v>0</v>
      </c>
      <c r="K183" s="142" t="s">
        <v>184</v>
      </c>
      <c r="L183" s="35"/>
      <c r="M183" s="147" t="s">
        <v>3</v>
      </c>
      <c r="N183" s="148" t="s">
        <v>48</v>
      </c>
      <c r="O183" s="55"/>
      <c r="P183" s="149">
        <f>O183*H183</f>
        <v>0</v>
      </c>
      <c r="Q183" s="149">
        <v>0</v>
      </c>
      <c r="R183" s="149">
        <f>Q183*H183</f>
        <v>0</v>
      </c>
      <c r="S183" s="149">
        <v>0</v>
      </c>
      <c r="T183" s="150">
        <f>S183*H183</f>
        <v>0</v>
      </c>
      <c r="U183" s="34"/>
      <c r="V183" s="34"/>
      <c r="W183" s="34"/>
      <c r="X183" s="34"/>
      <c r="Y183" s="34"/>
      <c r="Z183" s="34"/>
      <c r="AA183" s="34"/>
      <c r="AB183" s="34"/>
      <c r="AC183" s="34"/>
      <c r="AD183" s="34"/>
      <c r="AE183" s="34"/>
      <c r="AR183" s="151" t="s">
        <v>185</v>
      </c>
      <c r="AT183" s="151" t="s">
        <v>180</v>
      </c>
      <c r="AU183" s="151" t="s">
        <v>87</v>
      </c>
      <c r="AY183" s="19" t="s">
        <v>177</v>
      </c>
      <c r="BE183" s="152">
        <f>IF(N183="základní",J183,0)</f>
        <v>0</v>
      </c>
      <c r="BF183" s="152">
        <f>IF(N183="snížená",J183,0)</f>
        <v>0</v>
      </c>
      <c r="BG183" s="152">
        <f>IF(N183="zákl. přenesená",J183,0)</f>
        <v>0</v>
      </c>
      <c r="BH183" s="152">
        <f>IF(N183="sníž. přenesená",J183,0)</f>
        <v>0</v>
      </c>
      <c r="BI183" s="152">
        <f>IF(N183="nulová",J183,0)</f>
        <v>0</v>
      </c>
      <c r="BJ183" s="19" t="s">
        <v>85</v>
      </c>
      <c r="BK183" s="152">
        <f>ROUND(I183*H183,2)</f>
        <v>0</v>
      </c>
      <c r="BL183" s="19" t="s">
        <v>185</v>
      </c>
      <c r="BM183" s="151" t="s">
        <v>662</v>
      </c>
    </row>
    <row r="184" spans="1:65" s="2" customFormat="1" ht="19.5">
      <c r="A184" s="34"/>
      <c r="B184" s="35"/>
      <c r="C184" s="34"/>
      <c r="D184" s="153" t="s">
        <v>187</v>
      </c>
      <c r="E184" s="34"/>
      <c r="F184" s="154" t="s">
        <v>663</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187</v>
      </c>
      <c r="AU184" s="19" t="s">
        <v>87</v>
      </c>
    </row>
    <row r="185" spans="1:65" s="2" customFormat="1">
      <c r="A185" s="34"/>
      <c r="B185" s="35"/>
      <c r="C185" s="34"/>
      <c r="D185" s="158" t="s">
        <v>189</v>
      </c>
      <c r="E185" s="34"/>
      <c r="F185" s="159" t="s">
        <v>664</v>
      </c>
      <c r="G185" s="34"/>
      <c r="H185" s="34"/>
      <c r="I185" s="155"/>
      <c r="J185" s="34"/>
      <c r="K185" s="34"/>
      <c r="L185" s="35"/>
      <c r="M185" s="156"/>
      <c r="N185" s="157"/>
      <c r="O185" s="55"/>
      <c r="P185" s="55"/>
      <c r="Q185" s="55"/>
      <c r="R185" s="55"/>
      <c r="S185" s="55"/>
      <c r="T185" s="56"/>
      <c r="U185" s="34"/>
      <c r="V185" s="34"/>
      <c r="W185" s="34"/>
      <c r="X185" s="34"/>
      <c r="Y185" s="34"/>
      <c r="Z185" s="34"/>
      <c r="AA185" s="34"/>
      <c r="AB185" s="34"/>
      <c r="AC185" s="34"/>
      <c r="AD185" s="34"/>
      <c r="AE185" s="34"/>
      <c r="AT185" s="19" t="s">
        <v>189</v>
      </c>
      <c r="AU185" s="19" t="s">
        <v>87</v>
      </c>
    </row>
    <row r="186" spans="1:65" s="2" customFormat="1" ht="29.25">
      <c r="A186" s="34"/>
      <c r="B186" s="35"/>
      <c r="C186" s="34"/>
      <c r="D186" s="153" t="s">
        <v>191</v>
      </c>
      <c r="E186" s="34"/>
      <c r="F186" s="160" t="s">
        <v>665</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191</v>
      </c>
      <c r="AU186" s="19" t="s">
        <v>87</v>
      </c>
    </row>
    <row r="187" spans="1:65" s="2" customFormat="1" ht="16.5" customHeight="1">
      <c r="A187" s="34"/>
      <c r="B187" s="139"/>
      <c r="C187" s="140" t="s">
        <v>302</v>
      </c>
      <c r="D187" s="140" t="s">
        <v>180</v>
      </c>
      <c r="E187" s="141" t="s">
        <v>666</v>
      </c>
      <c r="F187" s="142" t="s">
        <v>667</v>
      </c>
      <c r="G187" s="143" t="s">
        <v>332</v>
      </c>
      <c r="H187" s="144">
        <v>240</v>
      </c>
      <c r="I187" s="145"/>
      <c r="J187" s="146">
        <f>ROUND(I187*H187,2)</f>
        <v>0</v>
      </c>
      <c r="K187" s="142" t="s">
        <v>184</v>
      </c>
      <c r="L187" s="35"/>
      <c r="M187" s="147" t="s">
        <v>3</v>
      </c>
      <c r="N187" s="148" t="s">
        <v>48</v>
      </c>
      <c r="O187" s="55"/>
      <c r="P187" s="149">
        <f>O187*H187</f>
        <v>0</v>
      </c>
      <c r="Q187" s="149">
        <v>0</v>
      </c>
      <c r="R187" s="149">
        <f>Q187*H187</f>
        <v>0</v>
      </c>
      <c r="S187" s="149">
        <v>0</v>
      </c>
      <c r="T187" s="150">
        <f>S187*H187</f>
        <v>0</v>
      </c>
      <c r="U187" s="34"/>
      <c r="V187" s="34"/>
      <c r="W187" s="34"/>
      <c r="X187" s="34"/>
      <c r="Y187" s="34"/>
      <c r="Z187" s="34"/>
      <c r="AA187" s="34"/>
      <c r="AB187" s="34"/>
      <c r="AC187" s="34"/>
      <c r="AD187" s="34"/>
      <c r="AE187" s="34"/>
      <c r="AR187" s="151" t="s">
        <v>185</v>
      </c>
      <c r="AT187" s="151" t="s">
        <v>180</v>
      </c>
      <c r="AU187" s="151" t="s">
        <v>87</v>
      </c>
      <c r="AY187" s="19" t="s">
        <v>177</v>
      </c>
      <c r="BE187" s="152">
        <f>IF(N187="základní",J187,0)</f>
        <v>0</v>
      </c>
      <c r="BF187" s="152">
        <f>IF(N187="snížená",J187,0)</f>
        <v>0</v>
      </c>
      <c r="BG187" s="152">
        <f>IF(N187="zákl. přenesená",J187,0)</f>
        <v>0</v>
      </c>
      <c r="BH187" s="152">
        <f>IF(N187="sníž. přenesená",J187,0)</f>
        <v>0</v>
      </c>
      <c r="BI187" s="152">
        <f>IF(N187="nulová",J187,0)</f>
        <v>0</v>
      </c>
      <c r="BJ187" s="19" t="s">
        <v>85</v>
      </c>
      <c r="BK187" s="152">
        <f>ROUND(I187*H187,2)</f>
        <v>0</v>
      </c>
      <c r="BL187" s="19" t="s">
        <v>185</v>
      </c>
      <c r="BM187" s="151" t="s">
        <v>668</v>
      </c>
    </row>
    <row r="188" spans="1:65" s="2" customFormat="1">
      <c r="A188" s="34"/>
      <c r="B188" s="35"/>
      <c r="C188" s="34"/>
      <c r="D188" s="153" t="s">
        <v>187</v>
      </c>
      <c r="E188" s="34"/>
      <c r="F188" s="154" t="s">
        <v>669</v>
      </c>
      <c r="G188" s="34"/>
      <c r="H188" s="34"/>
      <c r="I188" s="155"/>
      <c r="J188" s="34"/>
      <c r="K188" s="34"/>
      <c r="L188" s="35"/>
      <c r="M188" s="156"/>
      <c r="N188" s="157"/>
      <c r="O188" s="55"/>
      <c r="P188" s="55"/>
      <c r="Q188" s="55"/>
      <c r="R188" s="55"/>
      <c r="S188" s="55"/>
      <c r="T188" s="56"/>
      <c r="U188" s="34"/>
      <c r="V188" s="34"/>
      <c r="W188" s="34"/>
      <c r="X188" s="34"/>
      <c r="Y188" s="34"/>
      <c r="Z188" s="34"/>
      <c r="AA188" s="34"/>
      <c r="AB188" s="34"/>
      <c r="AC188" s="34"/>
      <c r="AD188" s="34"/>
      <c r="AE188" s="34"/>
      <c r="AT188" s="19" t="s">
        <v>187</v>
      </c>
      <c r="AU188" s="19" t="s">
        <v>87</v>
      </c>
    </row>
    <row r="189" spans="1:65" s="2" customFormat="1">
      <c r="A189" s="34"/>
      <c r="B189" s="35"/>
      <c r="C189" s="34"/>
      <c r="D189" s="158" t="s">
        <v>189</v>
      </c>
      <c r="E189" s="34"/>
      <c r="F189" s="159" t="s">
        <v>670</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189</v>
      </c>
      <c r="AU189" s="19" t="s">
        <v>87</v>
      </c>
    </row>
    <row r="190" spans="1:65" s="2" customFormat="1" ht="29.25">
      <c r="A190" s="34"/>
      <c r="B190" s="35"/>
      <c r="C190" s="34"/>
      <c r="D190" s="153" t="s">
        <v>191</v>
      </c>
      <c r="E190" s="34"/>
      <c r="F190" s="160" t="s">
        <v>671</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191</v>
      </c>
      <c r="AU190" s="19" t="s">
        <v>87</v>
      </c>
    </row>
    <row r="191" spans="1:65" s="2" customFormat="1" ht="16.5" customHeight="1">
      <c r="A191" s="34"/>
      <c r="B191" s="139"/>
      <c r="C191" s="140" t="s">
        <v>315</v>
      </c>
      <c r="D191" s="140" t="s">
        <v>180</v>
      </c>
      <c r="E191" s="141" t="s">
        <v>672</v>
      </c>
      <c r="F191" s="142" t="s">
        <v>673</v>
      </c>
      <c r="G191" s="143" t="s">
        <v>332</v>
      </c>
      <c r="H191" s="144">
        <v>7200</v>
      </c>
      <c r="I191" s="145"/>
      <c r="J191" s="146">
        <f>ROUND(I191*H191,2)</f>
        <v>0</v>
      </c>
      <c r="K191" s="142" t="s">
        <v>184</v>
      </c>
      <c r="L191" s="35"/>
      <c r="M191" s="147" t="s">
        <v>3</v>
      </c>
      <c r="N191" s="148" t="s">
        <v>48</v>
      </c>
      <c r="O191" s="55"/>
      <c r="P191" s="149">
        <f>O191*H191</f>
        <v>0</v>
      </c>
      <c r="Q191" s="149">
        <v>0</v>
      </c>
      <c r="R191" s="149">
        <f>Q191*H191</f>
        <v>0</v>
      </c>
      <c r="S191" s="149">
        <v>0</v>
      </c>
      <c r="T191" s="150">
        <f>S191*H191</f>
        <v>0</v>
      </c>
      <c r="U191" s="34"/>
      <c r="V191" s="34"/>
      <c r="W191" s="34"/>
      <c r="X191" s="34"/>
      <c r="Y191" s="34"/>
      <c r="Z191" s="34"/>
      <c r="AA191" s="34"/>
      <c r="AB191" s="34"/>
      <c r="AC191" s="34"/>
      <c r="AD191" s="34"/>
      <c r="AE191" s="34"/>
      <c r="AR191" s="151" t="s">
        <v>185</v>
      </c>
      <c r="AT191" s="151" t="s">
        <v>180</v>
      </c>
      <c r="AU191" s="151" t="s">
        <v>87</v>
      </c>
      <c r="AY191" s="19" t="s">
        <v>177</v>
      </c>
      <c r="BE191" s="152">
        <f>IF(N191="základní",J191,0)</f>
        <v>0</v>
      </c>
      <c r="BF191" s="152">
        <f>IF(N191="snížená",J191,0)</f>
        <v>0</v>
      </c>
      <c r="BG191" s="152">
        <f>IF(N191="zákl. přenesená",J191,0)</f>
        <v>0</v>
      </c>
      <c r="BH191" s="152">
        <f>IF(N191="sníž. přenesená",J191,0)</f>
        <v>0</v>
      </c>
      <c r="BI191" s="152">
        <f>IF(N191="nulová",J191,0)</f>
        <v>0</v>
      </c>
      <c r="BJ191" s="19" t="s">
        <v>85</v>
      </c>
      <c r="BK191" s="152">
        <f>ROUND(I191*H191,2)</f>
        <v>0</v>
      </c>
      <c r="BL191" s="19" t="s">
        <v>185</v>
      </c>
      <c r="BM191" s="151" t="s">
        <v>674</v>
      </c>
    </row>
    <row r="192" spans="1:65" s="2" customFormat="1">
      <c r="A192" s="34"/>
      <c r="B192" s="35"/>
      <c r="C192" s="34"/>
      <c r="D192" s="153" t="s">
        <v>187</v>
      </c>
      <c r="E192" s="34"/>
      <c r="F192" s="154" t="s">
        <v>675</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187</v>
      </c>
      <c r="AU192" s="19" t="s">
        <v>87</v>
      </c>
    </row>
    <row r="193" spans="1:65" s="2" customFormat="1">
      <c r="A193" s="34"/>
      <c r="B193" s="35"/>
      <c r="C193" s="34"/>
      <c r="D193" s="158" t="s">
        <v>189</v>
      </c>
      <c r="E193" s="34"/>
      <c r="F193" s="159" t="s">
        <v>676</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189</v>
      </c>
      <c r="AU193" s="19" t="s">
        <v>87</v>
      </c>
    </row>
    <row r="194" spans="1:65" s="2" customFormat="1" ht="29.25">
      <c r="A194" s="34"/>
      <c r="B194" s="35"/>
      <c r="C194" s="34"/>
      <c r="D194" s="153" t="s">
        <v>191</v>
      </c>
      <c r="E194" s="34"/>
      <c r="F194" s="160" t="s">
        <v>671</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191</v>
      </c>
      <c r="AU194" s="19" t="s">
        <v>87</v>
      </c>
    </row>
    <row r="195" spans="1:65" s="2" customFormat="1" ht="16.5" customHeight="1">
      <c r="A195" s="34"/>
      <c r="B195" s="139"/>
      <c r="C195" s="140" t="s">
        <v>461</v>
      </c>
      <c r="D195" s="140" t="s">
        <v>180</v>
      </c>
      <c r="E195" s="141" t="s">
        <v>677</v>
      </c>
      <c r="F195" s="142" t="s">
        <v>678</v>
      </c>
      <c r="G195" s="143" t="s">
        <v>332</v>
      </c>
      <c r="H195" s="144">
        <v>240</v>
      </c>
      <c r="I195" s="145"/>
      <c r="J195" s="146">
        <f>ROUND(I195*H195,2)</f>
        <v>0</v>
      </c>
      <c r="K195" s="142" t="s">
        <v>184</v>
      </c>
      <c r="L195" s="35"/>
      <c r="M195" s="147" t="s">
        <v>3</v>
      </c>
      <c r="N195" s="148" t="s">
        <v>48</v>
      </c>
      <c r="O195" s="55"/>
      <c r="P195" s="149">
        <f>O195*H195</f>
        <v>0</v>
      </c>
      <c r="Q195" s="149">
        <v>0</v>
      </c>
      <c r="R195" s="149">
        <f>Q195*H195</f>
        <v>0</v>
      </c>
      <c r="S195" s="149">
        <v>0</v>
      </c>
      <c r="T195" s="150">
        <f>S195*H195</f>
        <v>0</v>
      </c>
      <c r="U195" s="34"/>
      <c r="V195" s="34"/>
      <c r="W195" s="34"/>
      <c r="X195" s="34"/>
      <c r="Y195" s="34"/>
      <c r="Z195" s="34"/>
      <c r="AA195" s="34"/>
      <c r="AB195" s="34"/>
      <c r="AC195" s="34"/>
      <c r="AD195" s="34"/>
      <c r="AE195" s="34"/>
      <c r="AR195" s="151" t="s">
        <v>185</v>
      </c>
      <c r="AT195" s="151" t="s">
        <v>180</v>
      </c>
      <c r="AU195" s="151" t="s">
        <v>87</v>
      </c>
      <c r="AY195" s="19" t="s">
        <v>177</v>
      </c>
      <c r="BE195" s="152">
        <f>IF(N195="základní",J195,0)</f>
        <v>0</v>
      </c>
      <c r="BF195" s="152">
        <f>IF(N195="snížená",J195,0)</f>
        <v>0</v>
      </c>
      <c r="BG195" s="152">
        <f>IF(N195="zákl. přenesená",J195,0)</f>
        <v>0</v>
      </c>
      <c r="BH195" s="152">
        <f>IF(N195="sníž. přenesená",J195,0)</f>
        <v>0</v>
      </c>
      <c r="BI195" s="152">
        <f>IF(N195="nulová",J195,0)</f>
        <v>0</v>
      </c>
      <c r="BJ195" s="19" t="s">
        <v>85</v>
      </c>
      <c r="BK195" s="152">
        <f>ROUND(I195*H195,2)</f>
        <v>0</v>
      </c>
      <c r="BL195" s="19" t="s">
        <v>185</v>
      </c>
      <c r="BM195" s="151" t="s">
        <v>679</v>
      </c>
    </row>
    <row r="196" spans="1:65" s="2" customFormat="1">
      <c r="A196" s="34"/>
      <c r="B196" s="35"/>
      <c r="C196" s="34"/>
      <c r="D196" s="153" t="s">
        <v>187</v>
      </c>
      <c r="E196" s="34"/>
      <c r="F196" s="154" t="s">
        <v>680</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187</v>
      </c>
      <c r="AU196" s="19" t="s">
        <v>87</v>
      </c>
    </row>
    <row r="197" spans="1:65" s="2" customFormat="1">
      <c r="A197" s="34"/>
      <c r="B197" s="35"/>
      <c r="C197" s="34"/>
      <c r="D197" s="158" t="s">
        <v>189</v>
      </c>
      <c r="E197" s="34"/>
      <c r="F197" s="159" t="s">
        <v>681</v>
      </c>
      <c r="G197" s="34"/>
      <c r="H197" s="34"/>
      <c r="I197" s="155"/>
      <c r="J197" s="34"/>
      <c r="K197" s="34"/>
      <c r="L197" s="35"/>
      <c r="M197" s="156"/>
      <c r="N197" s="157"/>
      <c r="O197" s="55"/>
      <c r="P197" s="55"/>
      <c r="Q197" s="55"/>
      <c r="R197" s="55"/>
      <c r="S197" s="55"/>
      <c r="T197" s="56"/>
      <c r="U197" s="34"/>
      <c r="V197" s="34"/>
      <c r="W197" s="34"/>
      <c r="X197" s="34"/>
      <c r="Y197" s="34"/>
      <c r="Z197" s="34"/>
      <c r="AA197" s="34"/>
      <c r="AB197" s="34"/>
      <c r="AC197" s="34"/>
      <c r="AD197" s="34"/>
      <c r="AE197" s="34"/>
      <c r="AT197" s="19" t="s">
        <v>189</v>
      </c>
      <c r="AU197" s="19" t="s">
        <v>87</v>
      </c>
    </row>
    <row r="198" spans="1:65" s="2" customFormat="1" ht="21.75" customHeight="1">
      <c r="A198" s="34"/>
      <c r="B198" s="139"/>
      <c r="C198" s="140" t="s">
        <v>467</v>
      </c>
      <c r="D198" s="140" t="s">
        <v>180</v>
      </c>
      <c r="E198" s="141" t="s">
        <v>682</v>
      </c>
      <c r="F198" s="142" t="s">
        <v>683</v>
      </c>
      <c r="G198" s="143" t="s">
        <v>332</v>
      </c>
      <c r="H198" s="144">
        <v>144</v>
      </c>
      <c r="I198" s="145"/>
      <c r="J198" s="146">
        <f>ROUND(I198*H198,2)</f>
        <v>0</v>
      </c>
      <c r="K198" s="142" t="s">
        <v>184</v>
      </c>
      <c r="L198" s="35"/>
      <c r="M198" s="147" t="s">
        <v>3</v>
      </c>
      <c r="N198" s="148" t="s">
        <v>48</v>
      </c>
      <c r="O198" s="55"/>
      <c r="P198" s="149">
        <f>O198*H198</f>
        <v>0</v>
      </c>
      <c r="Q198" s="149">
        <v>1.2999999999999999E-4</v>
      </c>
      <c r="R198" s="149">
        <f>Q198*H198</f>
        <v>1.8719999999999997E-2</v>
      </c>
      <c r="S198" s="149">
        <v>0</v>
      </c>
      <c r="T198" s="150">
        <f>S198*H198</f>
        <v>0</v>
      </c>
      <c r="U198" s="34"/>
      <c r="V198" s="34"/>
      <c r="W198" s="34"/>
      <c r="X198" s="34"/>
      <c r="Y198" s="34"/>
      <c r="Z198" s="34"/>
      <c r="AA198" s="34"/>
      <c r="AB198" s="34"/>
      <c r="AC198" s="34"/>
      <c r="AD198" s="34"/>
      <c r="AE198" s="34"/>
      <c r="AR198" s="151" t="s">
        <v>185</v>
      </c>
      <c r="AT198" s="151" t="s">
        <v>180</v>
      </c>
      <c r="AU198" s="151" t="s">
        <v>87</v>
      </c>
      <c r="AY198" s="19" t="s">
        <v>177</v>
      </c>
      <c r="BE198" s="152">
        <f>IF(N198="základní",J198,0)</f>
        <v>0</v>
      </c>
      <c r="BF198" s="152">
        <f>IF(N198="snížená",J198,0)</f>
        <v>0</v>
      </c>
      <c r="BG198" s="152">
        <f>IF(N198="zákl. přenesená",J198,0)</f>
        <v>0</v>
      </c>
      <c r="BH198" s="152">
        <f>IF(N198="sníž. přenesená",J198,0)</f>
        <v>0</v>
      </c>
      <c r="BI198" s="152">
        <f>IF(N198="nulová",J198,0)</f>
        <v>0</v>
      </c>
      <c r="BJ198" s="19" t="s">
        <v>85</v>
      </c>
      <c r="BK198" s="152">
        <f>ROUND(I198*H198,2)</f>
        <v>0</v>
      </c>
      <c r="BL198" s="19" t="s">
        <v>185</v>
      </c>
      <c r="BM198" s="151" t="s">
        <v>684</v>
      </c>
    </row>
    <row r="199" spans="1:65" s="2" customFormat="1">
      <c r="A199" s="34"/>
      <c r="B199" s="35"/>
      <c r="C199" s="34"/>
      <c r="D199" s="153" t="s">
        <v>187</v>
      </c>
      <c r="E199" s="34"/>
      <c r="F199" s="154" t="s">
        <v>685</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187</v>
      </c>
      <c r="AU199" s="19" t="s">
        <v>87</v>
      </c>
    </row>
    <row r="200" spans="1:65" s="2" customFormat="1">
      <c r="A200" s="34"/>
      <c r="B200" s="35"/>
      <c r="C200" s="34"/>
      <c r="D200" s="158" t="s">
        <v>189</v>
      </c>
      <c r="E200" s="34"/>
      <c r="F200" s="159" t="s">
        <v>686</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189</v>
      </c>
      <c r="AU200" s="19" t="s">
        <v>87</v>
      </c>
    </row>
    <row r="201" spans="1:65" s="2" customFormat="1" ht="48.75">
      <c r="A201" s="34"/>
      <c r="B201" s="35"/>
      <c r="C201" s="34"/>
      <c r="D201" s="153" t="s">
        <v>191</v>
      </c>
      <c r="E201" s="34"/>
      <c r="F201" s="160" t="s">
        <v>336</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191</v>
      </c>
      <c r="AU201" s="19" t="s">
        <v>87</v>
      </c>
    </row>
    <row r="202" spans="1:65" s="13" customFormat="1">
      <c r="B202" s="161"/>
      <c r="D202" s="153" t="s">
        <v>193</v>
      </c>
      <c r="E202" s="162" t="s">
        <v>3</v>
      </c>
      <c r="F202" s="163" t="s">
        <v>687</v>
      </c>
      <c r="H202" s="164">
        <v>144</v>
      </c>
      <c r="I202" s="165"/>
      <c r="L202" s="161"/>
      <c r="M202" s="166"/>
      <c r="N202" s="167"/>
      <c r="O202" s="167"/>
      <c r="P202" s="167"/>
      <c r="Q202" s="167"/>
      <c r="R202" s="167"/>
      <c r="S202" s="167"/>
      <c r="T202" s="168"/>
      <c r="AT202" s="162" t="s">
        <v>193</v>
      </c>
      <c r="AU202" s="162" t="s">
        <v>87</v>
      </c>
      <c r="AV202" s="13" t="s">
        <v>87</v>
      </c>
      <c r="AW202" s="13" t="s">
        <v>36</v>
      </c>
      <c r="AX202" s="13" t="s">
        <v>77</v>
      </c>
      <c r="AY202" s="162" t="s">
        <v>177</v>
      </c>
    </row>
    <row r="203" spans="1:65" s="16" customFormat="1">
      <c r="B203" s="184"/>
      <c r="D203" s="153" t="s">
        <v>193</v>
      </c>
      <c r="E203" s="185" t="s">
        <v>3</v>
      </c>
      <c r="F203" s="186" t="s">
        <v>201</v>
      </c>
      <c r="H203" s="187">
        <v>144</v>
      </c>
      <c r="I203" s="188"/>
      <c r="L203" s="184"/>
      <c r="M203" s="189"/>
      <c r="N203" s="190"/>
      <c r="O203" s="190"/>
      <c r="P203" s="190"/>
      <c r="Q203" s="190"/>
      <c r="R203" s="190"/>
      <c r="S203" s="190"/>
      <c r="T203" s="191"/>
      <c r="AT203" s="185" t="s">
        <v>193</v>
      </c>
      <c r="AU203" s="185" t="s">
        <v>87</v>
      </c>
      <c r="AV203" s="16" t="s">
        <v>185</v>
      </c>
      <c r="AW203" s="16" t="s">
        <v>36</v>
      </c>
      <c r="AX203" s="16" t="s">
        <v>85</v>
      </c>
      <c r="AY203" s="185" t="s">
        <v>177</v>
      </c>
    </row>
    <row r="204" spans="1:65" s="2" customFormat="1" ht="16.5" customHeight="1">
      <c r="A204" s="34"/>
      <c r="B204" s="139"/>
      <c r="C204" s="140" t="s">
        <v>8</v>
      </c>
      <c r="D204" s="140" t="s">
        <v>180</v>
      </c>
      <c r="E204" s="141" t="s">
        <v>339</v>
      </c>
      <c r="F204" s="142" t="s">
        <v>340</v>
      </c>
      <c r="G204" s="143" t="s">
        <v>332</v>
      </c>
      <c r="H204" s="144">
        <v>144</v>
      </c>
      <c r="I204" s="145"/>
      <c r="J204" s="146">
        <f>ROUND(I204*H204,2)</f>
        <v>0</v>
      </c>
      <c r="K204" s="142" t="s">
        <v>184</v>
      </c>
      <c r="L204" s="35"/>
      <c r="M204" s="147" t="s">
        <v>3</v>
      </c>
      <c r="N204" s="148" t="s">
        <v>48</v>
      </c>
      <c r="O204" s="55"/>
      <c r="P204" s="149">
        <f>O204*H204</f>
        <v>0</v>
      </c>
      <c r="Q204" s="149">
        <v>3.4999999999999997E-5</v>
      </c>
      <c r="R204" s="149">
        <f>Q204*H204</f>
        <v>5.0399999999999993E-3</v>
      </c>
      <c r="S204" s="149">
        <v>0</v>
      </c>
      <c r="T204" s="150">
        <f>S204*H204</f>
        <v>0</v>
      </c>
      <c r="U204" s="34"/>
      <c r="V204" s="34"/>
      <c r="W204" s="34"/>
      <c r="X204" s="34"/>
      <c r="Y204" s="34"/>
      <c r="Z204" s="34"/>
      <c r="AA204" s="34"/>
      <c r="AB204" s="34"/>
      <c r="AC204" s="34"/>
      <c r="AD204" s="34"/>
      <c r="AE204" s="34"/>
      <c r="AR204" s="151" t="s">
        <v>185</v>
      </c>
      <c r="AT204" s="151" t="s">
        <v>180</v>
      </c>
      <c r="AU204" s="151" t="s">
        <v>87</v>
      </c>
      <c r="AY204" s="19" t="s">
        <v>177</v>
      </c>
      <c r="BE204" s="152">
        <f>IF(N204="základní",J204,0)</f>
        <v>0</v>
      </c>
      <c r="BF204" s="152">
        <f>IF(N204="snížená",J204,0)</f>
        <v>0</v>
      </c>
      <c r="BG204" s="152">
        <f>IF(N204="zákl. přenesená",J204,0)</f>
        <v>0</v>
      </c>
      <c r="BH204" s="152">
        <f>IF(N204="sníž. přenesená",J204,0)</f>
        <v>0</v>
      </c>
      <c r="BI204" s="152">
        <f>IF(N204="nulová",J204,0)</f>
        <v>0</v>
      </c>
      <c r="BJ204" s="19" t="s">
        <v>85</v>
      </c>
      <c r="BK204" s="152">
        <f>ROUND(I204*H204,2)</f>
        <v>0</v>
      </c>
      <c r="BL204" s="19" t="s">
        <v>185</v>
      </c>
      <c r="BM204" s="151" t="s">
        <v>688</v>
      </c>
    </row>
    <row r="205" spans="1:65" s="2" customFormat="1">
      <c r="A205" s="34"/>
      <c r="B205" s="35"/>
      <c r="C205" s="34"/>
      <c r="D205" s="153" t="s">
        <v>187</v>
      </c>
      <c r="E205" s="34"/>
      <c r="F205" s="154" t="s">
        <v>342</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187</v>
      </c>
      <c r="AU205" s="19" t="s">
        <v>87</v>
      </c>
    </row>
    <row r="206" spans="1:65" s="2" customFormat="1">
      <c r="A206" s="34"/>
      <c r="B206" s="35"/>
      <c r="C206" s="34"/>
      <c r="D206" s="158" t="s">
        <v>189</v>
      </c>
      <c r="E206" s="34"/>
      <c r="F206" s="159" t="s">
        <v>343</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189</v>
      </c>
      <c r="AU206" s="19" t="s">
        <v>87</v>
      </c>
    </row>
    <row r="207" spans="1:65" s="2" customFormat="1" ht="165.75">
      <c r="A207" s="34"/>
      <c r="B207" s="35"/>
      <c r="C207" s="34"/>
      <c r="D207" s="153" t="s">
        <v>191</v>
      </c>
      <c r="E207" s="34"/>
      <c r="F207" s="160" t="s">
        <v>344</v>
      </c>
      <c r="G207" s="34"/>
      <c r="H207" s="34"/>
      <c r="I207" s="155"/>
      <c r="J207" s="34"/>
      <c r="K207" s="34"/>
      <c r="L207" s="35"/>
      <c r="M207" s="156"/>
      <c r="N207" s="157"/>
      <c r="O207" s="55"/>
      <c r="P207" s="55"/>
      <c r="Q207" s="55"/>
      <c r="R207" s="55"/>
      <c r="S207" s="55"/>
      <c r="T207" s="56"/>
      <c r="U207" s="34"/>
      <c r="V207" s="34"/>
      <c r="W207" s="34"/>
      <c r="X207" s="34"/>
      <c r="Y207" s="34"/>
      <c r="Z207" s="34"/>
      <c r="AA207" s="34"/>
      <c r="AB207" s="34"/>
      <c r="AC207" s="34"/>
      <c r="AD207" s="34"/>
      <c r="AE207" s="34"/>
      <c r="AT207" s="19" t="s">
        <v>191</v>
      </c>
      <c r="AU207" s="19" t="s">
        <v>87</v>
      </c>
    </row>
    <row r="208" spans="1:65" s="2" customFormat="1" ht="16.5" customHeight="1">
      <c r="A208" s="34"/>
      <c r="B208" s="139"/>
      <c r="C208" s="140" t="s">
        <v>483</v>
      </c>
      <c r="D208" s="140" t="s">
        <v>180</v>
      </c>
      <c r="E208" s="141" t="s">
        <v>689</v>
      </c>
      <c r="F208" s="142" t="s">
        <v>690</v>
      </c>
      <c r="G208" s="143" t="s">
        <v>332</v>
      </c>
      <c r="H208" s="144">
        <v>24</v>
      </c>
      <c r="I208" s="145"/>
      <c r="J208" s="146">
        <f>ROUND(I208*H208,2)</f>
        <v>0</v>
      </c>
      <c r="K208" s="142" t="s">
        <v>184</v>
      </c>
      <c r="L208" s="35"/>
      <c r="M208" s="147" t="s">
        <v>3</v>
      </c>
      <c r="N208" s="148" t="s">
        <v>48</v>
      </c>
      <c r="O208" s="55"/>
      <c r="P208" s="149">
        <f>O208*H208</f>
        <v>0</v>
      </c>
      <c r="Q208" s="149">
        <v>0</v>
      </c>
      <c r="R208" s="149">
        <f>Q208*H208</f>
        <v>0</v>
      </c>
      <c r="S208" s="149">
        <v>0</v>
      </c>
      <c r="T208" s="150">
        <f>S208*H208</f>
        <v>0</v>
      </c>
      <c r="U208" s="34"/>
      <c r="V208" s="34"/>
      <c r="W208" s="34"/>
      <c r="X208" s="34"/>
      <c r="Y208" s="34"/>
      <c r="Z208" s="34"/>
      <c r="AA208" s="34"/>
      <c r="AB208" s="34"/>
      <c r="AC208" s="34"/>
      <c r="AD208" s="34"/>
      <c r="AE208" s="34"/>
      <c r="AR208" s="151" t="s">
        <v>185</v>
      </c>
      <c r="AT208" s="151" t="s">
        <v>180</v>
      </c>
      <c r="AU208" s="151" t="s">
        <v>87</v>
      </c>
      <c r="AY208" s="19" t="s">
        <v>177</v>
      </c>
      <c r="BE208" s="152">
        <f>IF(N208="základní",J208,0)</f>
        <v>0</v>
      </c>
      <c r="BF208" s="152">
        <f>IF(N208="snížená",J208,0)</f>
        <v>0</v>
      </c>
      <c r="BG208" s="152">
        <f>IF(N208="zákl. přenesená",J208,0)</f>
        <v>0</v>
      </c>
      <c r="BH208" s="152">
        <f>IF(N208="sníž. přenesená",J208,0)</f>
        <v>0</v>
      </c>
      <c r="BI208" s="152">
        <f>IF(N208="nulová",J208,0)</f>
        <v>0</v>
      </c>
      <c r="BJ208" s="19" t="s">
        <v>85</v>
      </c>
      <c r="BK208" s="152">
        <f>ROUND(I208*H208,2)</f>
        <v>0</v>
      </c>
      <c r="BL208" s="19" t="s">
        <v>185</v>
      </c>
      <c r="BM208" s="151" t="s">
        <v>691</v>
      </c>
    </row>
    <row r="209" spans="1:65" s="2" customFormat="1">
      <c r="A209" s="34"/>
      <c r="B209" s="35"/>
      <c r="C209" s="34"/>
      <c r="D209" s="153" t="s">
        <v>187</v>
      </c>
      <c r="E209" s="34"/>
      <c r="F209" s="154" t="s">
        <v>692</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187</v>
      </c>
      <c r="AU209" s="19" t="s">
        <v>87</v>
      </c>
    </row>
    <row r="210" spans="1:65" s="2" customFormat="1">
      <c r="A210" s="34"/>
      <c r="B210" s="35"/>
      <c r="C210" s="34"/>
      <c r="D210" s="158" t="s">
        <v>189</v>
      </c>
      <c r="E210" s="34"/>
      <c r="F210" s="159" t="s">
        <v>693</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189</v>
      </c>
      <c r="AU210" s="19" t="s">
        <v>87</v>
      </c>
    </row>
    <row r="211" spans="1:65" s="2" customFormat="1" ht="195">
      <c r="A211" s="34"/>
      <c r="B211" s="35"/>
      <c r="C211" s="34"/>
      <c r="D211" s="153" t="s">
        <v>191</v>
      </c>
      <c r="E211" s="34"/>
      <c r="F211" s="160" t="s">
        <v>694</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191</v>
      </c>
      <c r="AU211" s="19" t="s">
        <v>87</v>
      </c>
    </row>
    <row r="212" spans="1:65" s="13" customFormat="1">
      <c r="B212" s="161"/>
      <c r="D212" s="153" t="s">
        <v>193</v>
      </c>
      <c r="E212" s="162" t="s">
        <v>3</v>
      </c>
      <c r="F212" s="163" t="s">
        <v>695</v>
      </c>
      <c r="H212" s="164">
        <v>24</v>
      </c>
      <c r="I212" s="165"/>
      <c r="L212" s="161"/>
      <c r="M212" s="166"/>
      <c r="N212" s="167"/>
      <c r="O212" s="167"/>
      <c r="P212" s="167"/>
      <c r="Q212" s="167"/>
      <c r="R212" s="167"/>
      <c r="S212" s="167"/>
      <c r="T212" s="168"/>
      <c r="AT212" s="162" t="s">
        <v>193</v>
      </c>
      <c r="AU212" s="162" t="s">
        <v>87</v>
      </c>
      <c r="AV212" s="13" t="s">
        <v>87</v>
      </c>
      <c r="AW212" s="13" t="s">
        <v>36</v>
      </c>
      <c r="AX212" s="13" t="s">
        <v>85</v>
      </c>
      <c r="AY212" s="162" t="s">
        <v>177</v>
      </c>
    </row>
    <row r="213" spans="1:65" s="2" customFormat="1" ht="16.5" customHeight="1">
      <c r="A213" s="34"/>
      <c r="B213" s="139"/>
      <c r="C213" s="140" t="s">
        <v>490</v>
      </c>
      <c r="D213" s="140" t="s">
        <v>180</v>
      </c>
      <c r="E213" s="141" t="s">
        <v>696</v>
      </c>
      <c r="F213" s="142" t="s">
        <v>697</v>
      </c>
      <c r="G213" s="143" t="s">
        <v>332</v>
      </c>
      <c r="H213" s="144">
        <v>24</v>
      </c>
      <c r="I213" s="145"/>
      <c r="J213" s="146">
        <f>ROUND(I213*H213,2)</f>
        <v>0</v>
      </c>
      <c r="K213" s="142" t="s">
        <v>184</v>
      </c>
      <c r="L213" s="35"/>
      <c r="M213" s="147" t="s">
        <v>3</v>
      </c>
      <c r="N213" s="148" t="s">
        <v>48</v>
      </c>
      <c r="O213" s="55"/>
      <c r="P213" s="149">
        <f>O213*H213</f>
        <v>0</v>
      </c>
      <c r="Q213" s="149">
        <v>6.9999999999999999E-6</v>
      </c>
      <c r="R213" s="149">
        <f>Q213*H213</f>
        <v>1.6799999999999999E-4</v>
      </c>
      <c r="S213" s="149">
        <v>0</v>
      </c>
      <c r="T213" s="150">
        <f>S213*H213</f>
        <v>0</v>
      </c>
      <c r="U213" s="34"/>
      <c r="V213" s="34"/>
      <c r="W213" s="34"/>
      <c r="X213" s="34"/>
      <c r="Y213" s="34"/>
      <c r="Z213" s="34"/>
      <c r="AA213" s="34"/>
      <c r="AB213" s="34"/>
      <c r="AC213" s="34"/>
      <c r="AD213" s="34"/>
      <c r="AE213" s="34"/>
      <c r="AR213" s="151" t="s">
        <v>185</v>
      </c>
      <c r="AT213" s="151" t="s">
        <v>180</v>
      </c>
      <c r="AU213" s="151" t="s">
        <v>87</v>
      </c>
      <c r="AY213" s="19" t="s">
        <v>177</v>
      </c>
      <c r="BE213" s="152">
        <f>IF(N213="základní",J213,0)</f>
        <v>0</v>
      </c>
      <c r="BF213" s="152">
        <f>IF(N213="snížená",J213,0)</f>
        <v>0</v>
      </c>
      <c r="BG213" s="152">
        <f>IF(N213="zákl. přenesená",J213,0)</f>
        <v>0</v>
      </c>
      <c r="BH213" s="152">
        <f>IF(N213="sníž. přenesená",J213,0)</f>
        <v>0</v>
      </c>
      <c r="BI213" s="152">
        <f>IF(N213="nulová",J213,0)</f>
        <v>0</v>
      </c>
      <c r="BJ213" s="19" t="s">
        <v>85</v>
      </c>
      <c r="BK213" s="152">
        <f>ROUND(I213*H213,2)</f>
        <v>0</v>
      </c>
      <c r="BL213" s="19" t="s">
        <v>185</v>
      </c>
      <c r="BM213" s="151" t="s">
        <v>698</v>
      </c>
    </row>
    <row r="214" spans="1:65" s="2" customFormat="1">
      <c r="A214" s="34"/>
      <c r="B214" s="35"/>
      <c r="C214" s="34"/>
      <c r="D214" s="153" t="s">
        <v>187</v>
      </c>
      <c r="E214" s="34"/>
      <c r="F214" s="154" t="s">
        <v>699</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187</v>
      </c>
      <c r="AU214" s="19" t="s">
        <v>87</v>
      </c>
    </row>
    <row r="215" spans="1:65" s="2" customFormat="1">
      <c r="A215" s="34"/>
      <c r="B215" s="35"/>
      <c r="C215" s="34"/>
      <c r="D215" s="158" t="s">
        <v>189</v>
      </c>
      <c r="E215" s="34"/>
      <c r="F215" s="159" t="s">
        <v>700</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189</v>
      </c>
      <c r="AU215" s="19" t="s">
        <v>87</v>
      </c>
    </row>
    <row r="216" spans="1:65" s="2" customFormat="1" ht="195">
      <c r="A216" s="34"/>
      <c r="B216" s="35"/>
      <c r="C216" s="34"/>
      <c r="D216" s="153" t="s">
        <v>191</v>
      </c>
      <c r="E216" s="34"/>
      <c r="F216" s="160" t="s">
        <v>694</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191</v>
      </c>
      <c r="AU216" s="19" t="s">
        <v>87</v>
      </c>
    </row>
    <row r="217" spans="1:65" s="2" customFormat="1" ht="21.75" customHeight="1">
      <c r="A217" s="34"/>
      <c r="B217" s="139"/>
      <c r="C217" s="140" t="s">
        <v>496</v>
      </c>
      <c r="D217" s="140" t="s">
        <v>180</v>
      </c>
      <c r="E217" s="141" t="s">
        <v>701</v>
      </c>
      <c r="F217" s="142" t="s">
        <v>702</v>
      </c>
      <c r="G217" s="143" t="s">
        <v>476</v>
      </c>
      <c r="H217" s="144">
        <v>48</v>
      </c>
      <c r="I217" s="145"/>
      <c r="J217" s="146">
        <f>ROUND(I217*H217,2)</f>
        <v>0</v>
      </c>
      <c r="K217" s="142" t="s">
        <v>184</v>
      </c>
      <c r="L217" s="35"/>
      <c r="M217" s="147" t="s">
        <v>3</v>
      </c>
      <c r="N217" s="148" t="s">
        <v>48</v>
      </c>
      <c r="O217" s="55"/>
      <c r="P217" s="149">
        <f>O217*H217</f>
        <v>0</v>
      </c>
      <c r="Q217" s="149">
        <v>2.3630499999999999E-2</v>
      </c>
      <c r="R217" s="149">
        <f>Q217*H217</f>
        <v>1.1342639999999999</v>
      </c>
      <c r="S217" s="149">
        <v>0</v>
      </c>
      <c r="T217" s="150">
        <f>S217*H217</f>
        <v>0</v>
      </c>
      <c r="U217" s="34"/>
      <c r="V217" s="34"/>
      <c r="W217" s="34"/>
      <c r="X217" s="34"/>
      <c r="Y217" s="34"/>
      <c r="Z217" s="34"/>
      <c r="AA217" s="34"/>
      <c r="AB217" s="34"/>
      <c r="AC217" s="34"/>
      <c r="AD217" s="34"/>
      <c r="AE217" s="34"/>
      <c r="AR217" s="151" t="s">
        <v>185</v>
      </c>
      <c r="AT217" s="151" t="s">
        <v>180</v>
      </c>
      <c r="AU217" s="151" t="s">
        <v>87</v>
      </c>
      <c r="AY217" s="19" t="s">
        <v>177</v>
      </c>
      <c r="BE217" s="152">
        <f>IF(N217="základní",J217,0)</f>
        <v>0</v>
      </c>
      <c r="BF217" s="152">
        <f>IF(N217="snížená",J217,0)</f>
        <v>0</v>
      </c>
      <c r="BG217" s="152">
        <f>IF(N217="zákl. přenesená",J217,0)</f>
        <v>0</v>
      </c>
      <c r="BH217" s="152">
        <f>IF(N217="sníž. přenesená",J217,0)</f>
        <v>0</v>
      </c>
      <c r="BI217" s="152">
        <f>IF(N217="nulová",J217,0)</f>
        <v>0</v>
      </c>
      <c r="BJ217" s="19" t="s">
        <v>85</v>
      </c>
      <c r="BK217" s="152">
        <f>ROUND(I217*H217,2)</f>
        <v>0</v>
      </c>
      <c r="BL217" s="19" t="s">
        <v>185</v>
      </c>
      <c r="BM217" s="151" t="s">
        <v>703</v>
      </c>
    </row>
    <row r="218" spans="1:65" s="2" customFormat="1" ht="19.5">
      <c r="A218" s="34"/>
      <c r="B218" s="35"/>
      <c r="C218" s="34"/>
      <c r="D218" s="153" t="s">
        <v>187</v>
      </c>
      <c r="E218" s="34"/>
      <c r="F218" s="154" t="s">
        <v>704</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187</v>
      </c>
      <c r="AU218" s="19" t="s">
        <v>87</v>
      </c>
    </row>
    <row r="219" spans="1:65" s="2" customFormat="1">
      <c r="A219" s="34"/>
      <c r="B219" s="35"/>
      <c r="C219" s="34"/>
      <c r="D219" s="158" t="s">
        <v>189</v>
      </c>
      <c r="E219" s="34"/>
      <c r="F219" s="159" t="s">
        <v>705</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189</v>
      </c>
      <c r="AU219" s="19" t="s">
        <v>87</v>
      </c>
    </row>
    <row r="220" spans="1:65" s="2" customFormat="1" ht="29.25">
      <c r="A220" s="34"/>
      <c r="B220" s="35"/>
      <c r="C220" s="34"/>
      <c r="D220" s="153" t="s">
        <v>191</v>
      </c>
      <c r="E220" s="34"/>
      <c r="F220" s="160" t="s">
        <v>706</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191</v>
      </c>
      <c r="AU220" s="19" t="s">
        <v>87</v>
      </c>
    </row>
    <row r="221" spans="1:65" s="13" customFormat="1">
      <c r="B221" s="161"/>
      <c r="D221" s="153" t="s">
        <v>193</v>
      </c>
      <c r="E221" s="162" t="s">
        <v>3</v>
      </c>
      <c r="F221" s="163" t="s">
        <v>605</v>
      </c>
      <c r="H221" s="164">
        <v>48</v>
      </c>
      <c r="I221" s="165"/>
      <c r="L221" s="161"/>
      <c r="M221" s="166"/>
      <c r="N221" s="167"/>
      <c r="O221" s="167"/>
      <c r="P221" s="167"/>
      <c r="Q221" s="167"/>
      <c r="R221" s="167"/>
      <c r="S221" s="167"/>
      <c r="T221" s="168"/>
      <c r="AT221" s="162" t="s">
        <v>193</v>
      </c>
      <c r="AU221" s="162" t="s">
        <v>87</v>
      </c>
      <c r="AV221" s="13" t="s">
        <v>87</v>
      </c>
      <c r="AW221" s="13" t="s">
        <v>36</v>
      </c>
      <c r="AX221" s="13" t="s">
        <v>85</v>
      </c>
      <c r="AY221" s="162" t="s">
        <v>177</v>
      </c>
    </row>
    <row r="222" spans="1:65" s="2" customFormat="1" ht="24.2" customHeight="1">
      <c r="A222" s="34"/>
      <c r="B222" s="139"/>
      <c r="C222" s="140" t="s">
        <v>502</v>
      </c>
      <c r="D222" s="140" t="s">
        <v>180</v>
      </c>
      <c r="E222" s="141" t="s">
        <v>707</v>
      </c>
      <c r="F222" s="142" t="s">
        <v>708</v>
      </c>
      <c r="G222" s="143" t="s">
        <v>476</v>
      </c>
      <c r="H222" s="144">
        <v>48</v>
      </c>
      <c r="I222" s="145"/>
      <c r="J222" s="146">
        <f>ROUND(I222*H222,2)</f>
        <v>0</v>
      </c>
      <c r="K222" s="142" t="s">
        <v>184</v>
      </c>
      <c r="L222" s="35"/>
      <c r="M222" s="147" t="s">
        <v>3</v>
      </c>
      <c r="N222" s="148" t="s">
        <v>48</v>
      </c>
      <c r="O222" s="55"/>
      <c r="P222" s="149">
        <f>O222*H222</f>
        <v>0</v>
      </c>
      <c r="Q222" s="149">
        <v>4.3225E-3</v>
      </c>
      <c r="R222" s="149">
        <f>Q222*H222</f>
        <v>0.20748</v>
      </c>
      <c r="S222" s="149">
        <v>0</v>
      </c>
      <c r="T222" s="150">
        <f>S222*H222</f>
        <v>0</v>
      </c>
      <c r="U222" s="34"/>
      <c r="V222" s="34"/>
      <c r="W222" s="34"/>
      <c r="X222" s="34"/>
      <c r="Y222" s="34"/>
      <c r="Z222" s="34"/>
      <c r="AA222" s="34"/>
      <c r="AB222" s="34"/>
      <c r="AC222" s="34"/>
      <c r="AD222" s="34"/>
      <c r="AE222" s="34"/>
      <c r="AR222" s="151" t="s">
        <v>185</v>
      </c>
      <c r="AT222" s="151" t="s">
        <v>180</v>
      </c>
      <c r="AU222" s="151" t="s">
        <v>87</v>
      </c>
      <c r="AY222" s="19" t="s">
        <v>177</v>
      </c>
      <c r="BE222" s="152">
        <f>IF(N222="základní",J222,0)</f>
        <v>0</v>
      </c>
      <c r="BF222" s="152">
        <f>IF(N222="snížená",J222,0)</f>
        <v>0</v>
      </c>
      <c r="BG222" s="152">
        <f>IF(N222="zákl. přenesená",J222,0)</f>
        <v>0</v>
      </c>
      <c r="BH222" s="152">
        <f>IF(N222="sníž. přenesená",J222,0)</f>
        <v>0</v>
      </c>
      <c r="BI222" s="152">
        <f>IF(N222="nulová",J222,0)</f>
        <v>0</v>
      </c>
      <c r="BJ222" s="19" t="s">
        <v>85</v>
      </c>
      <c r="BK222" s="152">
        <f>ROUND(I222*H222,2)</f>
        <v>0</v>
      </c>
      <c r="BL222" s="19" t="s">
        <v>185</v>
      </c>
      <c r="BM222" s="151" t="s">
        <v>709</v>
      </c>
    </row>
    <row r="223" spans="1:65" s="2" customFormat="1" ht="19.5">
      <c r="A223" s="34"/>
      <c r="B223" s="35"/>
      <c r="C223" s="34"/>
      <c r="D223" s="153" t="s">
        <v>187</v>
      </c>
      <c r="E223" s="34"/>
      <c r="F223" s="154" t="s">
        <v>710</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187</v>
      </c>
      <c r="AU223" s="19" t="s">
        <v>87</v>
      </c>
    </row>
    <row r="224" spans="1:65" s="2" customFormat="1">
      <c r="A224" s="34"/>
      <c r="B224" s="35"/>
      <c r="C224" s="34"/>
      <c r="D224" s="158" t="s">
        <v>189</v>
      </c>
      <c r="E224" s="34"/>
      <c r="F224" s="159" t="s">
        <v>711</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189</v>
      </c>
      <c r="AU224" s="19" t="s">
        <v>87</v>
      </c>
    </row>
    <row r="225" spans="1:65" s="2" customFormat="1" ht="29.25">
      <c r="A225" s="34"/>
      <c r="B225" s="35"/>
      <c r="C225" s="34"/>
      <c r="D225" s="153" t="s">
        <v>191</v>
      </c>
      <c r="E225" s="34"/>
      <c r="F225" s="160" t="s">
        <v>706</v>
      </c>
      <c r="G225" s="34"/>
      <c r="H225" s="34"/>
      <c r="I225" s="155"/>
      <c r="J225" s="34"/>
      <c r="K225" s="34"/>
      <c r="L225" s="35"/>
      <c r="M225" s="156"/>
      <c r="N225" s="157"/>
      <c r="O225" s="55"/>
      <c r="P225" s="55"/>
      <c r="Q225" s="55"/>
      <c r="R225" s="55"/>
      <c r="S225" s="55"/>
      <c r="T225" s="56"/>
      <c r="U225" s="34"/>
      <c r="V225" s="34"/>
      <c r="W225" s="34"/>
      <c r="X225" s="34"/>
      <c r="Y225" s="34"/>
      <c r="Z225" s="34"/>
      <c r="AA225" s="34"/>
      <c r="AB225" s="34"/>
      <c r="AC225" s="34"/>
      <c r="AD225" s="34"/>
      <c r="AE225" s="34"/>
      <c r="AT225" s="19" t="s">
        <v>191</v>
      </c>
      <c r="AU225" s="19" t="s">
        <v>87</v>
      </c>
    </row>
    <row r="226" spans="1:65" s="12" customFormat="1" ht="22.9" customHeight="1">
      <c r="B226" s="126"/>
      <c r="D226" s="127" t="s">
        <v>76</v>
      </c>
      <c r="E226" s="137" t="s">
        <v>518</v>
      </c>
      <c r="F226" s="137" t="s">
        <v>519</v>
      </c>
      <c r="I226" s="129"/>
      <c r="J226" s="138">
        <f>BK226</f>
        <v>0</v>
      </c>
      <c r="L226" s="126"/>
      <c r="M226" s="131"/>
      <c r="N226" s="132"/>
      <c r="O226" s="132"/>
      <c r="P226" s="133">
        <f>SUM(P227:P230)</f>
        <v>0</v>
      </c>
      <c r="Q226" s="132"/>
      <c r="R226" s="133">
        <f>SUM(R227:R230)</f>
        <v>0</v>
      </c>
      <c r="S226" s="132"/>
      <c r="T226" s="134">
        <f>SUM(T227:T230)</f>
        <v>0</v>
      </c>
      <c r="AR226" s="127" t="s">
        <v>85</v>
      </c>
      <c r="AT226" s="135" t="s">
        <v>76</v>
      </c>
      <c r="AU226" s="135" t="s">
        <v>85</v>
      </c>
      <c r="AY226" s="127" t="s">
        <v>177</v>
      </c>
      <c r="BK226" s="136">
        <f>SUM(BK227:BK230)</f>
        <v>0</v>
      </c>
    </row>
    <row r="227" spans="1:65" s="2" customFormat="1" ht="16.5" customHeight="1">
      <c r="A227" s="34"/>
      <c r="B227" s="139"/>
      <c r="C227" s="140" t="s">
        <v>504</v>
      </c>
      <c r="D227" s="140" t="s">
        <v>180</v>
      </c>
      <c r="E227" s="141" t="s">
        <v>521</v>
      </c>
      <c r="F227" s="142" t="s">
        <v>522</v>
      </c>
      <c r="G227" s="143" t="s">
        <v>183</v>
      </c>
      <c r="H227" s="144">
        <v>63.468000000000004</v>
      </c>
      <c r="I227" s="145"/>
      <c r="J227" s="146">
        <f>ROUND(I227*H227,2)</f>
        <v>0</v>
      </c>
      <c r="K227" s="142" t="s">
        <v>184</v>
      </c>
      <c r="L227" s="35"/>
      <c r="M227" s="147" t="s">
        <v>3</v>
      </c>
      <c r="N227" s="148" t="s">
        <v>48</v>
      </c>
      <c r="O227" s="55"/>
      <c r="P227" s="149">
        <f>O227*H227</f>
        <v>0</v>
      </c>
      <c r="Q227" s="149">
        <v>0</v>
      </c>
      <c r="R227" s="149">
        <f>Q227*H227</f>
        <v>0</v>
      </c>
      <c r="S227" s="149">
        <v>0</v>
      </c>
      <c r="T227" s="150">
        <f>S227*H227</f>
        <v>0</v>
      </c>
      <c r="U227" s="34"/>
      <c r="V227" s="34"/>
      <c r="W227" s="34"/>
      <c r="X227" s="34"/>
      <c r="Y227" s="34"/>
      <c r="Z227" s="34"/>
      <c r="AA227" s="34"/>
      <c r="AB227" s="34"/>
      <c r="AC227" s="34"/>
      <c r="AD227" s="34"/>
      <c r="AE227" s="34"/>
      <c r="AR227" s="151" t="s">
        <v>185</v>
      </c>
      <c r="AT227" s="151" t="s">
        <v>180</v>
      </c>
      <c r="AU227" s="151" t="s">
        <v>87</v>
      </c>
      <c r="AY227" s="19" t="s">
        <v>177</v>
      </c>
      <c r="BE227" s="152">
        <f>IF(N227="základní",J227,0)</f>
        <v>0</v>
      </c>
      <c r="BF227" s="152">
        <f>IF(N227="snížená",J227,0)</f>
        <v>0</v>
      </c>
      <c r="BG227" s="152">
        <f>IF(N227="zákl. přenesená",J227,0)</f>
        <v>0</v>
      </c>
      <c r="BH227" s="152">
        <f>IF(N227="sníž. přenesená",J227,0)</f>
        <v>0</v>
      </c>
      <c r="BI227" s="152">
        <f>IF(N227="nulová",J227,0)</f>
        <v>0</v>
      </c>
      <c r="BJ227" s="19" t="s">
        <v>85</v>
      </c>
      <c r="BK227" s="152">
        <f>ROUND(I227*H227,2)</f>
        <v>0</v>
      </c>
      <c r="BL227" s="19" t="s">
        <v>185</v>
      </c>
      <c r="BM227" s="151" t="s">
        <v>712</v>
      </c>
    </row>
    <row r="228" spans="1:65" s="2" customFormat="1" ht="19.5">
      <c r="A228" s="34"/>
      <c r="B228" s="35"/>
      <c r="C228" s="34"/>
      <c r="D228" s="153" t="s">
        <v>187</v>
      </c>
      <c r="E228" s="34"/>
      <c r="F228" s="154" t="s">
        <v>524</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187</v>
      </c>
      <c r="AU228" s="19" t="s">
        <v>87</v>
      </c>
    </row>
    <row r="229" spans="1:65" s="2" customFormat="1">
      <c r="A229" s="34"/>
      <c r="B229" s="35"/>
      <c r="C229" s="34"/>
      <c r="D229" s="158" t="s">
        <v>189</v>
      </c>
      <c r="E229" s="34"/>
      <c r="F229" s="159" t="s">
        <v>525</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189</v>
      </c>
      <c r="AU229" s="19" t="s">
        <v>87</v>
      </c>
    </row>
    <row r="230" spans="1:65" s="2" customFormat="1" ht="58.5">
      <c r="A230" s="34"/>
      <c r="B230" s="35"/>
      <c r="C230" s="34"/>
      <c r="D230" s="153" t="s">
        <v>191</v>
      </c>
      <c r="E230" s="34"/>
      <c r="F230" s="160" t="s">
        <v>526</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191</v>
      </c>
      <c r="AU230" s="19" t="s">
        <v>87</v>
      </c>
    </row>
    <row r="231" spans="1:65" s="12" customFormat="1" ht="25.9" customHeight="1">
      <c r="B231" s="126"/>
      <c r="D231" s="127" t="s">
        <v>76</v>
      </c>
      <c r="E231" s="128" t="s">
        <v>229</v>
      </c>
      <c r="F231" s="128" t="s">
        <v>230</v>
      </c>
      <c r="I231" s="129"/>
      <c r="J231" s="130">
        <f>BK231</f>
        <v>0</v>
      </c>
      <c r="L231" s="126"/>
      <c r="M231" s="131"/>
      <c r="N231" s="132"/>
      <c r="O231" s="132"/>
      <c r="P231" s="133">
        <f>P232+P279</f>
        <v>0</v>
      </c>
      <c r="Q231" s="132"/>
      <c r="R231" s="133">
        <f>R232+R279</f>
        <v>1.5539106549999999</v>
      </c>
      <c r="S231" s="132"/>
      <c r="T231" s="134">
        <f>T232+T279</f>
        <v>0</v>
      </c>
      <c r="AR231" s="127" t="s">
        <v>87</v>
      </c>
      <c r="AT231" s="135" t="s">
        <v>76</v>
      </c>
      <c r="AU231" s="135" t="s">
        <v>77</v>
      </c>
      <c r="AY231" s="127" t="s">
        <v>177</v>
      </c>
      <c r="BK231" s="136">
        <f>BK232+BK279</f>
        <v>0</v>
      </c>
    </row>
    <row r="232" spans="1:65" s="12" customFormat="1" ht="22.9" customHeight="1">
      <c r="B232" s="126"/>
      <c r="D232" s="127" t="s">
        <v>76</v>
      </c>
      <c r="E232" s="137" t="s">
        <v>713</v>
      </c>
      <c r="F232" s="137" t="s">
        <v>714</v>
      </c>
      <c r="I232" s="129"/>
      <c r="J232" s="138">
        <f>BK232</f>
        <v>0</v>
      </c>
      <c r="L232" s="126"/>
      <c r="M232" s="131"/>
      <c r="N232" s="132"/>
      <c r="O232" s="132"/>
      <c r="P232" s="133">
        <f>SUM(P233:P278)</f>
        <v>0</v>
      </c>
      <c r="Q232" s="132"/>
      <c r="R232" s="133">
        <f>SUM(R233:R278)</f>
        <v>1.240278655</v>
      </c>
      <c r="S232" s="132"/>
      <c r="T232" s="134">
        <f>SUM(T233:T278)</f>
        <v>0</v>
      </c>
      <c r="AR232" s="127" t="s">
        <v>87</v>
      </c>
      <c r="AT232" s="135" t="s">
        <v>76</v>
      </c>
      <c r="AU232" s="135" t="s">
        <v>85</v>
      </c>
      <c r="AY232" s="127" t="s">
        <v>177</v>
      </c>
      <c r="BK232" s="136">
        <f>SUM(BK233:BK278)</f>
        <v>0</v>
      </c>
    </row>
    <row r="233" spans="1:65" s="2" customFormat="1" ht="16.5" customHeight="1">
      <c r="A233" s="34"/>
      <c r="B233" s="139"/>
      <c r="C233" s="140" t="s">
        <v>507</v>
      </c>
      <c r="D233" s="140" t="s">
        <v>180</v>
      </c>
      <c r="E233" s="141" t="s">
        <v>715</v>
      </c>
      <c r="F233" s="142" t="s">
        <v>716</v>
      </c>
      <c r="G233" s="143" t="s">
        <v>332</v>
      </c>
      <c r="H233" s="144">
        <v>17.52</v>
      </c>
      <c r="I233" s="145"/>
      <c r="J233" s="146">
        <f>ROUND(I233*H233,2)</f>
        <v>0</v>
      </c>
      <c r="K233" s="142" t="s">
        <v>184</v>
      </c>
      <c r="L233" s="35"/>
      <c r="M233" s="147" t="s">
        <v>3</v>
      </c>
      <c r="N233" s="148" t="s">
        <v>48</v>
      </c>
      <c r="O233" s="55"/>
      <c r="P233" s="149">
        <f>O233*H233</f>
        <v>0</v>
      </c>
      <c r="Q233" s="149">
        <v>0</v>
      </c>
      <c r="R233" s="149">
        <f>Q233*H233</f>
        <v>0</v>
      </c>
      <c r="S233" s="149">
        <v>0</v>
      </c>
      <c r="T233" s="150">
        <f>S233*H233</f>
        <v>0</v>
      </c>
      <c r="U233" s="34"/>
      <c r="V233" s="34"/>
      <c r="W233" s="34"/>
      <c r="X233" s="34"/>
      <c r="Y233" s="34"/>
      <c r="Z233" s="34"/>
      <c r="AA233" s="34"/>
      <c r="AB233" s="34"/>
      <c r="AC233" s="34"/>
      <c r="AD233" s="34"/>
      <c r="AE233" s="34"/>
      <c r="AR233" s="151" t="s">
        <v>237</v>
      </c>
      <c r="AT233" s="151" t="s">
        <v>180</v>
      </c>
      <c r="AU233" s="151" t="s">
        <v>87</v>
      </c>
      <c r="AY233" s="19" t="s">
        <v>177</v>
      </c>
      <c r="BE233" s="152">
        <f>IF(N233="základní",J233,0)</f>
        <v>0</v>
      </c>
      <c r="BF233" s="152">
        <f>IF(N233="snížená",J233,0)</f>
        <v>0</v>
      </c>
      <c r="BG233" s="152">
        <f>IF(N233="zákl. přenesená",J233,0)</f>
        <v>0</v>
      </c>
      <c r="BH233" s="152">
        <f>IF(N233="sníž. přenesená",J233,0)</f>
        <v>0</v>
      </c>
      <c r="BI233" s="152">
        <f>IF(N233="nulová",J233,0)</f>
        <v>0</v>
      </c>
      <c r="BJ233" s="19" t="s">
        <v>85</v>
      </c>
      <c r="BK233" s="152">
        <f>ROUND(I233*H233,2)</f>
        <v>0</v>
      </c>
      <c r="BL233" s="19" t="s">
        <v>237</v>
      </c>
      <c r="BM233" s="151" t="s">
        <v>717</v>
      </c>
    </row>
    <row r="234" spans="1:65" s="2" customFormat="1">
      <c r="A234" s="34"/>
      <c r="B234" s="35"/>
      <c r="C234" s="34"/>
      <c r="D234" s="153" t="s">
        <v>187</v>
      </c>
      <c r="E234" s="34"/>
      <c r="F234" s="154" t="s">
        <v>718</v>
      </c>
      <c r="G234" s="34"/>
      <c r="H234" s="34"/>
      <c r="I234" s="155"/>
      <c r="J234" s="34"/>
      <c r="K234" s="34"/>
      <c r="L234" s="35"/>
      <c r="M234" s="156"/>
      <c r="N234" s="157"/>
      <c r="O234" s="55"/>
      <c r="P234" s="55"/>
      <c r="Q234" s="55"/>
      <c r="R234" s="55"/>
      <c r="S234" s="55"/>
      <c r="T234" s="56"/>
      <c r="U234" s="34"/>
      <c r="V234" s="34"/>
      <c r="W234" s="34"/>
      <c r="X234" s="34"/>
      <c r="Y234" s="34"/>
      <c r="Z234" s="34"/>
      <c r="AA234" s="34"/>
      <c r="AB234" s="34"/>
      <c r="AC234" s="34"/>
      <c r="AD234" s="34"/>
      <c r="AE234" s="34"/>
      <c r="AT234" s="19" t="s">
        <v>187</v>
      </c>
      <c r="AU234" s="19" t="s">
        <v>87</v>
      </c>
    </row>
    <row r="235" spans="1:65" s="2" customFormat="1">
      <c r="A235" s="34"/>
      <c r="B235" s="35"/>
      <c r="C235" s="34"/>
      <c r="D235" s="158" t="s">
        <v>189</v>
      </c>
      <c r="E235" s="34"/>
      <c r="F235" s="159" t="s">
        <v>719</v>
      </c>
      <c r="G235" s="34"/>
      <c r="H235" s="34"/>
      <c r="I235" s="155"/>
      <c r="J235" s="34"/>
      <c r="K235" s="34"/>
      <c r="L235" s="35"/>
      <c r="M235" s="156"/>
      <c r="N235" s="157"/>
      <c r="O235" s="55"/>
      <c r="P235" s="55"/>
      <c r="Q235" s="55"/>
      <c r="R235" s="55"/>
      <c r="S235" s="55"/>
      <c r="T235" s="56"/>
      <c r="U235" s="34"/>
      <c r="V235" s="34"/>
      <c r="W235" s="34"/>
      <c r="X235" s="34"/>
      <c r="Y235" s="34"/>
      <c r="Z235" s="34"/>
      <c r="AA235" s="34"/>
      <c r="AB235" s="34"/>
      <c r="AC235" s="34"/>
      <c r="AD235" s="34"/>
      <c r="AE235" s="34"/>
      <c r="AT235" s="19" t="s">
        <v>189</v>
      </c>
      <c r="AU235" s="19" t="s">
        <v>87</v>
      </c>
    </row>
    <row r="236" spans="1:65" s="2" customFormat="1" ht="29.25">
      <c r="A236" s="34"/>
      <c r="B236" s="35"/>
      <c r="C236" s="34"/>
      <c r="D236" s="153" t="s">
        <v>191</v>
      </c>
      <c r="E236" s="34"/>
      <c r="F236" s="160" t="s">
        <v>720</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191</v>
      </c>
      <c r="AU236" s="19" t="s">
        <v>87</v>
      </c>
    </row>
    <row r="237" spans="1:65" s="13" customFormat="1">
      <c r="B237" s="161"/>
      <c r="D237" s="153" t="s">
        <v>193</v>
      </c>
      <c r="E237" s="162" t="s">
        <v>3</v>
      </c>
      <c r="F237" s="163" t="s">
        <v>721</v>
      </c>
      <c r="H237" s="164">
        <v>14.52</v>
      </c>
      <c r="I237" s="165"/>
      <c r="L237" s="161"/>
      <c r="M237" s="166"/>
      <c r="N237" s="167"/>
      <c r="O237" s="167"/>
      <c r="P237" s="167"/>
      <c r="Q237" s="167"/>
      <c r="R237" s="167"/>
      <c r="S237" s="167"/>
      <c r="T237" s="168"/>
      <c r="AT237" s="162" t="s">
        <v>193</v>
      </c>
      <c r="AU237" s="162" t="s">
        <v>87</v>
      </c>
      <c r="AV237" s="13" t="s">
        <v>87</v>
      </c>
      <c r="AW237" s="13" t="s">
        <v>36</v>
      </c>
      <c r="AX237" s="13" t="s">
        <v>77</v>
      </c>
      <c r="AY237" s="162" t="s">
        <v>177</v>
      </c>
    </row>
    <row r="238" spans="1:65" s="13" customFormat="1">
      <c r="B238" s="161"/>
      <c r="D238" s="153" t="s">
        <v>193</v>
      </c>
      <c r="E238" s="162" t="s">
        <v>3</v>
      </c>
      <c r="F238" s="163" t="s">
        <v>722</v>
      </c>
      <c r="H238" s="164">
        <v>1.8</v>
      </c>
      <c r="I238" s="165"/>
      <c r="L238" s="161"/>
      <c r="M238" s="166"/>
      <c r="N238" s="167"/>
      <c r="O238" s="167"/>
      <c r="P238" s="167"/>
      <c r="Q238" s="167"/>
      <c r="R238" s="167"/>
      <c r="S238" s="167"/>
      <c r="T238" s="168"/>
      <c r="AT238" s="162" t="s">
        <v>193</v>
      </c>
      <c r="AU238" s="162" t="s">
        <v>87</v>
      </c>
      <c r="AV238" s="13" t="s">
        <v>87</v>
      </c>
      <c r="AW238" s="13" t="s">
        <v>36</v>
      </c>
      <c r="AX238" s="13" t="s">
        <v>77</v>
      </c>
      <c r="AY238" s="162" t="s">
        <v>177</v>
      </c>
    </row>
    <row r="239" spans="1:65" s="14" customFormat="1">
      <c r="B239" s="169"/>
      <c r="D239" s="153" t="s">
        <v>193</v>
      </c>
      <c r="E239" s="170" t="s">
        <v>3</v>
      </c>
      <c r="F239" s="171" t="s">
        <v>723</v>
      </c>
      <c r="H239" s="170" t="s">
        <v>3</v>
      </c>
      <c r="I239" s="172"/>
      <c r="L239" s="169"/>
      <c r="M239" s="173"/>
      <c r="N239" s="174"/>
      <c r="O239" s="174"/>
      <c r="P239" s="174"/>
      <c r="Q239" s="174"/>
      <c r="R239" s="174"/>
      <c r="S239" s="174"/>
      <c r="T239" s="175"/>
      <c r="AT239" s="170" t="s">
        <v>193</v>
      </c>
      <c r="AU239" s="170" t="s">
        <v>87</v>
      </c>
      <c r="AV239" s="14" t="s">
        <v>85</v>
      </c>
      <c r="AW239" s="14" t="s">
        <v>36</v>
      </c>
      <c r="AX239" s="14" t="s">
        <v>77</v>
      </c>
      <c r="AY239" s="170" t="s">
        <v>177</v>
      </c>
    </row>
    <row r="240" spans="1:65" s="13" customFormat="1">
      <c r="B240" s="161"/>
      <c r="D240" s="153" t="s">
        <v>193</v>
      </c>
      <c r="E240" s="162" t="s">
        <v>3</v>
      </c>
      <c r="F240" s="163" t="s">
        <v>724</v>
      </c>
      <c r="H240" s="164">
        <v>1.2</v>
      </c>
      <c r="I240" s="165"/>
      <c r="L240" s="161"/>
      <c r="M240" s="166"/>
      <c r="N240" s="167"/>
      <c r="O240" s="167"/>
      <c r="P240" s="167"/>
      <c r="Q240" s="167"/>
      <c r="R240" s="167"/>
      <c r="S240" s="167"/>
      <c r="T240" s="168"/>
      <c r="AT240" s="162" t="s">
        <v>193</v>
      </c>
      <c r="AU240" s="162" t="s">
        <v>87</v>
      </c>
      <c r="AV240" s="13" t="s">
        <v>87</v>
      </c>
      <c r="AW240" s="13" t="s">
        <v>36</v>
      </c>
      <c r="AX240" s="13" t="s">
        <v>77</v>
      </c>
      <c r="AY240" s="162" t="s">
        <v>177</v>
      </c>
    </row>
    <row r="241" spans="1:65" s="16" customFormat="1">
      <c r="B241" s="184"/>
      <c r="D241" s="153" t="s">
        <v>193</v>
      </c>
      <c r="E241" s="185" t="s">
        <v>3</v>
      </c>
      <c r="F241" s="186" t="s">
        <v>201</v>
      </c>
      <c r="H241" s="187">
        <v>17.52</v>
      </c>
      <c r="I241" s="188"/>
      <c r="L241" s="184"/>
      <c r="M241" s="189"/>
      <c r="N241" s="190"/>
      <c r="O241" s="190"/>
      <c r="P241" s="190"/>
      <c r="Q241" s="190"/>
      <c r="R241" s="190"/>
      <c r="S241" s="190"/>
      <c r="T241" s="191"/>
      <c r="AT241" s="185" t="s">
        <v>193</v>
      </c>
      <c r="AU241" s="185" t="s">
        <v>87</v>
      </c>
      <c r="AV241" s="16" t="s">
        <v>185</v>
      </c>
      <c r="AW241" s="16" t="s">
        <v>36</v>
      </c>
      <c r="AX241" s="16" t="s">
        <v>85</v>
      </c>
      <c r="AY241" s="185" t="s">
        <v>177</v>
      </c>
    </row>
    <row r="242" spans="1:65" s="2" customFormat="1" ht="16.5" customHeight="1">
      <c r="A242" s="34"/>
      <c r="B242" s="139"/>
      <c r="C242" s="140" t="s">
        <v>509</v>
      </c>
      <c r="D242" s="140" t="s">
        <v>180</v>
      </c>
      <c r="E242" s="141" t="s">
        <v>725</v>
      </c>
      <c r="F242" s="142" t="s">
        <v>726</v>
      </c>
      <c r="G242" s="143" t="s">
        <v>332</v>
      </c>
      <c r="H242" s="144">
        <v>65.5</v>
      </c>
      <c r="I242" s="145"/>
      <c r="J242" s="146">
        <f>ROUND(I242*H242,2)</f>
        <v>0</v>
      </c>
      <c r="K242" s="142" t="s">
        <v>184</v>
      </c>
      <c r="L242" s="35"/>
      <c r="M242" s="147" t="s">
        <v>3</v>
      </c>
      <c r="N242" s="148" t="s">
        <v>48</v>
      </c>
      <c r="O242" s="55"/>
      <c r="P242" s="149">
        <f>O242*H242</f>
        <v>0</v>
      </c>
      <c r="Q242" s="149">
        <v>0</v>
      </c>
      <c r="R242" s="149">
        <f>Q242*H242</f>
        <v>0</v>
      </c>
      <c r="S242" s="149">
        <v>0</v>
      </c>
      <c r="T242" s="150">
        <f>S242*H242</f>
        <v>0</v>
      </c>
      <c r="U242" s="34"/>
      <c r="V242" s="34"/>
      <c r="W242" s="34"/>
      <c r="X242" s="34"/>
      <c r="Y242" s="34"/>
      <c r="Z242" s="34"/>
      <c r="AA242" s="34"/>
      <c r="AB242" s="34"/>
      <c r="AC242" s="34"/>
      <c r="AD242" s="34"/>
      <c r="AE242" s="34"/>
      <c r="AR242" s="151" t="s">
        <v>237</v>
      </c>
      <c r="AT242" s="151" t="s">
        <v>180</v>
      </c>
      <c r="AU242" s="151" t="s">
        <v>87</v>
      </c>
      <c r="AY242" s="19" t="s">
        <v>177</v>
      </c>
      <c r="BE242" s="152">
        <f>IF(N242="základní",J242,0)</f>
        <v>0</v>
      </c>
      <c r="BF242" s="152">
        <f>IF(N242="snížená",J242,0)</f>
        <v>0</v>
      </c>
      <c r="BG242" s="152">
        <f>IF(N242="zákl. přenesená",J242,0)</f>
        <v>0</v>
      </c>
      <c r="BH242" s="152">
        <f>IF(N242="sníž. přenesená",J242,0)</f>
        <v>0</v>
      </c>
      <c r="BI242" s="152">
        <f>IF(N242="nulová",J242,0)</f>
        <v>0</v>
      </c>
      <c r="BJ242" s="19" t="s">
        <v>85</v>
      </c>
      <c r="BK242" s="152">
        <f>ROUND(I242*H242,2)</f>
        <v>0</v>
      </c>
      <c r="BL242" s="19" t="s">
        <v>237</v>
      </c>
      <c r="BM242" s="151" t="s">
        <v>727</v>
      </c>
    </row>
    <row r="243" spans="1:65" s="2" customFormat="1">
      <c r="A243" s="34"/>
      <c r="B243" s="35"/>
      <c r="C243" s="34"/>
      <c r="D243" s="153" t="s">
        <v>187</v>
      </c>
      <c r="E243" s="34"/>
      <c r="F243" s="154" t="s">
        <v>728</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187</v>
      </c>
      <c r="AU243" s="19" t="s">
        <v>87</v>
      </c>
    </row>
    <row r="244" spans="1:65" s="2" customFormat="1">
      <c r="A244" s="34"/>
      <c r="B244" s="35"/>
      <c r="C244" s="34"/>
      <c r="D244" s="158" t="s">
        <v>189</v>
      </c>
      <c r="E244" s="34"/>
      <c r="F244" s="159" t="s">
        <v>729</v>
      </c>
      <c r="G244" s="34"/>
      <c r="H244" s="34"/>
      <c r="I244" s="155"/>
      <c r="J244" s="34"/>
      <c r="K244" s="34"/>
      <c r="L244" s="35"/>
      <c r="M244" s="156"/>
      <c r="N244" s="157"/>
      <c r="O244" s="55"/>
      <c r="P244" s="55"/>
      <c r="Q244" s="55"/>
      <c r="R244" s="55"/>
      <c r="S244" s="55"/>
      <c r="T244" s="56"/>
      <c r="U244" s="34"/>
      <c r="V244" s="34"/>
      <c r="W244" s="34"/>
      <c r="X244" s="34"/>
      <c r="Y244" s="34"/>
      <c r="Z244" s="34"/>
      <c r="AA244" s="34"/>
      <c r="AB244" s="34"/>
      <c r="AC244" s="34"/>
      <c r="AD244" s="34"/>
      <c r="AE244" s="34"/>
      <c r="AT244" s="19" t="s">
        <v>189</v>
      </c>
      <c r="AU244" s="19" t="s">
        <v>87</v>
      </c>
    </row>
    <row r="245" spans="1:65" s="2" customFormat="1" ht="29.25">
      <c r="A245" s="34"/>
      <c r="B245" s="35"/>
      <c r="C245" s="34"/>
      <c r="D245" s="153" t="s">
        <v>191</v>
      </c>
      <c r="E245" s="34"/>
      <c r="F245" s="160" t="s">
        <v>720</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191</v>
      </c>
      <c r="AU245" s="19" t="s">
        <v>87</v>
      </c>
    </row>
    <row r="246" spans="1:65" s="13" customFormat="1">
      <c r="B246" s="161"/>
      <c r="D246" s="153" t="s">
        <v>193</v>
      </c>
      <c r="E246" s="162" t="s">
        <v>3</v>
      </c>
      <c r="F246" s="163" t="s">
        <v>730</v>
      </c>
      <c r="H246" s="164">
        <v>60.5</v>
      </c>
      <c r="I246" s="165"/>
      <c r="L246" s="161"/>
      <c r="M246" s="166"/>
      <c r="N246" s="167"/>
      <c r="O246" s="167"/>
      <c r="P246" s="167"/>
      <c r="Q246" s="167"/>
      <c r="R246" s="167"/>
      <c r="S246" s="167"/>
      <c r="T246" s="168"/>
      <c r="AT246" s="162" t="s">
        <v>193</v>
      </c>
      <c r="AU246" s="162" t="s">
        <v>87</v>
      </c>
      <c r="AV246" s="13" t="s">
        <v>87</v>
      </c>
      <c r="AW246" s="13" t="s">
        <v>36</v>
      </c>
      <c r="AX246" s="13" t="s">
        <v>77</v>
      </c>
      <c r="AY246" s="162" t="s">
        <v>177</v>
      </c>
    </row>
    <row r="247" spans="1:65" s="14" customFormat="1">
      <c r="B247" s="169"/>
      <c r="D247" s="153" t="s">
        <v>193</v>
      </c>
      <c r="E247" s="170" t="s">
        <v>3</v>
      </c>
      <c r="F247" s="171" t="s">
        <v>723</v>
      </c>
      <c r="H247" s="170" t="s">
        <v>3</v>
      </c>
      <c r="I247" s="172"/>
      <c r="L247" s="169"/>
      <c r="M247" s="173"/>
      <c r="N247" s="174"/>
      <c r="O247" s="174"/>
      <c r="P247" s="174"/>
      <c r="Q247" s="174"/>
      <c r="R247" s="174"/>
      <c r="S247" s="174"/>
      <c r="T247" s="175"/>
      <c r="AT247" s="170" t="s">
        <v>193</v>
      </c>
      <c r="AU247" s="170" t="s">
        <v>87</v>
      </c>
      <c r="AV247" s="14" t="s">
        <v>85</v>
      </c>
      <c r="AW247" s="14" t="s">
        <v>36</v>
      </c>
      <c r="AX247" s="14" t="s">
        <v>77</v>
      </c>
      <c r="AY247" s="170" t="s">
        <v>177</v>
      </c>
    </row>
    <row r="248" spans="1:65" s="13" customFormat="1">
      <c r="B248" s="161"/>
      <c r="D248" s="153" t="s">
        <v>193</v>
      </c>
      <c r="E248" s="162" t="s">
        <v>3</v>
      </c>
      <c r="F248" s="163" t="s">
        <v>731</v>
      </c>
      <c r="H248" s="164">
        <v>5</v>
      </c>
      <c r="I248" s="165"/>
      <c r="L248" s="161"/>
      <c r="M248" s="166"/>
      <c r="N248" s="167"/>
      <c r="O248" s="167"/>
      <c r="P248" s="167"/>
      <c r="Q248" s="167"/>
      <c r="R248" s="167"/>
      <c r="S248" s="167"/>
      <c r="T248" s="168"/>
      <c r="AT248" s="162" t="s">
        <v>193</v>
      </c>
      <c r="AU248" s="162" t="s">
        <v>87</v>
      </c>
      <c r="AV248" s="13" t="s">
        <v>87</v>
      </c>
      <c r="AW248" s="13" t="s">
        <v>36</v>
      </c>
      <c r="AX248" s="13" t="s">
        <v>77</v>
      </c>
      <c r="AY248" s="162" t="s">
        <v>177</v>
      </c>
    </row>
    <row r="249" spans="1:65" s="16" customFormat="1">
      <c r="B249" s="184"/>
      <c r="D249" s="153" t="s">
        <v>193</v>
      </c>
      <c r="E249" s="185" t="s">
        <v>3</v>
      </c>
      <c r="F249" s="186" t="s">
        <v>201</v>
      </c>
      <c r="H249" s="187">
        <v>65.5</v>
      </c>
      <c r="I249" s="188"/>
      <c r="L249" s="184"/>
      <c r="M249" s="189"/>
      <c r="N249" s="190"/>
      <c r="O249" s="190"/>
      <c r="P249" s="190"/>
      <c r="Q249" s="190"/>
      <c r="R249" s="190"/>
      <c r="S249" s="190"/>
      <c r="T249" s="191"/>
      <c r="AT249" s="185" t="s">
        <v>193</v>
      </c>
      <c r="AU249" s="185" t="s">
        <v>87</v>
      </c>
      <c r="AV249" s="16" t="s">
        <v>185</v>
      </c>
      <c r="AW249" s="16" t="s">
        <v>36</v>
      </c>
      <c r="AX249" s="16" t="s">
        <v>85</v>
      </c>
      <c r="AY249" s="185" t="s">
        <v>177</v>
      </c>
    </row>
    <row r="250" spans="1:65" s="2" customFormat="1" ht="16.5" customHeight="1">
      <c r="A250" s="34"/>
      <c r="B250" s="139"/>
      <c r="C250" s="195" t="s">
        <v>512</v>
      </c>
      <c r="D250" s="195" t="s">
        <v>484</v>
      </c>
      <c r="E250" s="196" t="s">
        <v>732</v>
      </c>
      <c r="F250" s="197" t="s">
        <v>733</v>
      </c>
      <c r="G250" s="198" t="s">
        <v>183</v>
      </c>
      <c r="H250" s="199">
        <v>3.6999999999999998E-2</v>
      </c>
      <c r="I250" s="200"/>
      <c r="J250" s="201">
        <f>ROUND(I250*H250,2)</f>
        <v>0</v>
      </c>
      <c r="K250" s="197" t="s">
        <v>184</v>
      </c>
      <c r="L250" s="202"/>
      <c r="M250" s="203" t="s">
        <v>3</v>
      </c>
      <c r="N250" s="204" t="s">
        <v>48</v>
      </c>
      <c r="O250" s="55"/>
      <c r="P250" s="149">
        <f>O250*H250</f>
        <v>0</v>
      </c>
      <c r="Q250" s="149">
        <v>1</v>
      </c>
      <c r="R250" s="149">
        <f>Q250*H250</f>
        <v>3.6999999999999998E-2</v>
      </c>
      <c r="S250" s="149">
        <v>0</v>
      </c>
      <c r="T250" s="150">
        <f>S250*H250</f>
        <v>0</v>
      </c>
      <c r="U250" s="34"/>
      <c r="V250" s="34"/>
      <c r="W250" s="34"/>
      <c r="X250" s="34"/>
      <c r="Y250" s="34"/>
      <c r="Z250" s="34"/>
      <c r="AA250" s="34"/>
      <c r="AB250" s="34"/>
      <c r="AC250" s="34"/>
      <c r="AD250" s="34"/>
      <c r="AE250" s="34"/>
      <c r="AR250" s="151" t="s">
        <v>537</v>
      </c>
      <c r="AT250" s="151" t="s">
        <v>484</v>
      </c>
      <c r="AU250" s="151" t="s">
        <v>87</v>
      </c>
      <c r="AY250" s="19" t="s">
        <v>177</v>
      </c>
      <c r="BE250" s="152">
        <f>IF(N250="základní",J250,0)</f>
        <v>0</v>
      </c>
      <c r="BF250" s="152">
        <f>IF(N250="snížená",J250,0)</f>
        <v>0</v>
      </c>
      <c r="BG250" s="152">
        <f>IF(N250="zákl. přenesená",J250,0)</f>
        <v>0</v>
      </c>
      <c r="BH250" s="152">
        <f>IF(N250="sníž. přenesená",J250,0)</f>
        <v>0</v>
      </c>
      <c r="BI250" s="152">
        <f>IF(N250="nulová",J250,0)</f>
        <v>0</v>
      </c>
      <c r="BJ250" s="19" t="s">
        <v>85</v>
      </c>
      <c r="BK250" s="152">
        <f>ROUND(I250*H250,2)</f>
        <v>0</v>
      </c>
      <c r="BL250" s="19" t="s">
        <v>237</v>
      </c>
      <c r="BM250" s="151" t="s">
        <v>734</v>
      </c>
    </row>
    <row r="251" spans="1:65" s="2" customFormat="1">
      <c r="A251" s="34"/>
      <c r="B251" s="35"/>
      <c r="C251" s="34"/>
      <c r="D251" s="153" t="s">
        <v>187</v>
      </c>
      <c r="E251" s="34"/>
      <c r="F251" s="154" t="s">
        <v>733</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187</v>
      </c>
      <c r="AU251" s="19" t="s">
        <v>87</v>
      </c>
    </row>
    <row r="252" spans="1:65" s="13" customFormat="1">
      <c r="B252" s="161"/>
      <c r="D252" s="153" t="s">
        <v>193</v>
      </c>
      <c r="E252" s="162" t="s">
        <v>3</v>
      </c>
      <c r="F252" s="163" t="s">
        <v>735</v>
      </c>
      <c r="H252" s="164">
        <v>83.02</v>
      </c>
      <c r="I252" s="165"/>
      <c r="L252" s="161"/>
      <c r="M252" s="166"/>
      <c r="N252" s="167"/>
      <c r="O252" s="167"/>
      <c r="P252" s="167"/>
      <c r="Q252" s="167"/>
      <c r="R252" s="167"/>
      <c r="S252" s="167"/>
      <c r="T252" s="168"/>
      <c r="AT252" s="162" t="s">
        <v>193</v>
      </c>
      <c r="AU252" s="162" t="s">
        <v>87</v>
      </c>
      <c r="AV252" s="13" t="s">
        <v>87</v>
      </c>
      <c r="AW252" s="13" t="s">
        <v>36</v>
      </c>
      <c r="AX252" s="13" t="s">
        <v>85</v>
      </c>
      <c r="AY252" s="162" t="s">
        <v>177</v>
      </c>
    </row>
    <row r="253" spans="1:65" s="13" customFormat="1">
      <c r="B253" s="161"/>
      <c r="D253" s="153" t="s">
        <v>193</v>
      </c>
      <c r="F253" s="163" t="s">
        <v>736</v>
      </c>
      <c r="H253" s="164">
        <v>3.6999999999999998E-2</v>
      </c>
      <c r="I253" s="165"/>
      <c r="L253" s="161"/>
      <c r="M253" s="166"/>
      <c r="N253" s="167"/>
      <c r="O253" s="167"/>
      <c r="P253" s="167"/>
      <c r="Q253" s="167"/>
      <c r="R253" s="167"/>
      <c r="S253" s="167"/>
      <c r="T253" s="168"/>
      <c r="AT253" s="162" t="s">
        <v>193</v>
      </c>
      <c r="AU253" s="162" t="s">
        <v>87</v>
      </c>
      <c r="AV253" s="13" t="s">
        <v>87</v>
      </c>
      <c r="AW253" s="13" t="s">
        <v>4</v>
      </c>
      <c r="AX253" s="13" t="s">
        <v>85</v>
      </c>
      <c r="AY253" s="162" t="s">
        <v>177</v>
      </c>
    </row>
    <row r="254" spans="1:65" s="2" customFormat="1" ht="16.5" customHeight="1">
      <c r="A254" s="34"/>
      <c r="B254" s="139"/>
      <c r="C254" s="140" t="s">
        <v>520</v>
      </c>
      <c r="D254" s="140" t="s">
        <v>180</v>
      </c>
      <c r="E254" s="141" t="s">
        <v>737</v>
      </c>
      <c r="F254" s="142" t="s">
        <v>738</v>
      </c>
      <c r="G254" s="143" t="s">
        <v>332</v>
      </c>
      <c r="H254" s="144">
        <v>35.04</v>
      </c>
      <c r="I254" s="145"/>
      <c r="J254" s="146">
        <f>ROUND(I254*H254,2)</f>
        <v>0</v>
      </c>
      <c r="K254" s="142" t="s">
        <v>184</v>
      </c>
      <c r="L254" s="35"/>
      <c r="M254" s="147" t="s">
        <v>3</v>
      </c>
      <c r="N254" s="148" t="s">
        <v>48</v>
      </c>
      <c r="O254" s="55"/>
      <c r="P254" s="149">
        <f>O254*H254</f>
        <v>0</v>
      </c>
      <c r="Q254" s="149">
        <v>3.9825E-4</v>
      </c>
      <c r="R254" s="149">
        <f>Q254*H254</f>
        <v>1.3954680000000001E-2</v>
      </c>
      <c r="S254" s="149">
        <v>0</v>
      </c>
      <c r="T254" s="150">
        <f>S254*H254</f>
        <v>0</v>
      </c>
      <c r="U254" s="34"/>
      <c r="V254" s="34"/>
      <c r="W254" s="34"/>
      <c r="X254" s="34"/>
      <c r="Y254" s="34"/>
      <c r="Z254" s="34"/>
      <c r="AA254" s="34"/>
      <c r="AB254" s="34"/>
      <c r="AC254" s="34"/>
      <c r="AD254" s="34"/>
      <c r="AE254" s="34"/>
      <c r="AR254" s="151" t="s">
        <v>237</v>
      </c>
      <c r="AT254" s="151" t="s">
        <v>180</v>
      </c>
      <c r="AU254" s="151" t="s">
        <v>87</v>
      </c>
      <c r="AY254" s="19" t="s">
        <v>177</v>
      </c>
      <c r="BE254" s="152">
        <f>IF(N254="základní",J254,0)</f>
        <v>0</v>
      </c>
      <c r="BF254" s="152">
        <f>IF(N254="snížená",J254,0)</f>
        <v>0</v>
      </c>
      <c r="BG254" s="152">
        <f>IF(N254="zákl. přenesená",J254,0)</f>
        <v>0</v>
      </c>
      <c r="BH254" s="152">
        <f>IF(N254="sníž. přenesená",J254,0)</f>
        <v>0</v>
      </c>
      <c r="BI254" s="152">
        <f>IF(N254="nulová",J254,0)</f>
        <v>0</v>
      </c>
      <c r="BJ254" s="19" t="s">
        <v>85</v>
      </c>
      <c r="BK254" s="152">
        <f>ROUND(I254*H254,2)</f>
        <v>0</v>
      </c>
      <c r="BL254" s="19" t="s">
        <v>237</v>
      </c>
      <c r="BM254" s="151" t="s">
        <v>739</v>
      </c>
    </row>
    <row r="255" spans="1:65" s="2" customFormat="1">
      <c r="A255" s="34"/>
      <c r="B255" s="35"/>
      <c r="C255" s="34"/>
      <c r="D255" s="153" t="s">
        <v>187</v>
      </c>
      <c r="E255" s="34"/>
      <c r="F255" s="154" t="s">
        <v>740</v>
      </c>
      <c r="G255" s="34"/>
      <c r="H255" s="34"/>
      <c r="I255" s="155"/>
      <c r="J255" s="34"/>
      <c r="K255" s="34"/>
      <c r="L255" s="35"/>
      <c r="M255" s="156"/>
      <c r="N255" s="157"/>
      <c r="O255" s="55"/>
      <c r="P255" s="55"/>
      <c r="Q255" s="55"/>
      <c r="R255" s="55"/>
      <c r="S255" s="55"/>
      <c r="T255" s="56"/>
      <c r="U255" s="34"/>
      <c r="V255" s="34"/>
      <c r="W255" s="34"/>
      <c r="X255" s="34"/>
      <c r="Y255" s="34"/>
      <c r="Z255" s="34"/>
      <c r="AA255" s="34"/>
      <c r="AB255" s="34"/>
      <c r="AC255" s="34"/>
      <c r="AD255" s="34"/>
      <c r="AE255" s="34"/>
      <c r="AT255" s="19" t="s">
        <v>187</v>
      </c>
      <c r="AU255" s="19" t="s">
        <v>87</v>
      </c>
    </row>
    <row r="256" spans="1:65" s="2" customFormat="1">
      <c r="A256" s="34"/>
      <c r="B256" s="35"/>
      <c r="C256" s="34"/>
      <c r="D256" s="158" t="s">
        <v>189</v>
      </c>
      <c r="E256" s="34"/>
      <c r="F256" s="159" t="s">
        <v>741</v>
      </c>
      <c r="G256" s="34"/>
      <c r="H256" s="34"/>
      <c r="I256" s="155"/>
      <c r="J256" s="34"/>
      <c r="K256" s="34"/>
      <c r="L256" s="35"/>
      <c r="M256" s="156"/>
      <c r="N256" s="157"/>
      <c r="O256" s="55"/>
      <c r="P256" s="55"/>
      <c r="Q256" s="55"/>
      <c r="R256" s="55"/>
      <c r="S256" s="55"/>
      <c r="T256" s="56"/>
      <c r="U256" s="34"/>
      <c r="V256" s="34"/>
      <c r="W256" s="34"/>
      <c r="X256" s="34"/>
      <c r="Y256" s="34"/>
      <c r="Z256" s="34"/>
      <c r="AA256" s="34"/>
      <c r="AB256" s="34"/>
      <c r="AC256" s="34"/>
      <c r="AD256" s="34"/>
      <c r="AE256" s="34"/>
      <c r="AT256" s="19" t="s">
        <v>189</v>
      </c>
      <c r="AU256" s="19" t="s">
        <v>87</v>
      </c>
    </row>
    <row r="257" spans="1:65" s="2" customFormat="1" ht="29.25">
      <c r="A257" s="34"/>
      <c r="B257" s="35"/>
      <c r="C257" s="34"/>
      <c r="D257" s="153" t="s">
        <v>191</v>
      </c>
      <c r="E257" s="34"/>
      <c r="F257" s="160" t="s">
        <v>742</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191</v>
      </c>
      <c r="AU257" s="19" t="s">
        <v>87</v>
      </c>
    </row>
    <row r="258" spans="1:65" s="13" customFormat="1">
      <c r="B258" s="161"/>
      <c r="D258" s="153" t="s">
        <v>193</v>
      </c>
      <c r="E258" s="162" t="s">
        <v>3</v>
      </c>
      <c r="F258" s="163" t="s">
        <v>743</v>
      </c>
      <c r="H258" s="164">
        <v>35.04</v>
      </c>
      <c r="I258" s="165"/>
      <c r="L258" s="161"/>
      <c r="M258" s="166"/>
      <c r="N258" s="167"/>
      <c r="O258" s="167"/>
      <c r="P258" s="167"/>
      <c r="Q258" s="167"/>
      <c r="R258" s="167"/>
      <c r="S258" s="167"/>
      <c r="T258" s="168"/>
      <c r="AT258" s="162" t="s">
        <v>193</v>
      </c>
      <c r="AU258" s="162" t="s">
        <v>87</v>
      </c>
      <c r="AV258" s="13" t="s">
        <v>87</v>
      </c>
      <c r="AW258" s="13" t="s">
        <v>36</v>
      </c>
      <c r="AX258" s="13" t="s">
        <v>85</v>
      </c>
      <c r="AY258" s="162" t="s">
        <v>177</v>
      </c>
    </row>
    <row r="259" spans="1:65" s="2" customFormat="1" ht="16.5" customHeight="1">
      <c r="A259" s="34"/>
      <c r="B259" s="139"/>
      <c r="C259" s="140" t="s">
        <v>527</v>
      </c>
      <c r="D259" s="140" t="s">
        <v>180</v>
      </c>
      <c r="E259" s="141" t="s">
        <v>744</v>
      </c>
      <c r="F259" s="142" t="s">
        <v>745</v>
      </c>
      <c r="G259" s="143" t="s">
        <v>332</v>
      </c>
      <c r="H259" s="144">
        <v>143.1</v>
      </c>
      <c r="I259" s="145"/>
      <c r="J259" s="146">
        <f>ROUND(I259*H259,2)</f>
        <v>0</v>
      </c>
      <c r="K259" s="142" t="s">
        <v>184</v>
      </c>
      <c r="L259" s="35"/>
      <c r="M259" s="147" t="s">
        <v>3</v>
      </c>
      <c r="N259" s="148" t="s">
        <v>48</v>
      </c>
      <c r="O259" s="55"/>
      <c r="P259" s="149">
        <f>O259*H259</f>
        <v>0</v>
      </c>
      <c r="Q259" s="149">
        <v>3.9825E-4</v>
      </c>
      <c r="R259" s="149">
        <f>Q259*H259</f>
        <v>5.6989575000000001E-2</v>
      </c>
      <c r="S259" s="149">
        <v>0</v>
      </c>
      <c r="T259" s="150">
        <f>S259*H259</f>
        <v>0</v>
      </c>
      <c r="U259" s="34"/>
      <c r="V259" s="34"/>
      <c r="W259" s="34"/>
      <c r="X259" s="34"/>
      <c r="Y259" s="34"/>
      <c r="Z259" s="34"/>
      <c r="AA259" s="34"/>
      <c r="AB259" s="34"/>
      <c r="AC259" s="34"/>
      <c r="AD259" s="34"/>
      <c r="AE259" s="34"/>
      <c r="AR259" s="151" t="s">
        <v>237</v>
      </c>
      <c r="AT259" s="151" t="s">
        <v>180</v>
      </c>
      <c r="AU259" s="151" t="s">
        <v>87</v>
      </c>
      <c r="AY259" s="19" t="s">
        <v>177</v>
      </c>
      <c r="BE259" s="152">
        <f>IF(N259="základní",J259,0)</f>
        <v>0</v>
      </c>
      <c r="BF259" s="152">
        <f>IF(N259="snížená",J259,0)</f>
        <v>0</v>
      </c>
      <c r="BG259" s="152">
        <f>IF(N259="zákl. přenesená",J259,0)</f>
        <v>0</v>
      </c>
      <c r="BH259" s="152">
        <f>IF(N259="sníž. přenesená",J259,0)</f>
        <v>0</v>
      </c>
      <c r="BI259" s="152">
        <f>IF(N259="nulová",J259,0)</f>
        <v>0</v>
      </c>
      <c r="BJ259" s="19" t="s">
        <v>85</v>
      </c>
      <c r="BK259" s="152">
        <f>ROUND(I259*H259,2)</f>
        <v>0</v>
      </c>
      <c r="BL259" s="19" t="s">
        <v>237</v>
      </c>
      <c r="BM259" s="151" t="s">
        <v>746</v>
      </c>
    </row>
    <row r="260" spans="1:65" s="2" customFormat="1">
      <c r="A260" s="34"/>
      <c r="B260" s="35"/>
      <c r="C260" s="34"/>
      <c r="D260" s="153" t="s">
        <v>187</v>
      </c>
      <c r="E260" s="34"/>
      <c r="F260" s="154" t="s">
        <v>747</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187</v>
      </c>
      <c r="AU260" s="19" t="s">
        <v>87</v>
      </c>
    </row>
    <row r="261" spans="1:65" s="2" customFormat="1">
      <c r="A261" s="34"/>
      <c r="B261" s="35"/>
      <c r="C261" s="34"/>
      <c r="D261" s="158" t="s">
        <v>189</v>
      </c>
      <c r="E261" s="34"/>
      <c r="F261" s="159" t="s">
        <v>748</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189</v>
      </c>
      <c r="AU261" s="19" t="s">
        <v>87</v>
      </c>
    </row>
    <row r="262" spans="1:65" s="2" customFormat="1" ht="29.25">
      <c r="A262" s="34"/>
      <c r="B262" s="35"/>
      <c r="C262" s="34"/>
      <c r="D262" s="153" t="s">
        <v>191</v>
      </c>
      <c r="E262" s="34"/>
      <c r="F262" s="160" t="s">
        <v>742</v>
      </c>
      <c r="G262" s="34"/>
      <c r="H262" s="34"/>
      <c r="I262" s="155"/>
      <c r="J262" s="34"/>
      <c r="K262" s="34"/>
      <c r="L262" s="35"/>
      <c r="M262" s="156"/>
      <c r="N262" s="157"/>
      <c r="O262" s="55"/>
      <c r="P262" s="55"/>
      <c r="Q262" s="55"/>
      <c r="R262" s="55"/>
      <c r="S262" s="55"/>
      <c r="T262" s="56"/>
      <c r="U262" s="34"/>
      <c r="V262" s="34"/>
      <c r="W262" s="34"/>
      <c r="X262" s="34"/>
      <c r="Y262" s="34"/>
      <c r="Z262" s="34"/>
      <c r="AA262" s="34"/>
      <c r="AB262" s="34"/>
      <c r="AC262" s="34"/>
      <c r="AD262" s="34"/>
      <c r="AE262" s="34"/>
      <c r="AT262" s="19" t="s">
        <v>191</v>
      </c>
      <c r="AU262" s="19" t="s">
        <v>87</v>
      </c>
    </row>
    <row r="263" spans="1:65" s="13" customFormat="1">
      <c r="B263" s="161"/>
      <c r="D263" s="153" t="s">
        <v>193</v>
      </c>
      <c r="E263" s="162" t="s">
        <v>3</v>
      </c>
      <c r="F263" s="163" t="s">
        <v>749</v>
      </c>
      <c r="H263" s="164">
        <v>131</v>
      </c>
      <c r="I263" s="165"/>
      <c r="L263" s="161"/>
      <c r="M263" s="166"/>
      <c r="N263" s="167"/>
      <c r="O263" s="167"/>
      <c r="P263" s="167"/>
      <c r="Q263" s="167"/>
      <c r="R263" s="167"/>
      <c r="S263" s="167"/>
      <c r="T263" s="168"/>
      <c r="AT263" s="162" t="s">
        <v>193</v>
      </c>
      <c r="AU263" s="162" t="s">
        <v>87</v>
      </c>
      <c r="AV263" s="13" t="s">
        <v>87</v>
      </c>
      <c r="AW263" s="13" t="s">
        <v>36</v>
      </c>
      <c r="AX263" s="13" t="s">
        <v>77</v>
      </c>
      <c r="AY263" s="162" t="s">
        <v>177</v>
      </c>
    </row>
    <row r="264" spans="1:65" s="14" customFormat="1">
      <c r="B264" s="169"/>
      <c r="D264" s="153" t="s">
        <v>193</v>
      </c>
      <c r="E264" s="170" t="s">
        <v>3</v>
      </c>
      <c r="F264" s="171" t="s">
        <v>750</v>
      </c>
      <c r="H264" s="170" t="s">
        <v>3</v>
      </c>
      <c r="I264" s="172"/>
      <c r="L264" s="169"/>
      <c r="M264" s="173"/>
      <c r="N264" s="174"/>
      <c r="O264" s="174"/>
      <c r="P264" s="174"/>
      <c r="Q264" s="174"/>
      <c r="R264" s="174"/>
      <c r="S264" s="174"/>
      <c r="T264" s="175"/>
      <c r="AT264" s="170" t="s">
        <v>193</v>
      </c>
      <c r="AU264" s="170" t="s">
        <v>87</v>
      </c>
      <c r="AV264" s="14" t="s">
        <v>85</v>
      </c>
      <c r="AW264" s="14" t="s">
        <v>36</v>
      </c>
      <c r="AX264" s="14" t="s">
        <v>77</v>
      </c>
      <c r="AY264" s="170" t="s">
        <v>177</v>
      </c>
    </row>
    <row r="265" spans="1:65" s="13" customFormat="1">
      <c r="B265" s="161"/>
      <c r="D265" s="153" t="s">
        <v>193</v>
      </c>
      <c r="E265" s="162" t="s">
        <v>3</v>
      </c>
      <c r="F265" s="163" t="s">
        <v>751</v>
      </c>
      <c r="H265" s="164">
        <v>12.1</v>
      </c>
      <c r="I265" s="165"/>
      <c r="L265" s="161"/>
      <c r="M265" s="166"/>
      <c r="N265" s="167"/>
      <c r="O265" s="167"/>
      <c r="P265" s="167"/>
      <c r="Q265" s="167"/>
      <c r="R265" s="167"/>
      <c r="S265" s="167"/>
      <c r="T265" s="168"/>
      <c r="AT265" s="162" t="s">
        <v>193</v>
      </c>
      <c r="AU265" s="162" t="s">
        <v>87</v>
      </c>
      <c r="AV265" s="13" t="s">
        <v>87</v>
      </c>
      <c r="AW265" s="13" t="s">
        <v>36</v>
      </c>
      <c r="AX265" s="13" t="s">
        <v>77</v>
      </c>
      <c r="AY265" s="162" t="s">
        <v>177</v>
      </c>
    </row>
    <row r="266" spans="1:65" s="16" customFormat="1">
      <c r="B266" s="184"/>
      <c r="D266" s="153" t="s">
        <v>193</v>
      </c>
      <c r="E266" s="185" t="s">
        <v>3</v>
      </c>
      <c r="F266" s="186" t="s">
        <v>201</v>
      </c>
      <c r="H266" s="187">
        <v>143.1</v>
      </c>
      <c r="I266" s="188"/>
      <c r="L266" s="184"/>
      <c r="M266" s="189"/>
      <c r="N266" s="190"/>
      <c r="O266" s="190"/>
      <c r="P266" s="190"/>
      <c r="Q266" s="190"/>
      <c r="R266" s="190"/>
      <c r="S266" s="190"/>
      <c r="T266" s="191"/>
      <c r="AT266" s="185" t="s">
        <v>193</v>
      </c>
      <c r="AU266" s="185" t="s">
        <v>87</v>
      </c>
      <c r="AV266" s="16" t="s">
        <v>185</v>
      </c>
      <c r="AW266" s="16" t="s">
        <v>36</v>
      </c>
      <c r="AX266" s="16" t="s">
        <v>85</v>
      </c>
      <c r="AY266" s="185" t="s">
        <v>177</v>
      </c>
    </row>
    <row r="267" spans="1:65" s="2" customFormat="1" ht="24.2" customHeight="1">
      <c r="A267" s="34"/>
      <c r="B267" s="139"/>
      <c r="C267" s="195" t="s">
        <v>537</v>
      </c>
      <c r="D267" s="195" t="s">
        <v>484</v>
      </c>
      <c r="E267" s="196" t="s">
        <v>752</v>
      </c>
      <c r="F267" s="197" t="s">
        <v>753</v>
      </c>
      <c r="G267" s="198" t="s">
        <v>332</v>
      </c>
      <c r="H267" s="199">
        <v>213.648</v>
      </c>
      <c r="I267" s="200"/>
      <c r="J267" s="201">
        <f>ROUND(I267*H267,2)</f>
        <v>0</v>
      </c>
      <c r="K267" s="197" t="s">
        <v>184</v>
      </c>
      <c r="L267" s="202"/>
      <c r="M267" s="203" t="s">
        <v>3</v>
      </c>
      <c r="N267" s="204" t="s">
        <v>48</v>
      </c>
      <c r="O267" s="55"/>
      <c r="P267" s="149">
        <f>O267*H267</f>
        <v>0</v>
      </c>
      <c r="Q267" s="149">
        <v>5.3E-3</v>
      </c>
      <c r="R267" s="149">
        <f>Q267*H267</f>
        <v>1.1323344</v>
      </c>
      <c r="S267" s="149">
        <v>0</v>
      </c>
      <c r="T267" s="150">
        <f>S267*H267</f>
        <v>0</v>
      </c>
      <c r="U267" s="34"/>
      <c r="V267" s="34"/>
      <c r="W267" s="34"/>
      <c r="X267" s="34"/>
      <c r="Y267" s="34"/>
      <c r="Z267" s="34"/>
      <c r="AA267" s="34"/>
      <c r="AB267" s="34"/>
      <c r="AC267" s="34"/>
      <c r="AD267" s="34"/>
      <c r="AE267" s="34"/>
      <c r="AR267" s="151" t="s">
        <v>537</v>
      </c>
      <c r="AT267" s="151" t="s">
        <v>484</v>
      </c>
      <c r="AU267" s="151" t="s">
        <v>87</v>
      </c>
      <c r="AY267" s="19" t="s">
        <v>177</v>
      </c>
      <c r="BE267" s="152">
        <f>IF(N267="základní",J267,0)</f>
        <v>0</v>
      </c>
      <c r="BF267" s="152">
        <f>IF(N267="snížená",J267,0)</f>
        <v>0</v>
      </c>
      <c r="BG267" s="152">
        <f>IF(N267="zákl. přenesená",J267,0)</f>
        <v>0</v>
      </c>
      <c r="BH267" s="152">
        <f>IF(N267="sníž. přenesená",J267,0)</f>
        <v>0</v>
      </c>
      <c r="BI267" s="152">
        <f>IF(N267="nulová",J267,0)</f>
        <v>0</v>
      </c>
      <c r="BJ267" s="19" t="s">
        <v>85</v>
      </c>
      <c r="BK267" s="152">
        <f>ROUND(I267*H267,2)</f>
        <v>0</v>
      </c>
      <c r="BL267" s="19" t="s">
        <v>237</v>
      </c>
      <c r="BM267" s="151" t="s">
        <v>754</v>
      </c>
    </row>
    <row r="268" spans="1:65" s="2" customFormat="1" ht="19.5">
      <c r="A268" s="34"/>
      <c r="B268" s="35"/>
      <c r="C268" s="34"/>
      <c r="D268" s="153" t="s">
        <v>187</v>
      </c>
      <c r="E268" s="34"/>
      <c r="F268" s="154" t="s">
        <v>753</v>
      </c>
      <c r="G268" s="34"/>
      <c r="H268" s="34"/>
      <c r="I268" s="155"/>
      <c r="J268" s="34"/>
      <c r="K268" s="34"/>
      <c r="L268" s="35"/>
      <c r="M268" s="156"/>
      <c r="N268" s="157"/>
      <c r="O268" s="55"/>
      <c r="P268" s="55"/>
      <c r="Q268" s="55"/>
      <c r="R268" s="55"/>
      <c r="S268" s="55"/>
      <c r="T268" s="56"/>
      <c r="U268" s="34"/>
      <c r="V268" s="34"/>
      <c r="W268" s="34"/>
      <c r="X268" s="34"/>
      <c r="Y268" s="34"/>
      <c r="Z268" s="34"/>
      <c r="AA268" s="34"/>
      <c r="AB268" s="34"/>
      <c r="AC268" s="34"/>
      <c r="AD268" s="34"/>
      <c r="AE268" s="34"/>
      <c r="AT268" s="19" t="s">
        <v>187</v>
      </c>
      <c r="AU268" s="19" t="s">
        <v>87</v>
      </c>
    </row>
    <row r="269" spans="1:65" s="13" customFormat="1">
      <c r="B269" s="161"/>
      <c r="D269" s="153" t="s">
        <v>193</v>
      </c>
      <c r="E269" s="162" t="s">
        <v>3</v>
      </c>
      <c r="F269" s="163" t="s">
        <v>755</v>
      </c>
      <c r="H269" s="164">
        <v>178.04</v>
      </c>
      <c r="I269" s="165"/>
      <c r="L269" s="161"/>
      <c r="M269" s="166"/>
      <c r="N269" s="167"/>
      <c r="O269" s="167"/>
      <c r="P269" s="167"/>
      <c r="Q269" s="167"/>
      <c r="R269" s="167"/>
      <c r="S269" s="167"/>
      <c r="T269" s="168"/>
      <c r="AT269" s="162" t="s">
        <v>193</v>
      </c>
      <c r="AU269" s="162" t="s">
        <v>87</v>
      </c>
      <c r="AV269" s="13" t="s">
        <v>87</v>
      </c>
      <c r="AW269" s="13" t="s">
        <v>36</v>
      </c>
      <c r="AX269" s="13" t="s">
        <v>85</v>
      </c>
      <c r="AY269" s="162" t="s">
        <v>177</v>
      </c>
    </row>
    <row r="270" spans="1:65" s="13" customFormat="1">
      <c r="B270" s="161"/>
      <c r="D270" s="153" t="s">
        <v>193</v>
      </c>
      <c r="F270" s="163" t="s">
        <v>756</v>
      </c>
      <c r="H270" s="164">
        <v>213.648</v>
      </c>
      <c r="I270" s="165"/>
      <c r="L270" s="161"/>
      <c r="M270" s="166"/>
      <c r="N270" s="167"/>
      <c r="O270" s="167"/>
      <c r="P270" s="167"/>
      <c r="Q270" s="167"/>
      <c r="R270" s="167"/>
      <c r="S270" s="167"/>
      <c r="T270" s="168"/>
      <c r="AT270" s="162" t="s">
        <v>193</v>
      </c>
      <c r="AU270" s="162" t="s">
        <v>87</v>
      </c>
      <c r="AV270" s="13" t="s">
        <v>87</v>
      </c>
      <c r="AW270" s="13" t="s">
        <v>4</v>
      </c>
      <c r="AX270" s="13" t="s">
        <v>85</v>
      </c>
      <c r="AY270" s="162" t="s">
        <v>177</v>
      </c>
    </row>
    <row r="271" spans="1:65" s="2" customFormat="1" ht="16.5" customHeight="1">
      <c r="A271" s="34"/>
      <c r="B271" s="139"/>
      <c r="C271" s="140" t="s">
        <v>757</v>
      </c>
      <c r="D271" s="140" t="s">
        <v>180</v>
      </c>
      <c r="E271" s="141" t="s">
        <v>758</v>
      </c>
      <c r="F271" s="142" t="s">
        <v>759</v>
      </c>
      <c r="G271" s="143" t="s">
        <v>183</v>
      </c>
      <c r="H271" s="144">
        <v>1.24</v>
      </c>
      <c r="I271" s="145"/>
      <c r="J271" s="146">
        <f>ROUND(I271*H271,2)</f>
        <v>0</v>
      </c>
      <c r="K271" s="142" t="s">
        <v>184</v>
      </c>
      <c r="L271" s="35"/>
      <c r="M271" s="147" t="s">
        <v>3</v>
      </c>
      <c r="N271" s="148" t="s">
        <v>48</v>
      </c>
      <c r="O271" s="55"/>
      <c r="P271" s="149">
        <f>O271*H271</f>
        <v>0</v>
      </c>
      <c r="Q271" s="149">
        <v>0</v>
      </c>
      <c r="R271" s="149">
        <f>Q271*H271</f>
        <v>0</v>
      </c>
      <c r="S271" s="149">
        <v>0</v>
      </c>
      <c r="T271" s="150">
        <f>S271*H271</f>
        <v>0</v>
      </c>
      <c r="U271" s="34"/>
      <c r="V271" s="34"/>
      <c r="W271" s="34"/>
      <c r="X271" s="34"/>
      <c r="Y271" s="34"/>
      <c r="Z271" s="34"/>
      <c r="AA271" s="34"/>
      <c r="AB271" s="34"/>
      <c r="AC271" s="34"/>
      <c r="AD271" s="34"/>
      <c r="AE271" s="34"/>
      <c r="AR271" s="151" t="s">
        <v>237</v>
      </c>
      <c r="AT271" s="151" t="s">
        <v>180</v>
      </c>
      <c r="AU271" s="151" t="s">
        <v>87</v>
      </c>
      <c r="AY271" s="19" t="s">
        <v>177</v>
      </c>
      <c r="BE271" s="152">
        <f>IF(N271="základní",J271,0)</f>
        <v>0</v>
      </c>
      <c r="BF271" s="152">
        <f>IF(N271="snížená",J271,0)</f>
        <v>0</v>
      </c>
      <c r="BG271" s="152">
        <f>IF(N271="zákl. přenesená",J271,0)</f>
        <v>0</v>
      </c>
      <c r="BH271" s="152">
        <f>IF(N271="sníž. přenesená",J271,0)</f>
        <v>0</v>
      </c>
      <c r="BI271" s="152">
        <f>IF(N271="nulová",J271,0)</f>
        <v>0</v>
      </c>
      <c r="BJ271" s="19" t="s">
        <v>85</v>
      </c>
      <c r="BK271" s="152">
        <f>ROUND(I271*H271,2)</f>
        <v>0</v>
      </c>
      <c r="BL271" s="19" t="s">
        <v>237</v>
      </c>
      <c r="BM271" s="151" t="s">
        <v>760</v>
      </c>
    </row>
    <row r="272" spans="1:65" s="2" customFormat="1" ht="19.5">
      <c r="A272" s="34"/>
      <c r="B272" s="35"/>
      <c r="C272" s="34"/>
      <c r="D272" s="153" t="s">
        <v>187</v>
      </c>
      <c r="E272" s="34"/>
      <c r="F272" s="154" t="s">
        <v>761</v>
      </c>
      <c r="G272" s="34"/>
      <c r="H272" s="34"/>
      <c r="I272" s="155"/>
      <c r="J272" s="34"/>
      <c r="K272" s="34"/>
      <c r="L272" s="35"/>
      <c r="M272" s="156"/>
      <c r="N272" s="157"/>
      <c r="O272" s="55"/>
      <c r="P272" s="55"/>
      <c r="Q272" s="55"/>
      <c r="R272" s="55"/>
      <c r="S272" s="55"/>
      <c r="T272" s="56"/>
      <c r="U272" s="34"/>
      <c r="V272" s="34"/>
      <c r="W272" s="34"/>
      <c r="X272" s="34"/>
      <c r="Y272" s="34"/>
      <c r="Z272" s="34"/>
      <c r="AA272" s="34"/>
      <c r="AB272" s="34"/>
      <c r="AC272" s="34"/>
      <c r="AD272" s="34"/>
      <c r="AE272" s="34"/>
      <c r="AT272" s="19" t="s">
        <v>187</v>
      </c>
      <c r="AU272" s="19" t="s">
        <v>87</v>
      </c>
    </row>
    <row r="273" spans="1:65" s="2" customFormat="1">
      <c r="A273" s="34"/>
      <c r="B273" s="35"/>
      <c r="C273" s="34"/>
      <c r="D273" s="158" t="s">
        <v>189</v>
      </c>
      <c r="E273" s="34"/>
      <c r="F273" s="159" t="s">
        <v>762</v>
      </c>
      <c r="G273" s="34"/>
      <c r="H273" s="34"/>
      <c r="I273" s="155"/>
      <c r="J273" s="34"/>
      <c r="K273" s="34"/>
      <c r="L273" s="35"/>
      <c r="M273" s="156"/>
      <c r="N273" s="157"/>
      <c r="O273" s="55"/>
      <c r="P273" s="55"/>
      <c r="Q273" s="55"/>
      <c r="R273" s="55"/>
      <c r="S273" s="55"/>
      <c r="T273" s="56"/>
      <c r="U273" s="34"/>
      <c r="V273" s="34"/>
      <c r="W273" s="34"/>
      <c r="X273" s="34"/>
      <c r="Y273" s="34"/>
      <c r="Z273" s="34"/>
      <c r="AA273" s="34"/>
      <c r="AB273" s="34"/>
      <c r="AC273" s="34"/>
      <c r="AD273" s="34"/>
      <c r="AE273" s="34"/>
      <c r="AT273" s="19" t="s">
        <v>189</v>
      </c>
      <c r="AU273" s="19" t="s">
        <v>87</v>
      </c>
    </row>
    <row r="274" spans="1:65" s="2" customFormat="1" ht="78">
      <c r="A274" s="34"/>
      <c r="B274" s="35"/>
      <c r="C274" s="34"/>
      <c r="D274" s="153" t="s">
        <v>191</v>
      </c>
      <c r="E274" s="34"/>
      <c r="F274" s="160" t="s">
        <v>763</v>
      </c>
      <c r="G274" s="34"/>
      <c r="H274" s="34"/>
      <c r="I274" s="155"/>
      <c r="J274" s="34"/>
      <c r="K274" s="34"/>
      <c r="L274" s="35"/>
      <c r="M274" s="156"/>
      <c r="N274" s="157"/>
      <c r="O274" s="55"/>
      <c r="P274" s="55"/>
      <c r="Q274" s="55"/>
      <c r="R274" s="55"/>
      <c r="S274" s="55"/>
      <c r="T274" s="56"/>
      <c r="U274" s="34"/>
      <c r="V274" s="34"/>
      <c r="W274" s="34"/>
      <c r="X274" s="34"/>
      <c r="Y274" s="34"/>
      <c r="Z274" s="34"/>
      <c r="AA274" s="34"/>
      <c r="AB274" s="34"/>
      <c r="AC274" s="34"/>
      <c r="AD274" s="34"/>
      <c r="AE274" s="34"/>
      <c r="AT274" s="19" t="s">
        <v>191</v>
      </c>
      <c r="AU274" s="19" t="s">
        <v>87</v>
      </c>
    </row>
    <row r="275" spans="1:65" s="2" customFormat="1" ht="16.5" customHeight="1">
      <c r="A275" s="34"/>
      <c r="B275" s="139"/>
      <c r="C275" s="140" t="s">
        <v>764</v>
      </c>
      <c r="D275" s="140" t="s">
        <v>180</v>
      </c>
      <c r="E275" s="141" t="s">
        <v>765</v>
      </c>
      <c r="F275" s="142" t="s">
        <v>766</v>
      </c>
      <c r="G275" s="143" t="s">
        <v>183</v>
      </c>
      <c r="H275" s="144">
        <v>1.24</v>
      </c>
      <c r="I275" s="145"/>
      <c r="J275" s="146">
        <f>ROUND(I275*H275,2)</f>
        <v>0</v>
      </c>
      <c r="K275" s="142" t="s">
        <v>184</v>
      </c>
      <c r="L275" s="35"/>
      <c r="M275" s="147" t="s">
        <v>3</v>
      </c>
      <c r="N275" s="148" t="s">
        <v>48</v>
      </c>
      <c r="O275" s="55"/>
      <c r="P275" s="149">
        <f>O275*H275</f>
        <v>0</v>
      </c>
      <c r="Q275" s="149">
        <v>0</v>
      </c>
      <c r="R275" s="149">
        <f>Q275*H275</f>
        <v>0</v>
      </c>
      <c r="S275" s="149">
        <v>0</v>
      </c>
      <c r="T275" s="150">
        <f>S275*H275</f>
        <v>0</v>
      </c>
      <c r="U275" s="34"/>
      <c r="V275" s="34"/>
      <c r="W275" s="34"/>
      <c r="X275" s="34"/>
      <c r="Y275" s="34"/>
      <c r="Z275" s="34"/>
      <c r="AA275" s="34"/>
      <c r="AB275" s="34"/>
      <c r="AC275" s="34"/>
      <c r="AD275" s="34"/>
      <c r="AE275" s="34"/>
      <c r="AR275" s="151" t="s">
        <v>237</v>
      </c>
      <c r="AT275" s="151" t="s">
        <v>180</v>
      </c>
      <c r="AU275" s="151" t="s">
        <v>87</v>
      </c>
      <c r="AY275" s="19" t="s">
        <v>177</v>
      </c>
      <c r="BE275" s="152">
        <f>IF(N275="základní",J275,0)</f>
        <v>0</v>
      </c>
      <c r="BF275" s="152">
        <f>IF(N275="snížená",J275,0)</f>
        <v>0</v>
      </c>
      <c r="BG275" s="152">
        <f>IF(N275="zákl. přenesená",J275,0)</f>
        <v>0</v>
      </c>
      <c r="BH275" s="152">
        <f>IF(N275="sníž. přenesená",J275,0)</f>
        <v>0</v>
      </c>
      <c r="BI275" s="152">
        <f>IF(N275="nulová",J275,0)</f>
        <v>0</v>
      </c>
      <c r="BJ275" s="19" t="s">
        <v>85</v>
      </c>
      <c r="BK275" s="152">
        <f>ROUND(I275*H275,2)</f>
        <v>0</v>
      </c>
      <c r="BL275" s="19" t="s">
        <v>237</v>
      </c>
      <c r="BM275" s="151" t="s">
        <v>767</v>
      </c>
    </row>
    <row r="276" spans="1:65" s="2" customFormat="1" ht="19.5">
      <c r="A276" s="34"/>
      <c r="B276" s="35"/>
      <c r="C276" s="34"/>
      <c r="D276" s="153" t="s">
        <v>187</v>
      </c>
      <c r="E276" s="34"/>
      <c r="F276" s="154" t="s">
        <v>768</v>
      </c>
      <c r="G276" s="34"/>
      <c r="H276" s="34"/>
      <c r="I276" s="155"/>
      <c r="J276" s="34"/>
      <c r="K276" s="34"/>
      <c r="L276" s="35"/>
      <c r="M276" s="156"/>
      <c r="N276" s="157"/>
      <c r="O276" s="55"/>
      <c r="P276" s="55"/>
      <c r="Q276" s="55"/>
      <c r="R276" s="55"/>
      <c r="S276" s="55"/>
      <c r="T276" s="56"/>
      <c r="U276" s="34"/>
      <c r="V276" s="34"/>
      <c r="W276" s="34"/>
      <c r="X276" s="34"/>
      <c r="Y276" s="34"/>
      <c r="Z276" s="34"/>
      <c r="AA276" s="34"/>
      <c r="AB276" s="34"/>
      <c r="AC276" s="34"/>
      <c r="AD276" s="34"/>
      <c r="AE276" s="34"/>
      <c r="AT276" s="19" t="s">
        <v>187</v>
      </c>
      <c r="AU276" s="19" t="s">
        <v>87</v>
      </c>
    </row>
    <row r="277" spans="1:65" s="2" customFormat="1">
      <c r="A277" s="34"/>
      <c r="B277" s="35"/>
      <c r="C277" s="34"/>
      <c r="D277" s="158" t="s">
        <v>189</v>
      </c>
      <c r="E277" s="34"/>
      <c r="F277" s="159" t="s">
        <v>769</v>
      </c>
      <c r="G277" s="34"/>
      <c r="H277" s="34"/>
      <c r="I277" s="155"/>
      <c r="J277" s="34"/>
      <c r="K277" s="34"/>
      <c r="L277" s="35"/>
      <c r="M277" s="156"/>
      <c r="N277" s="157"/>
      <c r="O277" s="55"/>
      <c r="P277" s="55"/>
      <c r="Q277" s="55"/>
      <c r="R277" s="55"/>
      <c r="S277" s="55"/>
      <c r="T277" s="56"/>
      <c r="U277" s="34"/>
      <c r="V277" s="34"/>
      <c r="W277" s="34"/>
      <c r="X277" s="34"/>
      <c r="Y277" s="34"/>
      <c r="Z277" s="34"/>
      <c r="AA277" s="34"/>
      <c r="AB277" s="34"/>
      <c r="AC277" s="34"/>
      <c r="AD277" s="34"/>
      <c r="AE277" s="34"/>
      <c r="AT277" s="19" t="s">
        <v>189</v>
      </c>
      <c r="AU277" s="19" t="s">
        <v>87</v>
      </c>
    </row>
    <row r="278" spans="1:65" s="2" customFormat="1" ht="78">
      <c r="A278" s="34"/>
      <c r="B278" s="35"/>
      <c r="C278" s="34"/>
      <c r="D278" s="153" t="s">
        <v>191</v>
      </c>
      <c r="E278" s="34"/>
      <c r="F278" s="160" t="s">
        <v>763</v>
      </c>
      <c r="G278" s="34"/>
      <c r="H278" s="34"/>
      <c r="I278" s="155"/>
      <c r="J278" s="34"/>
      <c r="K278" s="34"/>
      <c r="L278" s="35"/>
      <c r="M278" s="156"/>
      <c r="N278" s="157"/>
      <c r="O278" s="55"/>
      <c r="P278" s="55"/>
      <c r="Q278" s="55"/>
      <c r="R278" s="55"/>
      <c r="S278" s="55"/>
      <c r="T278" s="56"/>
      <c r="U278" s="34"/>
      <c r="V278" s="34"/>
      <c r="W278" s="34"/>
      <c r="X278" s="34"/>
      <c r="Y278" s="34"/>
      <c r="Z278" s="34"/>
      <c r="AA278" s="34"/>
      <c r="AB278" s="34"/>
      <c r="AC278" s="34"/>
      <c r="AD278" s="34"/>
      <c r="AE278" s="34"/>
      <c r="AT278" s="19" t="s">
        <v>191</v>
      </c>
      <c r="AU278" s="19" t="s">
        <v>87</v>
      </c>
    </row>
    <row r="279" spans="1:65" s="12" customFormat="1" ht="22.9" customHeight="1">
      <c r="B279" s="126"/>
      <c r="D279" s="127" t="s">
        <v>76</v>
      </c>
      <c r="E279" s="137" t="s">
        <v>770</v>
      </c>
      <c r="F279" s="137" t="s">
        <v>771</v>
      </c>
      <c r="I279" s="129"/>
      <c r="J279" s="138">
        <f>BK279</f>
        <v>0</v>
      </c>
      <c r="L279" s="126"/>
      <c r="M279" s="131"/>
      <c r="N279" s="132"/>
      <c r="O279" s="132"/>
      <c r="P279" s="133">
        <f>SUM(P280:P296)</f>
        <v>0</v>
      </c>
      <c r="Q279" s="132"/>
      <c r="R279" s="133">
        <f>SUM(R280:R296)</f>
        <v>0.31363199999999997</v>
      </c>
      <c r="S279" s="132"/>
      <c r="T279" s="134">
        <f>SUM(T280:T296)</f>
        <v>0</v>
      </c>
      <c r="AR279" s="127" t="s">
        <v>87</v>
      </c>
      <c r="AT279" s="135" t="s">
        <v>76</v>
      </c>
      <c r="AU279" s="135" t="s">
        <v>85</v>
      </c>
      <c r="AY279" s="127" t="s">
        <v>177</v>
      </c>
      <c r="BK279" s="136">
        <f>SUM(BK280:BK296)</f>
        <v>0</v>
      </c>
    </row>
    <row r="280" spans="1:65" s="2" customFormat="1" ht="16.5" customHeight="1">
      <c r="A280" s="34"/>
      <c r="B280" s="139"/>
      <c r="C280" s="140" t="s">
        <v>772</v>
      </c>
      <c r="D280" s="140" t="s">
        <v>180</v>
      </c>
      <c r="E280" s="141" t="s">
        <v>773</v>
      </c>
      <c r="F280" s="142" t="s">
        <v>774</v>
      </c>
      <c r="G280" s="143" t="s">
        <v>332</v>
      </c>
      <c r="H280" s="144">
        <v>36.299999999999997</v>
      </c>
      <c r="I280" s="145"/>
      <c r="J280" s="146">
        <f>ROUND(I280*H280,2)</f>
        <v>0</v>
      </c>
      <c r="K280" s="142" t="s">
        <v>184</v>
      </c>
      <c r="L280" s="35"/>
      <c r="M280" s="147" t="s">
        <v>3</v>
      </c>
      <c r="N280" s="148" t="s">
        <v>48</v>
      </c>
      <c r="O280" s="55"/>
      <c r="P280" s="149">
        <f>O280*H280</f>
        <v>0</v>
      </c>
      <c r="Q280" s="149">
        <v>6.0000000000000001E-3</v>
      </c>
      <c r="R280" s="149">
        <f>Q280*H280</f>
        <v>0.21779999999999999</v>
      </c>
      <c r="S280" s="149">
        <v>0</v>
      </c>
      <c r="T280" s="150">
        <f>S280*H280</f>
        <v>0</v>
      </c>
      <c r="U280" s="34"/>
      <c r="V280" s="34"/>
      <c r="W280" s="34"/>
      <c r="X280" s="34"/>
      <c r="Y280" s="34"/>
      <c r="Z280" s="34"/>
      <c r="AA280" s="34"/>
      <c r="AB280" s="34"/>
      <c r="AC280" s="34"/>
      <c r="AD280" s="34"/>
      <c r="AE280" s="34"/>
      <c r="AR280" s="151" t="s">
        <v>237</v>
      </c>
      <c r="AT280" s="151" t="s">
        <v>180</v>
      </c>
      <c r="AU280" s="151" t="s">
        <v>87</v>
      </c>
      <c r="AY280" s="19" t="s">
        <v>177</v>
      </c>
      <c r="BE280" s="152">
        <f>IF(N280="základní",J280,0)</f>
        <v>0</v>
      </c>
      <c r="BF280" s="152">
        <f>IF(N280="snížená",J280,0)</f>
        <v>0</v>
      </c>
      <c r="BG280" s="152">
        <f>IF(N280="zákl. přenesená",J280,0)</f>
        <v>0</v>
      </c>
      <c r="BH280" s="152">
        <f>IF(N280="sníž. přenesená",J280,0)</f>
        <v>0</v>
      </c>
      <c r="BI280" s="152">
        <f>IF(N280="nulová",J280,0)</f>
        <v>0</v>
      </c>
      <c r="BJ280" s="19" t="s">
        <v>85</v>
      </c>
      <c r="BK280" s="152">
        <f>ROUND(I280*H280,2)</f>
        <v>0</v>
      </c>
      <c r="BL280" s="19" t="s">
        <v>237</v>
      </c>
      <c r="BM280" s="151" t="s">
        <v>775</v>
      </c>
    </row>
    <row r="281" spans="1:65" s="2" customFormat="1">
      <c r="A281" s="34"/>
      <c r="B281" s="35"/>
      <c r="C281" s="34"/>
      <c r="D281" s="153" t="s">
        <v>187</v>
      </c>
      <c r="E281" s="34"/>
      <c r="F281" s="154" t="s">
        <v>776</v>
      </c>
      <c r="G281" s="34"/>
      <c r="H281" s="34"/>
      <c r="I281" s="155"/>
      <c r="J281" s="34"/>
      <c r="K281" s="34"/>
      <c r="L281" s="35"/>
      <c r="M281" s="156"/>
      <c r="N281" s="157"/>
      <c r="O281" s="55"/>
      <c r="P281" s="55"/>
      <c r="Q281" s="55"/>
      <c r="R281" s="55"/>
      <c r="S281" s="55"/>
      <c r="T281" s="56"/>
      <c r="U281" s="34"/>
      <c r="V281" s="34"/>
      <c r="W281" s="34"/>
      <c r="X281" s="34"/>
      <c r="Y281" s="34"/>
      <c r="Z281" s="34"/>
      <c r="AA281" s="34"/>
      <c r="AB281" s="34"/>
      <c r="AC281" s="34"/>
      <c r="AD281" s="34"/>
      <c r="AE281" s="34"/>
      <c r="AT281" s="19" t="s">
        <v>187</v>
      </c>
      <c r="AU281" s="19" t="s">
        <v>87</v>
      </c>
    </row>
    <row r="282" spans="1:65" s="2" customFormat="1">
      <c r="A282" s="34"/>
      <c r="B282" s="35"/>
      <c r="C282" s="34"/>
      <c r="D282" s="158" t="s">
        <v>189</v>
      </c>
      <c r="E282" s="34"/>
      <c r="F282" s="159" t="s">
        <v>777</v>
      </c>
      <c r="G282" s="34"/>
      <c r="H282" s="34"/>
      <c r="I282" s="155"/>
      <c r="J282" s="34"/>
      <c r="K282" s="34"/>
      <c r="L282" s="35"/>
      <c r="M282" s="156"/>
      <c r="N282" s="157"/>
      <c r="O282" s="55"/>
      <c r="P282" s="55"/>
      <c r="Q282" s="55"/>
      <c r="R282" s="55"/>
      <c r="S282" s="55"/>
      <c r="T282" s="56"/>
      <c r="U282" s="34"/>
      <c r="V282" s="34"/>
      <c r="W282" s="34"/>
      <c r="X282" s="34"/>
      <c r="Y282" s="34"/>
      <c r="Z282" s="34"/>
      <c r="AA282" s="34"/>
      <c r="AB282" s="34"/>
      <c r="AC282" s="34"/>
      <c r="AD282" s="34"/>
      <c r="AE282" s="34"/>
      <c r="AT282" s="19" t="s">
        <v>189</v>
      </c>
      <c r="AU282" s="19" t="s">
        <v>87</v>
      </c>
    </row>
    <row r="283" spans="1:65" s="2" customFormat="1" ht="68.25">
      <c r="A283" s="34"/>
      <c r="B283" s="35"/>
      <c r="C283" s="34"/>
      <c r="D283" s="153" t="s">
        <v>191</v>
      </c>
      <c r="E283" s="34"/>
      <c r="F283" s="160" t="s">
        <v>778</v>
      </c>
      <c r="G283" s="34"/>
      <c r="H283" s="34"/>
      <c r="I283" s="155"/>
      <c r="J283" s="34"/>
      <c r="K283" s="34"/>
      <c r="L283" s="35"/>
      <c r="M283" s="156"/>
      <c r="N283" s="157"/>
      <c r="O283" s="55"/>
      <c r="P283" s="55"/>
      <c r="Q283" s="55"/>
      <c r="R283" s="55"/>
      <c r="S283" s="55"/>
      <c r="T283" s="56"/>
      <c r="U283" s="34"/>
      <c r="V283" s="34"/>
      <c r="W283" s="34"/>
      <c r="X283" s="34"/>
      <c r="Y283" s="34"/>
      <c r="Z283" s="34"/>
      <c r="AA283" s="34"/>
      <c r="AB283" s="34"/>
      <c r="AC283" s="34"/>
      <c r="AD283" s="34"/>
      <c r="AE283" s="34"/>
      <c r="AT283" s="19" t="s">
        <v>191</v>
      </c>
      <c r="AU283" s="19" t="s">
        <v>87</v>
      </c>
    </row>
    <row r="284" spans="1:65" s="14" customFormat="1">
      <c r="B284" s="169"/>
      <c r="D284" s="153" t="s">
        <v>193</v>
      </c>
      <c r="E284" s="170" t="s">
        <v>3</v>
      </c>
      <c r="F284" s="171" t="s">
        <v>779</v>
      </c>
      <c r="H284" s="170" t="s">
        <v>3</v>
      </c>
      <c r="I284" s="172"/>
      <c r="L284" s="169"/>
      <c r="M284" s="173"/>
      <c r="N284" s="174"/>
      <c r="O284" s="174"/>
      <c r="P284" s="174"/>
      <c r="Q284" s="174"/>
      <c r="R284" s="174"/>
      <c r="S284" s="174"/>
      <c r="T284" s="175"/>
      <c r="AT284" s="170" t="s">
        <v>193</v>
      </c>
      <c r="AU284" s="170" t="s">
        <v>87</v>
      </c>
      <c r="AV284" s="14" t="s">
        <v>85</v>
      </c>
      <c r="AW284" s="14" t="s">
        <v>36</v>
      </c>
      <c r="AX284" s="14" t="s">
        <v>77</v>
      </c>
      <c r="AY284" s="170" t="s">
        <v>177</v>
      </c>
    </row>
    <row r="285" spans="1:65" s="13" customFormat="1">
      <c r="B285" s="161"/>
      <c r="D285" s="153" t="s">
        <v>193</v>
      </c>
      <c r="E285" s="162" t="s">
        <v>3</v>
      </c>
      <c r="F285" s="163" t="s">
        <v>780</v>
      </c>
      <c r="H285" s="164">
        <v>36.299999999999997</v>
      </c>
      <c r="I285" s="165"/>
      <c r="L285" s="161"/>
      <c r="M285" s="166"/>
      <c r="N285" s="167"/>
      <c r="O285" s="167"/>
      <c r="P285" s="167"/>
      <c r="Q285" s="167"/>
      <c r="R285" s="167"/>
      <c r="S285" s="167"/>
      <c r="T285" s="168"/>
      <c r="AT285" s="162" t="s">
        <v>193</v>
      </c>
      <c r="AU285" s="162" t="s">
        <v>87</v>
      </c>
      <c r="AV285" s="13" t="s">
        <v>87</v>
      </c>
      <c r="AW285" s="13" t="s">
        <v>36</v>
      </c>
      <c r="AX285" s="13" t="s">
        <v>85</v>
      </c>
      <c r="AY285" s="162" t="s">
        <v>177</v>
      </c>
    </row>
    <row r="286" spans="1:65" s="2" customFormat="1" ht="16.5" customHeight="1">
      <c r="A286" s="34"/>
      <c r="B286" s="139"/>
      <c r="C286" s="195" t="s">
        <v>781</v>
      </c>
      <c r="D286" s="195" t="s">
        <v>484</v>
      </c>
      <c r="E286" s="196" t="s">
        <v>782</v>
      </c>
      <c r="F286" s="197" t="s">
        <v>783</v>
      </c>
      <c r="G286" s="198" t="s">
        <v>332</v>
      </c>
      <c r="H286" s="199">
        <v>39.93</v>
      </c>
      <c r="I286" s="200"/>
      <c r="J286" s="201">
        <f>ROUND(I286*H286,2)</f>
        <v>0</v>
      </c>
      <c r="K286" s="197" t="s">
        <v>184</v>
      </c>
      <c r="L286" s="202"/>
      <c r="M286" s="203" t="s">
        <v>3</v>
      </c>
      <c r="N286" s="204" t="s">
        <v>48</v>
      </c>
      <c r="O286" s="55"/>
      <c r="P286" s="149">
        <f>O286*H286</f>
        <v>0</v>
      </c>
      <c r="Q286" s="149">
        <v>2.3999999999999998E-3</v>
      </c>
      <c r="R286" s="149">
        <f>Q286*H286</f>
        <v>9.5831999999999987E-2</v>
      </c>
      <c r="S286" s="149">
        <v>0</v>
      </c>
      <c r="T286" s="150">
        <f>S286*H286</f>
        <v>0</v>
      </c>
      <c r="U286" s="34"/>
      <c r="V286" s="34"/>
      <c r="W286" s="34"/>
      <c r="X286" s="34"/>
      <c r="Y286" s="34"/>
      <c r="Z286" s="34"/>
      <c r="AA286" s="34"/>
      <c r="AB286" s="34"/>
      <c r="AC286" s="34"/>
      <c r="AD286" s="34"/>
      <c r="AE286" s="34"/>
      <c r="AR286" s="151" t="s">
        <v>537</v>
      </c>
      <c r="AT286" s="151" t="s">
        <v>484</v>
      </c>
      <c r="AU286" s="151" t="s">
        <v>87</v>
      </c>
      <c r="AY286" s="19" t="s">
        <v>177</v>
      </c>
      <c r="BE286" s="152">
        <f>IF(N286="základní",J286,0)</f>
        <v>0</v>
      </c>
      <c r="BF286" s="152">
        <f>IF(N286="snížená",J286,0)</f>
        <v>0</v>
      </c>
      <c r="BG286" s="152">
        <f>IF(N286="zákl. přenesená",J286,0)</f>
        <v>0</v>
      </c>
      <c r="BH286" s="152">
        <f>IF(N286="sníž. přenesená",J286,0)</f>
        <v>0</v>
      </c>
      <c r="BI286" s="152">
        <f>IF(N286="nulová",J286,0)</f>
        <v>0</v>
      </c>
      <c r="BJ286" s="19" t="s">
        <v>85</v>
      </c>
      <c r="BK286" s="152">
        <f>ROUND(I286*H286,2)</f>
        <v>0</v>
      </c>
      <c r="BL286" s="19" t="s">
        <v>237</v>
      </c>
      <c r="BM286" s="151" t="s">
        <v>784</v>
      </c>
    </row>
    <row r="287" spans="1:65" s="2" customFormat="1">
      <c r="A287" s="34"/>
      <c r="B287" s="35"/>
      <c r="C287" s="34"/>
      <c r="D287" s="153" t="s">
        <v>187</v>
      </c>
      <c r="E287" s="34"/>
      <c r="F287" s="154" t="s">
        <v>785</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187</v>
      </c>
      <c r="AU287" s="19" t="s">
        <v>87</v>
      </c>
    </row>
    <row r="288" spans="1:65" s="13" customFormat="1">
      <c r="B288" s="161"/>
      <c r="D288" s="153" t="s">
        <v>193</v>
      </c>
      <c r="F288" s="163" t="s">
        <v>786</v>
      </c>
      <c r="H288" s="164">
        <v>39.93</v>
      </c>
      <c r="I288" s="165"/>
      <c r="L288" s="161"/>
      <c r="M288" s="166"/>
      <c r="N288" s="167"/>
      <c r="O288" s="167"/>
      <c r="P288" s="167"/>
      <c r="Q288" s="167"/>
      <c r="R288" s="167"/>
      <c r="S288" s="167"/>
      <c r="T288" s="168"/>
      <c r="AT288" s="162" t="s">
        <v>193</v>
      </c>
      <c r="AU288" s="162" t="s">
        <v>87</v>
      </c>
      <c r="AV288" s="13" t="s">
        <v>87</v>
      </c>
      <c r="AW288" s="13" t="s">
        <v>4</v>
      </c>
      <c r="AX288" s="13" t="s">
        <v>85</v>
      </c>
      <c r="AY288" s="162" t="s">
        <v>177</v>
      </c>
    </row>
    <row r="289" spans="1:65" s="2" customFormat="1" ht="16.5" customHeight="1">
      <c r="A289" s="34"/>
      <c r="B289" s="139"/>
      <c r="C289" s="140" t="s">
        <v>787</v>
      </c>
      <c r="D289" s="140" t="s">
        <v>180</v>
      </c>
      <c r="E289" s="141" t="s">
        <v>788</v>
      </c>
      <c r="F289" s="142" t="s">
        <v>789</v>
      </c>
      <c r="G289" s="143" t="s">
        <v>183</v>
      </c>
      <c r="H289" s="144">
        <v>0.314</v>
      </c>
      <c r="I289" s="145"/>
      <c r="J289" s="146">
        <f>ROUND(I289*H289,2)</f>
        <v>0</v>
      </c>
      <c r="K289" s="142" t="s">
        <v>184</v>
      </c>
      <c r="L289" s="35"/>
      <c r="M289" s="147" t="s">
        <v>3</v>
      </c>
      <c r="N289" s="148" t="s">
        <v>48</v>
      </c>
      <c r="O289" s="55"/>
      <c r="P289" s="149">
        <f>O289*H289</f>
        <v>0</v>
      </c>
      <c r="Q289" s="149">
        <v>0</v>
      </c>
      <c r="R289" s="149">
        <f>Q289*H289</f>
        <v>0</v>
      </c>
      <c r="S289" s="149">
        <v>0</v>
      </c>
      <c r="T289" s="150">
        <f>S289*H289</f>
        <v>0</v>
      </c>
      <c r="U289" s="34"/>
      <c r="V289" s="34"/>
      <c r="W289" s="34"/>
      <c r="X289" s="34"/>
      <c r="Y289" s="34"/>
      <c r="Z289" s="34"/>
      <c r="AA289" s="34"/>
      <c r="AB289" s="34"/>
      <c r="AC289" s="34"/>
      <c r="AD289" s="34"/>
      <c r="AE289" s="34"/>
      <c r="AR289" s="151" t="s">
        <v>237</v>
      </c>
      <c r="AT289" s="151" t="s">
        <v>180</v>
      </c>
      <c r="AU289" s="151" t="s">
        <v>87</v>
      </c>
      <c r="AY289" s="19" t="s">
        <v>177</v>
      </c>
      <c r="BE289" s="152">
        <f>IF(N289="základní",J289,0)</f>
        <v>0</v>
      </c>
      <c r="BF289" s="152">
        <f>IF(N289="snížená",J289,0)</f>
        <v>0</v>
      </c>
      <c r="BG289" s="152">
        <f>IF(N289="zákl. přenesená",J289,0)</f>
        <v>0</v>
      </c>
      <c r="BH289" s="152">
        <f>IF(N289="sníž. přenesená",J289,0)</f>
        <v>0</v>
      </c>
      <c r="BI289" s="152">
        <f>IF(N289="nulová",J289,0)</f>
        <v>0</v>
      </c>
      <c r="BJ289" s="19" t="s">
        <v>85</v>
      </c>
      <c r="BK289" s="152">
        <f>ROUND(I289*H289,2)</f>
        <v>0</v>
      </c>
      <c r="BL289" s="19" t="s">
        <v>237</v>
      </c>
      <c r="BM289" s="151" t="s">
        <v>790</v>
      </c>
    </row>
    <row r="290" spans="1:65" s="2" customFormat="1" ht="19.5">
      <c r="A290" s="34"/>
      <c r="B290" s="35"/>
      <c r="C290" s="34"/>
      <c r="D290" s="153" t="s">
        <v>187</v>
      </c>
      <c r="E290" s="34"/>
      <c r="F290" s="154" t="s">
        <v>791</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187</v>
      </c>
      <c r="AU290" s="19" t="s">
        <v>87</v>
      </c>
    </row>
    <row r="291" spans="1:65" s="2" customFormat="1">
      <c r="A291" s="34"/>
      <c r="B291" s="35"/>
      <c r="C291" s="34"/>
      <c r="D291" s="158" t="s">
        <v>189</v>
      </c>
      <c r="E291" s="34"/>
      <c r="F291" s="159" t="s">
        <v>792</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189</v>
      </c>
      <c r="AU291" s="19" t="s">
        <v>87</v>
      </c>
    </row>
    <row r="292" spans="1:65" s="2" customFormat="1" ht="78">
      <c r="A292" s="34"/>
      <c r="B292" s="35"/>
      <c r="C292" s="34"/>
      <c r="D292" s="153" t="s">
        <v>191</v>
      </c>
      <c r="E292" s="34"/>
      <c r="F292" s="160" t="s">
        <v>793</v>
      </c>
      <c r="G292" s="34"/>
      <c r="H292" s="34"/>
      <c r="I292" s="155"/>
      <c r="J292" s="34"/>
      <c r="K292" s="34"/>
      <c r="L292" s="35"/>
      <c r="M292" s="156"/>
      <c r="N292" s="157"/>
      <c r="O292" s="55"/>
      <c r="P292" s="55"/>
      <c r="Q292" s="55"/>
      <c r="R292" s="55"/>
      <c r="S292" s="55"/>
      <c r="T292" s="56"/>
      <c r="U292" s="34"/>
      <c r="V292" s="34"/>
      <c r="W292" s="34"/>
      <c r="X292" s="34"/>
      <c r="Y292" s="34"/>
      <c r="Z292" s="34"/>
      <c r="AA292" s="34"/>
      <c r="AB292" s="34"/>
      <c r="AC292" s="34"/>
      <c r="AD292" s="34"/>
      <c r="AE292" s="34"/>
      <c r="AT292" s="19" t="s">
        <v>191</v>
      </c>
      <c r="AU292" s="19" t="s">
        <v>87</v>
      </c>
    </row>
    <row r="293" spans="1:65" s="2" customFormat="1" ht="16.5" customHeight="1">
      <c r="A293" s="34"/>
      <c r="B293" s="139"/>
      <c r="C293" s="140" t="s">
        <v>794</v>
      </c>
      <c r="D293" s="140" t="s">
        <v>180</v>
      </c>
      <c r="E293" s="141" t="s">
        <v>795</v>
      </c>
      <c r="F293" s="142" t="s">
        <v>796</v>
      </c>
      <c r="G293" s="143" t="s">
        <v>183</v>
      </c>
      <c r="H293" s="144">
        <v>0.314</v>
      </c>
      <c r="I293" s="145"/>
      <c r="J293" s="146">
        <f>ROUND(I293*H293,2)</f>
        <v>0</v>
      </c>
      <c r="K293" s="142" t="s">
        <v>184</v>
      </c>
      <c r="L293" s="35"/>
      <c r="M293" s="147" t="s">
        <v>3</v>
      </c>
      <c r="N293" s="148" t="s">
        <v>48</v>
      </c>
      <c r="O293" s="55"/>
      <c r="P293" s="149">
        <f>O293*H293</f>
        <v>0</v>
      </c>
      <c r="Q293" s="149">
        <v>0</v>
      </c>
      <c r="R293" s="149">
        <f>Q293*H293</f>
        <v>0</v>
      </c>
      <c r="S293" s="149">
        <v>0</v>
      </c>
      <c r="T293" s="150">
        <f>S293*H293</f>
        <v>0</v>
      </c>
      <c r="U293" s="34"/>
      <c r="V293" s="34"/>
      <c r="W293" s="34"/>
      <c r="X293" s="34"/>
      <c r="Y293" s="34"/>
      <c r="Z293" s="34"/>
      <c r="AA293" s="34"/>
      <c r="AB293" s="34"/>
      <c r="AC293" s="34"/>
      <c r="AD293" s="34"/>
      <c r="AE293" s="34"/>
      <c r="AR293" s="151" t="s">
        <v>237</v>
      </c>
      <c r="AT293" s="151" t="s">
        <v>180</v>
      </c>
      <c r="AU293" s="151" t="s">
        <v>87</v>
      </c>
      <c r="AY293" s="19" t="s">
        <v>177</v>
      </c>
      <c r="BE293" s="152">
        <f>IF(N293="základní",J293,0)</f>
        <v>0</v>
      </c>
      <c r="BF293" s="152">
        <f>IF(N293="snížená",J293,0)</f>
        <v>0</v>
      </c>
      <c r="BG293" s="152">
        <f>IF(N293="zákl. přenesená",J293,0)</f>
        <v>0</v>
      </c>
      <c r="BH293" s="152">
        <f>IF(N293="sníž. přenesená",J293,0)</f>
        <v>0</v>
      </c>
      <c r="BI293" s="152">
        <f>IF(N293="nulová",J293,0)</f>
        <v>0</v>
      </c>
      <c r="BJ293" s="19" t="s">
        <v>85</v>
      </c>
      <c r="BK293" s="152">
        <f>ROUND(I293*H293,2)</f>
        <v>0</v>
      </c>
      <c r="BL293" s="19" t="s">
        <v>237</v>
      </c>
      <c r="BM293" s="151" t="s">
        <v>797</v>
      </c>
    </row>
    <row r="294" spans="1:65" s="2" customFormat="1" ht="19.5">
      <c r="A294" s="34"/>
      <c r="B294" s="35"/>
      <c r="C294" s="34"/>
      <c r="D294" s="153" t="s">
        <v>187</v>
      </c>
      <c r="E294" s="34"/>
      <c r="F294" s="154" t="s">
        <v>798</v>
      </c>
      <c r="G294" s="34"/>
      <c r="H294" s="34"/>
      <c r="I294" s="155"/>
      <c r="J294" s="34"/>
      <c r="K294" s="34"/>
      <c r="L294" s="35"/>
      <c r="M294" s="156"/>
      <c r="N294" s="157"/>
      <c r="O294" s="55"/>
      <c r="P294" s="55"/>
      <c r="Q294" s="55"/>
      <c r="R294" s="55"/>
      <c r="S294" s="55"/>
      <c r="T294" s="56"/>
      <c r="U294" s="34"/>
      <c r="V294" s="34"/>
      <c r="W294" s="34"/>
      <c r="X294" s="34"/>
      <c r="Y294" s="34"/>
      <c r="Z294" s="34"/>
      <c r="AA294" s="34"/>
      <c r="AB294" s="34"/>
      <c r="AC294" s="34"/>
      <c r="AD294" s="34"/>
      <c r="AE294" s="34"/>
      <c r="AT294" s="19" t="s">
        <v>187</v>
      </c>
      <c r="AU294" s="19" t="s">
        <v>87</v>
      </c>
    </row>
    <row r="295" spans="1:65" s="2" customFormat="1">
      <c r="A295" s="34"/>
      <c r="B295" s="35"/>
      <c r="C295" s="34"/>
      <c r="D295" s="158" t="s">
        <v>189</v>
      </c>
      <c r="E295" s="34"/>
      <c r="F295" s="159" t="s">
        <v>799</v>
      </c>
      <c r="G295" s="34"/>
      <c r="H295" s="34"/>
      <c r="I295" s="155"/>
      <c r="J295" s="34"/>
      <c r="K295" s="34"/>
      <c r="L295" s="35"/>
      <c r="M295" s="156"/>
      <c r="N295" s="157"/>
      <c r="O295" s="55"/>
      <c r="P295" s="55"/>
      <c r="Q295" s="55"/>
      <c r="R295" s="55"/>
      <c r="S295" s="55"/>
      <c r="T295" s="56"/>
      <c r="U295" s="34"/>
      <c r="V295" s="34"/>
      <c r="W295" s="34"/>
      <c r="X295" s="34"/>
      <c r="Y295" s="34"/>
      <c r="Z295" s="34"/>
      <c r="AA295" s="34"/>
      <c r="AB295" s="34"/>
      <c r="AC295" s="34"/>
      <c r="AD295" s="34"/>
      <c r="AE295" s="34"/>
      <c r="AT295" s="19" t="s">
        <v>189</v>
      </c>
      <c r="AU295" s="19" t="s">
        <v>87</v>
      </c>
    </row>
    <row r="296" spans="1:65" s="2" customFormat="1" ht="78">
      <c r="A296" s="34"/>
      <c r="B296" s="35"/>
      <c r="C296" s="34"/>
      <c r="D296" s="153" t="s">
        <v>191</v>
      </c>
      <c r="E296" s="34"/>
      <c r="F296" s="160" t="s">
        <v>793</v>
      </c>
      <c r="G296" s="34"/>
      <c r="H296" s="34"/>
      <c r="I296" s="155"/>
      <c r="J296" s="34"/>
      <c r="K296" s="34"/>
      <c r="L296" s="35"/>
      <c r="M296" s="156"/>
      <c r="N296" s="157"/>
      <c r="O296" s="55"/>
      <c r="P296" s="55"/>
      <c r="Q296" s="55"/>
      <c r="R296" s="55"/>
      <c r="S296" s="55"/>
      <c r="T296" s="56"/>
      <c r="U296" s="34"/>
      <c r="V296" s="34"/>
      <c r="W296" s="34"/>
      <c r="X296" s="34"/>
      <c r="Y296" s="34"/>
      <c r="Z296" s="34"/>
      <c r="AA296" s="34"/>
      <c r="AB296" s="34"/>
      <c r="AC296" s="34"/>
      <c r="AD296" s="34"/>
      <c r="AE296" s="34"/>
      <c r="AT296" s="19" t="s">
        <v>191</v>
      </c>
      <c r="AU296" s="19" t="s">
        <v>87</v>
      </c>
    </row>
    <row r="297" spans="1:65" s="12" customFormat="1" ht="25.9" customHeight="1">
      <c r="B297" s="126"/>
      <c r="D297" s="127" t="s">
        <v>76</v>
      </c>
      <c r="E297" s="128" t="s">
        <v>313</v>
      </c>
      <c r="F297" s="128" t="s">
        <v>314</v>
      </c>
      <c r="I297" s="129"/>
      <c r="J297" s="130">
        <f>BK297</f>
        <v>0</v>
      </c>
      <c r="L297" s="126"/>
      <c r="M297" s="131"/>
      <c r="N297" s="132"/>
      <c r="O297" s="132"/>
      <c r="P297" s="133">
        <f>SUM(P298:P300)</f>
        <v>0</v>
      </c>
      <c r="Q297" s="132"/>
      <c r="R297" s="133">
        <f>SUM(R298:R300)</f>
        <v>0</v>
      </c>
      <c r="S297" s="132"/>
      <c r="T297" s="134">
        <f>SUM(T298:T300)</f>
        <v>0</v>
      </c>
      <c r="AR297" s="127" t="s">
        <v>185</v>
      </c>
      <c r="AT297" s="135" t="s">
        <v>76</v>
      </c>
      <c r="AU297" s="135" t="s">
        <v>77</v>
      </c>
      <c r="AY297" s="127" t="s">
        <v>177</v>
      </c>
      <c r="BK297" s="136">
        <f>SUM(BK298:BK300)</f>
        <v>0</v>
      </c>
    </row>
    <row r="298" spans="1:65" s="2" customFormat="1" ht="16.5" customHeight="1">
      <c r="A298" s="34"/>
      <c r="B298" s="139"/>
      <c r="C298" s="140" t="s">
        <v>800</v>
      </c>
      <c r="D298" s="140" t="s">
        <v>180</v>
      </c>
      <c r="E298" s="141" t="s">
        <v>528</v>
      </c>
      <c r="F298" s="142" t="s">
        <v>529</v>
      </c>
      <c r="G298" s="143" t="s">
        <v>305</v>
      </c>
      <c r="H298" s="144">
        <v>100</v>
      </c>
      <c r="I298" s="145"/>
      <c r="J298" s="146">
        <f>ROUND(I298*H298,2)</f>
        <v>0</v>
      </c>
      <c r="K298" s="142" t="s">
        <v>184</v>
      </c>
      <c r="L298" s="35"/>
      <c r="M298" s="147" t="s">
        <v>3</v>
      </c>
      <c r="N298" s="148" t="s">
        <v>48</v>
      </c>
      <c r="O298" s="55"/>
      <c r="P298" s="149">
        <f>O298*H298</f>
        <v>0</v>
      </c>
      <c r="Q298" s="149">
        <v>0</v>
      </c>
      <c r="R298" s="149">
        <f>Q298*H298</f>
        <v>0</v>
      </c>
      <c r="S298" s="149">
        <v>0</v>
      </c>
      <c r="T298" s="150">
        <f>S298*H298</f>
        <v>0</v>
      </c>
      <c r="U298" s="34"/>
      <c r="V298" s="34"/>
      <c r="W298" s="34"/>
      <c r="X298" s="34"/>
      <c r="Y298" s="34"/>
      <c r="Z298" s="34"/>
      <c r="AA298" s="34"/>
      <c r="AB298" s="34"/>
      <c r="AC298" s="34"/>
      <c r="AD298" s="34"/>
      <c r="AE298" s="34"/>
      <c r="AR298" s="151" t="s">
        <v>318</v>
      </c>
      <c r="AT298" s="151" t="s">
        <v>180</v>
      </c>
      <c r="AU298" s="151" t="s">
        <v>85</v>
      </c>
      <c r="AY298" s="19" t="s">
        <v>177</v>
      </c>
      <c r="BE298" s="152">
        <f>IF(N298="základní",J298,0)</f>
        <v>0</v>
      </c>
      <c r="BF298" s="152">
        <f>IF(N298="snížená",J298,0)</f>
        <v>0</v>
      </c>
      <c r="BG298" s="152">
        <f>IF(N298="zákl. přenesená",J298,0)</f>
        <v>0</v>
      </c>
      <c r="BH298" s="152">
        <f>IF(N298="sníž. přenesená",J298,0)</f>
        <v>0</v>
      </c>
      <c r="BI298" s="152">
        <f>IF(N298="nulová",J298,0)</f>
        <v>0</v>
      </c>
      <c r="BJ298" s="19" t="s">
        <v>85</v>
      </c>
      <c r="BK298" s="152">
        <f>ROUND(I298*H298,2)</f>
        <v>0</v>
      </c>
      <c r="BL298" s="19" t="s">
        <v>318</v>
      </c>
      <c r="BM298" s="151" t="s">
        <v>801</v>
      </c>
    </row>
    <row r="299" spans="1:65" s="2" customFormat="1">
      <c r="A299" s="34"/>
      <c r="B299" s="35"/>
      <c r="C299" s="34"/>
      <c r="D299" s="153" t="s">
        <v>187</v>
      </c>
      <c r="E299" s="34"/>
      <c r="F299" s="154" t="s">
        <v>531</v>
      </c>
      <c r="G299" s="34"/>
      <c r="H299" s="34"/>
      <c r="I299" s="155"/>
      <c r="J299" s="34"/>
      <c r="K299" s="34"/>
      <c r="L299" s="35"/>
      <c r="M299" s="156"/>
      <c r="N299" s="157"/>
      <c r="O299" s="55"/>
      <c r="P299" s="55"/>
      <c r="Q299" s="55"/>
      <c r="R299" s="55"/>
      <c r="S299" s="55"/>
      <c r="T299" s="56"/>
      <c r="U299" s="34"/>
      <c r="V299" s="34"/>
      <c r="W299" s="34"/>
      <c r="X299" s="34"/>
      <c r="Y299" s="34"/>
      <c r="Z299" s="34"/>
      <c r="AA299" s="34"/>
      <c r="AB299" s="34"/>
      <c r="AC299" s="34"/>
      <c r="AD299" s="34"/>
      <c r="AE299" s="34"/>
      <c r="AT299" s="19" t="s">
        <v>187</v>
      </c>
      <c r="AU299" s="19" t="s">
        <v>85</v>
      </c>
    </row>
    <row r="300" spans="1:65" s="2" customFormat="1">
      <c r="A300" s="34"/>
      <c r="B300" s="35"/>
      <c r="C300" s="34"/>
      <c r="D300" s="158" t="s">
        <v>189</v>
      </c>
      <c r="E300" s="34"/>
      <c r="F300" s="159" t="s">
        <v>532</v>
      </c>
      <c r="G300" s="34"/>
      <c r="H300" s="34"/>
      <c r="I300" s="155"/>
      <c r="J300" s="34"/>
      <c r="K300" s="34"/>
      <c r="L300" s="35"/>
      <c r="M300" s="205"/>
      <c r="N300" s="206"/>
      <c r="O300" s="207"/>
      <c r="P300" s="207"/>
      <c r="Q300" s="207"/>
      <c r="R300" s="207"/>
      <c r="S300" s="207"/>
      <c r="T300" s="208"/>
      <c r="U300" s="34"/>
      <c r="V300" s="34"/>
      <c r="W300" s="34"/>
      <c r="X300" s="34"/>
      <c r="Y300" s="34"/>
      <c r="Z300" s="34"/>
      <c r="AA300" s="34"/>
      <c r="AB300" s="34"/>
      <c r="AC300" s="34"/>
      <c r="AD300" s="34"/>
      <c r="AE300" s="34"/>
      <c r="AT300" s="19" t="s">
        <v>189</v>
      </c>
      <c r="AU300" s="19" t="s">
        <v>85</v>
      </c>
    </row>
    <row r="301" spans="1:65" s="2" customFormat="1" ht="6.95" customHeight="1">
      <c r="A301" s="34"/>
      <c r="B301" s="44"/>
      <c r="C301" s="45"/>
      <c r="D301" s="45"/>
      <c r="E301" s="45"/>
      <c r="F301" s="45"/>
      <c r="G301" s="45"/>
      <c r="H301" s="45"/>
      <c r="I301" s="45"/>
      <c r="J301" s="45"/>
      <c r="K301" s="45"/>
      <c r="L301" s="35"/>
      <c r="M301" s="34"/>
      <c r="O301" s="34"/>
      <c r="P301" s="34"/>
      <c r="Q301" s="34"/>
      <c r="R301" s="34"/>
      <c r="S301" s="34"/>
      <c r="T301" s="34"/>
      <c r="U301" s="34"/>
      <c r="V301" s="34"/>
      <c r="W301" s="34"/>
      <c r="X301" s="34"/>
      <c r="Y301" s="34"/>
      <c r="Z301" s="34"/>
      <c r="AA301" s="34"/>
      <c r="AB301" s="34"/>
      <c r="AC301" s="34"/>
      <c r="AD301" s="34"/>
      <c r="AE301" s="34"/>
    </row>
  </sheetData>
  <autoFilter ref="C88:K300"/>
  <mergeCells count="9">
    <mergeCell ref="E50:H50"/>
    <mergeCell ref="E79:H79"/>
    <mergeCell ref="E81:H81"/>
    <mergeCell ref="L2:V2"/>
    <mergeCell ref="E7:H7"/>
    <mergeCell ref="E9:H9"/>
    <mergeCell ref="E18:H18"/>
    <mergeCell ref="E27:H27"/>
    <mergeCell ref="E48:H48"/>
  </mergeCells>
  <hyperlinks>
    <hyperlink ref="F94" r:id="rId1"/>
    <hyperlink ref="F103" r:id="rId2"/>
    <hyperlink ref="F110" r:id="rId3"/>
    <hyperlink ref="F115" r:id="rId4"/>
    <hyperlink ref="F125" r:id="rId5"/>
    <hyperlink ref="F135" r:id="rId6"/>
    <hyperlink ref="F153" r:id="rId7"/>
    <hyperlink ref="F160" r:id="rId8"/>
    <hyperlink ref="F165" r:id="rId9"/>
    <hyperlink ref="F169" r:id="rId10"/>
    <hyperlink ref="F176" r:id="rId11"/>
    <hyperlink ref="F180" r:id="rId12"/>
    <hyperlink ref="F185" r:id="rId13"/>
    <hyperlink ref="F189" r:id="rId14"/>
    <hyperlink ref="F193" r:id="rId15"/>
    <hyperlink ref="F197" r:id="rId16"/>
    <hyperlink ref="F200" r:id="rId17"/>
    <hyperlink ref="F206" r:id="rId18"/>
    <hyperlink ref="F210" r:id="rId19"/>
    <hyperlink ref="F215" r:id="rId20"/>
    <hyperlink ref="F219" r:id="rId21"/>
    <hyperlink ref="F224" r:id="rId22"/>
    <hyperlink ref="F229" r:id="rId23"/>
    <hyperlink ref="F235" r:id="rId24"/>
    <hyperlink ref="F244" r:id="rId25"/>
    <hyperlink ref="F256" r:id="rId26"/>
    <hyperlink ref="F261" r:id="rId27"/>
    <hyperlink ref="F273" r:id="rId28"/>
    <hyperlink ref="F277" r:id="rId29"/>
    <hyperlink ref="F282" r:id="rId30"/>
    <hyperlink ref="F291" r:id="rId31"/>
    <hyperlink ref="F295" r:id="rId32"/>
    <hyperlink ref="F300" r:id="rId33"/>
  </hyperlinks>
  <pageMargins left="0.39374999999999999" right="0.39374999999999999" top="0.39374999999999999" bottom="0.39374999999999999" header="0" footer="0"/>
  <pageSetup paperSize="9" scale="84" fitToHeight="100" orientation="landscape" blackAndWhite="1" r:id="rId34"/>
  <headerFooter>
    <oddFooter>&amp;CStrana &amp;P z &amp;N</oddFooter>
  </headerFooter>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tabSelected="1" topLeftCell="A182" workbookViewId="0">
      <selection activeCell="F222" sqref="F22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96</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802</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ROUND(J88,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ROUND((SUM(BE88:BE215)),  2)</f>
        <v>0</v>
      </c>
      <c r="G33" s="34"/>
      <c r="H33" s="34"/>
      <c r="I33" s="98">
        <v>0.21</v>
      </c>
      <c r="J33" s="97">
        <f>ROUND(((SUM(BE88:BE215))*I33),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ROUND((SUM(BF88:BF215)),  2)</f>
        <v>0</v>
      </c>
      <c r="G34" s="34"/>
      <c r="H34" s="34"/>
      <c r="I34" s="98">
        <v>0.15</v>
      </c>
      <c r="J34" s="97">
        <f>ROUND(((SUM(BF88:BF215))*I34),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ROUND((SUM(BG88:BG215)),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ROUND((SUM(BH88:BH215)),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ROUND((SUM(BI88:BI215)),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4 - Oddělení bourané a ponechávané části, bourání bazénu</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J88</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J89</f>
        <v>0</v>
      </c>
      <c r="L60" s="108"/>
    </row>
    <row r="61" spans="1:47" s="10" customFormat="1" ht="19.899999999999999" customHeight="1">
      <c r="B61" s="112"/>
      <c r="D61" s="113" t="s">
        <v>325</v>
      </c>
      <c r="E61" s="114"/>
      <c r="F61" s="114"/>
      <c r="G61" s="114"/>
      <c r="H61" s="114"/>
      <c r="I61" s="114"/>
      <c r="J61" s="115">
        <f>J90</f>
        <v>0</v>
      </c>
      <c r="L61" s="112"/>
    </row>
    <row r="62" spans="1:47" s="10" customFormat="1" ht="19.899999999999999" customHeight="1">
      <c r="B62" s="112"/>
      <c r="D62" s="113" t="s">
        <v>154</v>
      </c>
      <c r="E62" s="114"/>
      <c r="F62" s="114"/>
      <c r="G62" s="114"/>
      <c r="H62" s="114"/>
      <c r="I62" s="114"/>
      <c r="J62" s="115">
        <f>J140</f>
        <v>0</v>
      </c>
      <c r="L62" s="112"/>
    </row>
    <row r="63" spans="1:47" s="10" customFormat="1" ht="19.899999999999999" customHeight="1">
      <c r="B63" s="112"/>
      <c r="D63" s="113" t="s">
        <v>326</v>
      </c>
      <c r="E63" s="114"/>
      <c r="F63" s="114"/>
      <c r="G63" s="114"/>
      <c r="H63" s="114"/>
      <c r="I63" s="114"/>
      <c r="J63" s="115">
        <f>J178</f>
        <v>0</v>
      </c>
      <c r="L63" s="112"/>
    </row>
    <row r="64" spans="1:47" s="9" customFormat="1" ht="24.95" customHeight="1">
      <c r="B64" s="108"/>
      <c r="D64" s="109" t="s">
        <v>327</v>
      </c>
      <c r="E64" s="110"/>
      <c r="F64" s="110"/>
      <c r="G64" s="110"/>
      <c r="H64" s="110"/>
      <c r="I64" s="110"/>
      <c r="J64" s="111">
        <f>J183</f>
        <v>0</v>
      </c>
      <c r="L64" s="108"/>
    </row>
    <row r="65" spans="1:31" s="10" customFormat="1" ht="19.899999999999999" customHeight="1">
      <c r="B65" s="112"/>
      <c r="D65" s="113" t="s">
        <v>328</v>
      </c>
      <c r="E65" s="114"/>
      <c r="F65" s="114"/>
      <c r="G65" s="114"/>
      <c r="H65" s="114"/>
      <c r="I65" s="114"/>
      <c r="J65" s="115">
        <f>J184</f>
        <v>0</v>
      </c>
      <c r="L65" s="112"/>
    </row>
    <row r="66" spans="1:31" s="10" customFormat="1" ht="19.899999999999999" customHeight="1">
      <c r="B66" s="112"/>
      <c r="D66" s="113" t="s">
        <v>803</v>
      </c>
      <c r="E66" s="114"/>
      <c r="F66" s="114"/>
      <c r="G66" s="114"/>
      <c r="H66" s="114"/>
      <c r="I66" s="114"/>
      <c r="J66" s="115">
        <f>J190</f>
        <v>0</v>
      </c>
      <c r="L66" s="112"/>
    </row>
    <row r="67" spans="1:31" s="10" customFormat="1" ht="19.899999999999999" customHeight="1">
      <c r="B67" s="112"/>
      <c r="D67" s="113" t="s">
        <v>804</v>
      </c>
      <c r="E67" s="114"/>
      <c r="F67" s="114"/>
      <c r="G67" s="114"/>
      <c r="H67" s="114"/>
      <c r="I67" s="114"/>
      <c r="J67" s="115">
        <f>J200</f>
        <v>0</v>
      </c>
      <c r="L67" s="112"/>
    </row>
    <row r="68" spans="1:31" s="10" customFormat="1" ht="19.899999999999999" customHeight="1">
      <c r="B68" s="112"/>
      <c r="D68" s="113" t="s">
        <v>805</v>
      </c>
      <c r="E68" s="114"/>
      <c r="F68" s="114"/>
      <c r="G68" s="114"/>
      <c r="H68" s="114"/>
      <c r="I68" s="114"/>
      <c r="J68" s="115">
        <f>J209</f>
        <v>0</v>
      </c>
      <c r="L68" s="112"/>
    </row>
    <row r="69" spans="1:31" s="2" customFormat="1" ht="21.75" customHeight="1">
      <c r="A69" s="34"/>
      <c r="B69" s="35"/>
      <c r="C69" s="34"/>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1"/>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1"/>
      <c r="S74" s="34"/>
      <c r="T74" s="34"/>
      <c r="U74" s="34"/>
      <c r="V74" s="34"/>
      <c r="W74" s="34"/>
      <c r="X74" s="34"/>
      <c r="Y74" s="34"/>
      <c r="Z74" s="34"/>
      <c r="AA74" s="34"/>
      <c r="AB74" s="34"/>
      <c r="AC74" s="34"/>
      <c r="AD74" s="34"/>
      <c r="AE74" s="34"/>
    </row>
    <row r="75" spans="1:31" s="2" customFormat="1" ht="24.95" customHeight="1">
      <c r="A75" s="34"/>
      <c r="B75" s="35"/>
      <c r="C75" s="23" t="s">
        <v>162</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436" t="str">
        <f>E7</f>
        <v>ZŠ P. HOLÉHO - PŘESTAVBA PLAVECKÉHO PAVILONU</v>
      </c>
      <c r="F78" s="437"/>
      <c r="G78" s="437"/>
      <c r="H78" s="437"/>
      <c r="I78" s="34"/>
      <c r="J78" s="34"/>
      <c r="K78" s="34"/>
      <c r="L78" s="91"/>
      <c r="S78" s="34"/>
      <c r="T78" s="34"/>
      <c r="U78" s="34"/>
      <c r="V78" s="34"/>
      <c r="W78" s="34"/>
      <c r="X78" s="34"/>
      <c r="Y78" s="34"/>
      <c r="Z78" s="34"/>
      <c r="AA78" s="34"/>
      <c r="AB78" s="34"/>
      <c r="AC78" s="34"/>
      <c r="AD78" s="34"/>
      <c r="AE78" s="34"/>
    </row>
    <row r="79" spans="1:31" s="2" customFormat="1" ht="12" customHeight="1">
      <c r="A79" s="34"/>
      <c r="B79" s="35"/>
      <c r="C79" s="29" t="s">
        <v>146</v>
      </c>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6.5" customHeight="1">
      <c r="A80" s="34"/>
      <c r="B80" s="35"/>
      <c r="C80" s="34"/>
      <c r="D80" s="34"/>
      <c r="E80" s="432" t="str">
        <f>E9</f>
        <v>E 4 - Oddělení bourané a ponechávané části, bourání bazénu</v>
      </c>
      <c r="F80" s="435"/>
      <c r="G80" s="435"/>
      <c r="H80" s="435"/>
      <c r="I80" s="34"/>
      <c r="J80" s="34"/>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F12</f>
        <v>Prokopa Holého 2632, Louny, 440 01</v>
      </c>
      <c r="G82" s="34"/>
      <c r="H82" s="34"/>
      <c r="I82" s="29" t="s">
        <v>23</v>
      </c>
      <c r="J82" s="52" t="str">
        <f>IF(J12="","",J12)</f>
        <v>21. 9. 2022</v>
      </c>
      <c r="K82" s="34"/>
      <c r="L82" s="91"/>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E15</f>
        <v>Město Louny</v>
      </c>
      <c r="G84" s="34"/>
      <c r="H84" s="34"/>
      <c r="I84" s="29" t="s">
        <v>32</v>
      </c>
      <c r="J84" s="32" t="str">
        <f>E21</f>
        <v>RYSIK Design s.r.o.</v>
      </c>
      <c r="K84" s="34"/>
      <c r="L84" s="91"/>
      <c r="S84" s="34"/>
      <c r="T84" s="34"/>
      <c r="U84" s="34"/>
      <c r="V84" s="34"/>
      <c r="W84" s="34"/>
      <c r="X84" s="34"/>
      <c r="Y84" s="34"/>
      <c r="Z84" s="34"/>
      <c r="AA84" s="34"/>
      <c r="AB84" s="34"/>
      <c r="AC84" s="34"/>
      <c r="AD84" s="34"/>
      <c r="AE84" s="34"/>
    </row>
    <row r="85" spans="1:65" s="2" customFormat="1" ht="25.7" customHeight="1">
      <c r="A85" s="34"/>
      <c r="B85" s="35"/>
      <c r="C85" s="29" t="s">
        <v>30</v>
      </c>
      <c r="D85" s="34"/>
      <c r="E85" s="34"/>
      <c r="F85" s="27" t="str">
        <f>IF(E18="","",E18)</f>
        <v>Vyplň údaj</v>
      </c>
      <c r="G85" s="34"/>
      <c r="H85" s="34"/>
      <c r="I85" s="29" t="s">
        <v>37</v>
      </c>
      <c r="J85" s="32" t="str">
        <f>E24</f>
        <v>ing. Kateřina Tumpachová</v>
      </c>
      <c r="K85" s="34"/>
      <c r="L85" s="91"/>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11" customFormat="1" ht="29.25" customHeight="1">
      <c r="A87" s="116"/>
      <c r="B87" s="117"/>
      <c r="C87" s="118" t="s">
        <v>163</v>
      </c>
      <c r="D87" s="119" t="s">
        <v>62</v>
      </c>
      <c r="E87" s="119" t="s">
        <v>58</v>
      </c>
      <c r="F87" s="119" t="s">
        <v>59</v>
      </c>
      <c r="G87" s="119" t="s">
        <v>164</v>
      </c>
      <c r="H87" s="119" t="s">
        <v>165</v>
      </c>
      <c r="I87" s="119" t="s">
        <v>166</v>
      </c>
      <c r="J87" s="119" t="s">
        <v>151</v>
      </c>
      <c r="K87" s="120" t="s">
        <v>167</v>
      </c>
      <c r="L87" s="121"/>
      <c r="M87" s="59" t="s">
        <v>3</v>
      </c>
      <c r="N87" s="60" t="s">
        <v>47</v>
      </c>
      <c r="O87" s="60" t="s">
        <v>168</v>
      </c>
      <c r="P87" s="60" t="s">
        <v>169</v>
      </c>
      <c r="Q87" s="60" t="s">
        <v>170</v>
      </c>
      <c r="R87" s="60" t="s">
        <v>171</v>
      </c>
      <c r="S87" s="60" t="s">
        <v>172</v>
      </c>
      <c r="T87" s="61" t="s">
        <v>173</v>
      </c>
      <c r="U87" s="116"/>
      <c r="V87" s="116"/>
      <c r="W87" s="116"/>
      <c r="X87" s="116"/>
      <c r="Y87" s="116"/>
      <c r="Z87" s="116"/>
      <c r="AA87" s="116"/>
      <c r="AB87" s="116"/>
      <c r="AC87" s="116"/>
      <c r="AD87" s="116"/>
      <c r="AE87" s="116"/>
    </row>
    <row r="88" spans="1:65" s="2" customFormat="1" ht="22.9" customHeight="1">
      <c r="A88" s="34"/>
      <c r="B88" s="35"/>
      <c r="C88" s="66" t="s">
        <v>174</v>
      </c>
      <c r="D88" s="34"/>
      <c r="E88" s="34"/>
      <c r="F88" s="34"/>
      <c r="G88" s="34"/>
      <c r="H88" s="34"/>
      <c r="I88" s="34"/>
      <c r="J88" s="122">
        <f>BK88</f>
        <v>0</v>
      </c>
      <c r="K88" s="34"/>
      <c r="L88" s="35"/>
      <c r="M88" s="62"/>
      <c r="N88" s="53"/>
      <c r="O88" s="63"/>
      <c r="P88" s="123">
        <f>P89+P183</f>
        <v>0</v>
      </c>
      <c r="Q88" s="63"/>
      <c r="R88" s="123">
        <f>R89+R183</f>
        <v>1.3621431439999998</v>
      </c>
      <c r="S88" s="63"/>
      <c r="T88" s="124">
        <f>T89+T183</f>
        <v>1690.1207999999999</v>
      </c>
      <c r="U88" s="34"/>
      <c r="V88" s="34"/>
      <c r="W88" s="34"/>
      <c r="X88" s="34"/>
      <c r="Y88" s="34"/>
      <c r="Z88" s="34"/>
      <c r="AA88" s="34"/>
      <c r="AB88" s="34"/>
      <c r="AC88" s="34"/>
      <c r="AD88" s="34"/>
      <c r="AE88" s="34"/>
      <c r="AT88" s="19" t="s">
        <v>76</v>
      </c>
      <c r="AU88" s="19" t="s">
        <v>152</v>
      </c>
      <c r="BK88" s="125">
        <f>BK89+BK183</f>
        <v>0</v>
      </c>
    </row>
    <row r="89" spans="1:65" s="12" customFormat="1" ht="25.9" customHeight="1">
      <c r="B89" s="126"/>
      <c r="D89" s="127" t="s">
        <v>76</v>
      </c>
      <c r="E89" s="128" t="s">
        <v>175</v>
      </c>
      <c r="F89" s="128" t="s">
        <v>176</v>
      </c>
      <c r="I89" s="129"/>
      <c r="J89" s="130">
        <f>BK89</f>
        <v>0</v>
      </c>
      <c r="L89" s="126"/>
      <c r="M89" s="131"/>
      <c r="N89" s="132"/>
      <c r="O89" s="132"/>
      <c r="P89" s="133">
        <f>P90+P140+P178</f>
        <v>0</v>
      </c>
      <c r="Q89" s="132"/>
      <c r="R89" s="133">
        <f>R90+R140+R178</f>
        <v>1.3621431439999998</v>
      </c>
      <c r="S89" s="132"/>
      <c r="T89" s="134">
        <f>T90+T140+T178</f>
        <v>1690.1207999999999</v>
      </c>
      <c r="AR89" s="127" t="s">
        <v>85</v>
      </c>
      <c r="AT89" s="135" t="s">
        <v>76</v>
      </c>
      <c r="AU89" s="135" t="s">
        <v>77</v>
      </c>
      <c r="AY89" s="127" t="s">
        <v>177</v>
      </c>
      <c r="BK89" s="136">
        <f>BK90+BK140+BK178</f>
        <v>0</v>
      </c>
    </row>
    <row r="90" spans="1:65" s="12" customFormat="1" ht="22.9" customHeight="1">
      <c r="B90" s="126"/>
      <c r="D90" s="127" t="s">
        <v>76</v>
      </c>
      <c r="E90" s="137" t="s">
        <v>252</v>
      </c>
      <c r="F90" s="137" t="s">
        <v>329</v>
      </c>
      <c r="I90" s="129"/>
      <c r="J90" s="138">
        <f>BK90</f>
        <v>0</v>
      </c>
      <c r="L90" s="126"/>
      <c r="M90" s="131"/>
      <c r="N90" s="132"/>
      <c r="O90" s="132"/>
      <c r="P90" s="133">
        <f>SUM(P91:P139)</f>
        <v>0</v>
      </c>
      <c r="Q90" s="132"/>
      <c r="R90" s="133">
        <f>SUM(R91:R139)</f>
        <v>1.3621431439999998</v>
      </c>
      <c r="S90" s="132"/>
      <c r="T90" s="134">
        <f>SUM(T91:T139)</f>
        <v>1690.1207999999999</v>
      </c>
      <c r="AR90" s="127" t="s">
        <v>85</v>
      </c>
      <c r="AT90" s="135" t="s">
        <v>76</v>
      </c>
      <c r="AU90" s="135" t="s">
        <v>85</v>
      </c>
      <c r="AY90" s="127" t="s">
        <v>177</v>
      </c>
      <c r="BK90" s="136">
        <f>SUM(BK91:BK139)</f>
        <v>0</v>
      </c>
    </row>
    <row r="91" spans="1:65" s="2" customFormat="1" ht="16.5" customHeight="1">
      <c r="A91" s="34"/>
      <c r="B91" s="139"/>
      <c r="C91" s="140" t="s">
        <v>85</v>
      </c>
      <c r="D91" s="140" t="s">
        <v>180</v>
      </c>
      <c r="E91" s="141" t="s">
        <v>806</v>
      </c>
      <c r="F91" s="142" t="s">
        <v>807</v>
      </c>
      <c r="G91" s="143" t="s">
        <v>808</v>
      </c>
      <c r="H91" s="144">
        <v>14.186999999999999</v>
      </c>
      <c r="I91" s="145"/>
      <c r="J91" s="146">
        <f>ROUND(I91*H91,2)</f>
        <v>0</v>
      </c>
      <c r="K91" s="142" t="s">
        <v>184</v>
      </c>
      <c r="L91" s="35"/>
      <c r="M91" s="147" t="s">
        <v>3</v>
      </c>
      <c r="N91" s="148" t="s">
        <v>48</v>
      </c>
      <c r="O91" s="55"/>
      <c r="P91" s="149">
        <f>O91*H91</f>
        <v>0</v>
      </c>
      <c r="Q91" s="149">
        <v>0</v>
      </c>
      <c r="R91" s="149">
        <f>Q91*H91</f>
        <v>0</v>
      </c>
      <c r="S91" s="149">
        <v>2.4</v>
      </c>
      <c r="T91" s="150">
        <f>S91*H91</f>
        <v>34.0488</v>
      </c>
      <c r="U91" s="34"/>
      <c r="V91" s="34"/>
      <c r="W91" s="34"/>
      <c r="X91" s="34"/>
      <c r="Y91" s="34"/>
      <c r="Z91" s="34"/>
      <c r="AA91" s="34"/>
      <c r="AB91" s="34"/>
      <c r="AC91" s="34"/>
      <c r="AD91" s="34"/>
      <c r="AE91" s="34"/>
      <c r="AR91" s="151" t="s">
        <v>185</v>
      </c>
      <c r="AT91" s="151" t="s">
        <v>180</v>
      </c>
      <c r="AU91" s="151" t="s">
        <v>87</v>
      </c>
      <c r="AY91" s="19" t="s">
        <v>177</v>
      </c>
      <c r="BE91" s="152">
        <f>IF(N91="základní",J91,0)</f>
        <v>0</v>
      </c>
      <c r="BF91" s="152">
        <f>IF(N91="snížená",J91,0)</f>
        <v>0</v>
      </c>
      <c r="BG91" s="152">
        <f>IF(N91="zákl. přenesená",J91,0)</f>
        <v>0</v>
      </c>
      <c r="BH91" s="152">
        <f>IF(N91="sníž. přenesená",J91,0)</f>
        <v>0</v>
      </c>
      <c r="BI91" s="152">
        <f>IF(N91="nulová",J91,0)</f>
        <v>0</v>
      </c>
      <c r="BJ91" s="19" t="s">
        <v>85</v>
      </c>
      <c r="BK91" s="152">
        <f>ROUND(I91*H91,2)</f>
        <v>0</v>
      </c>
      <c r="BL91" s="19" t="s">
        <v>185</v>
      </c>
      <c r="BM91" s="151" t="s">
        <v>809</v>
      </c>
    </row>
    <row r="92" spans="1:65" s="2" customFormat="1">
      <c r="A92" s="34"/>
      <c r="B92" s="35"/>
      <c r="C92" s="34"/>
      <c r="D92" s="153" t="s">
        <v>187</v>
      </c>
      <c r="E92" s="34"/>
      <c r="F92" s="154" t="s">
        <v>810</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187</v>
      </c>
      <c r="AU92" s="19" t="s">
        <v>87</v>
      </c>
    </row>
    <row r="93" spans="1:65" s="2" customFormat="1">
      <c r="A93" s="34"/>
      <c r="B93" s="35"/>
      <c r="C93" s="34"/>
      <c r="D93" s="158" t="s">
        <v>189</v>
      </c>
      <c r="E93" s="34"/>
      <c r="F93" s="159" t="s">
        <v>811</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189</v>
      </c>
      <c r="AU93" s="19" t="s">
        <v>87</v>
      </c>
    </row>
    <row r="94" spans="1:65" s="14" customFormat="1">
      <c r="B94" s="169"/>
      <c r="D94" s="153" t="s">
        <v>193</v>
      </c>
      <c r="E94" s="170" t="s">
        <v>3</v>
      </c>
      <c r="F94" s="171" t="s">
        <v>812</v>
      </c>
      <c r="H94" s="170" t="s">
        <v>3</v>
      </c>
      <c r="I94" s="172"/>
      <c r="L94" s="169"/>
      <c r="M94" s="173"/>
      <c r="N94" s="174"/>
      <c r="O94" s="174"/>
      <c r="P94" s="174"/>
      <c r="Q94" s="174"/>
      <c r="R94" s="174"/>
      <c r="S94" s="174"/>
      <c r="T94" s="175"/>
      <c r="AT94" s="170" t="s">
        <v>193</v>
      </c>
      <c r="AU94" s="170" t="s">
        <v>87</v>
      </c>
      <c r="AV94" s="14" t="s">
        <v>85</v>
      </c>
      <c r="AW94" s="14" t="s">
        <v>36</v>
      </c>
      <c r="AX94" s="14" t="s">
        <v>77</v>
      </c>
      <c r="AY94" s="170" t="s">
        <v>177</v>
      </c>
    </row>
    <row r="95" spans="1:65" s="13" customFormat="1">
      <c r="B95" s="161"/>
      <c r="D95" s="153" t="s">
        <v>193</v>
      </c>
      <c r="E95" s="162" t="s">
        <v>3</v>
      </c>
      <c r="F95" s="163" t="s">
        <v>813</v>
      </c>
      <c r="H95" s="164">
        <v>14.186999999999999</v>
      </c>
      <c r="I95" s="165"/>
      <c r="L95" s="161"/>
      <c r="M95" s="166"/>
      <c r="N95" s="167"/>
      <c r="O95" s="167"/>
      <c r="P95" s="167"/>
      <c r="Q95" s="167"/>
      <c r="R95" s="167"/>
      <c r="S95" s="167"/>
      <c r="T95" s="168"/>
      <c r="AT95" s="162" t="s">
        <v>193</v>
      </c>
      <c r="AU95" s="162" t="s">
        <v>87</v>
      </c>
      <c r="AV95" s="13" t="s">
        <v>87</v>
      </c>
      <c r="AW95" s="13" t="s">
        <v>36</v>
      </c>
      <c r="AX95" s="13" t="s">
        <v>85</v>
      </c>
      <c r="AY95" s="162" t="s">
        <v>177</v>
      </c>
    </row>
    <row r="96" spans="1:65" s="2" customFormat="1" ht="21.75" customHeight="1">
      <c r="A96" s="34"/>
      <c r="B96" s="139"/>
      <c r="C96" s="140" t="s">
        <v>87</v>
      </c>
      <c r="D96" s="140" t="s">
        <v>180</v>
      </c>
      <c r="E96" s="141" t="s">
        <v>701</v>
      </c>
      <c r="F96" s="142" t="s">
        <v>702</v>
      </c>
      <c r="G96" s="143" t="s">
        <v>476</v>
      </c>
      <c r="H96" s="144">
        <v>48</v>
      </c>
      <c r="I96" s="145"/>
      <c r="J96" s="146">
        <f>ROUND(I96*H96,2)</f>
        <v>0</v>
      </c>
      <c r="K96" s="142" t="s">
        <v>184</v>
      </c>
      <c r="L96" s="35"/>
      <c r="M96" s="147" t="s">
        <v>3</v>
      </c>
      <c r="N96" s="148" t="s">
        <v>48</v>
      </c>
      <c r="O96" s="55"/>
      <c r="P96" s="149">
        <f>O96*H96</f>
        <v>0</v>
      </c>
      <c r="Q96" s="149">
        <v>2.3630499999999999E-2</v>
      </c>
      <c r="R96" s="149">
        <f>Q96*H96</f>
        <v>1.1342639999999999</v>
      </c>
      <c r="S96" s="149">
        <v>0</v>
      </c>
      <c r="T96" s="150">
        <f>S96*H96</f>
        <v>0</v>
      </c>
      <c r="U96" s="34"/>
      <c r="V96" s="34"/>
      <c r="W96" s="34"/>
      <c r="X96" s="34"/>
      <c r="Y96" s="34"/>
      <c r="Z96" s="34"/>
      <c r="AA96" s="34"/>
      <c r="AB96" s="34"/>
      <c r="AC96" s="34"/>
      <c r="AD96" s="34"/>
      <c r="AE96" s="34"/>
      <c r="AR96" s="151" t="s">
        <v>185</v>
      </c>
      <c r="AT96" s="151" t="s">
        <v>180</v>
      </c>
      <c r="AU96" s="151" t="s">
        <v>87</v>
      </c>
      <c r="AY96" s="19" t="s">
        <v>177</v>
      </c>
      <c r="BE96" s="152">
        <f>IF(N96="základní",J96,0)</f>
        <v>0</v>
      </c>
      <c r="BF96" s="152">
        <f>IF(N96="snížená",J96,0)</f>
        <v>0</v>
      </c>
      <c r="BG96" s="152">
        <f>IF(N96="zákl. přenesená",J96,0)</f>
        <v>0</v>
      </c>
      <c r="BH96" s="152">
        <f>IF(N96="sníž. přenesená",J96,0)</f>
        <v>0</v>
      </c>
      <c r="BI96" s="152">
        <f>IF(N96="nulová",J96,0)</f>
        <v>0</v>
      </c>
      <c r="BJ96" s="19" t="s">
        <v>85</v>
      </c>
      <c r="BK96" s="152">
        <f>ROUND(I96*H96,2)</f>
        <v>0</v>
      </c>
      <c r="BL96" s="19" t="s">
        <v>185</v>
      </c>
      <c r="BM96" s="151" t="s">
        <v>814</v>
      </c>
    </row>
    <row r="97" spans="1:65" s="2" customFormat="1" ht="19.5">
      <c r="A97" s="34"/>
      <c r="B97" s="35"/>
      <c r="C97" s="34"/>
      <c r="D97" s="153" t="s">
        <v>187</v>
      </c>
      <c r="E97" s="34"/>
      <c r="F97" s="154" t="s">
        <v>704</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187</v>
      </c>
      <c r="AU97" s="19" t="s">
        <v>87</v>
      </c>
    </row>
    <row r="98" spans="1:65" s="2" customFormat="1">
      <c r="A98" s="34"/>
      <c r="B98" s="35"/>
      <c r="C98" s="34"/>
      <c r="D98" s="158" t="s">
        <v>189</v>
      </c>
      <c r="E98" s="34"/>
      <c r="F98" s="159" t="s">
        <v>705</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189</v>
      </c>
      <c r="AU98" s="19" t="s">
        <v>87</v>
      </c>
    </row>
    <row r="99" spans="1:65" s="2" customFormat="1" ht="29.25">
      <c r="A99" s="34"/>
      <c r="B99" s="35"/>
      <c r="C99" s="34"/>
      <c r="D99" s="153" t="s">
        <v>191</v>
      </c>
      <c r="E99" s="34"/>
      <c r="F99" s="160" t="s">
        <v>706</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191</v>
      </c>
      <c r="AU99" s="19" t="s">
        <v>87</v>
      </c>
    </row>
    <row r="100" spans="1:65" s="2" customFormat="1" ht="19.5">
      <c r="A100" s="34"/>
      <c r="B100" s="35"/>
      <c r="C100" s="34"/>
      <c r="D100" s="153" t="s">
        <v>815</v>
      </c>
      <c r="E100" s="34"/>
      <c r="F100" s="160" t="s">
        <v>816</v>
      </c>
      <c r="G100" s="34"/>
      <c r="H100" s="34"/>
      <c r="I100" s="155"/>
      <c r="J100" s="34"/>
      <c r="K100" s="34"/>
      <c r="L100" s="35"/>
      <c r="M100" s="156"/>
      <c r="N100" s="157"/>
      <c r="O100" s="55"/>
      <c r="P100" s="55"/>
      <c r="Q100" s="55"/>
      <c r="R100" s="55"/>
      <c r="S100" s="55"/>
      <c r="T100" s="56"/>
      <c r="U100" s="34"/>
      <c r="V100" s="34"/>
      <c r="W100" s="34"/>
      <c r="X100" s="34"/>
      <c r="Y100" s="34"/>
      <c r="Z100" s="34"/>
      <c r="AA100" s="34"/>
      <c r="AB100" s="34"/>
      <c r="AC100" s="34"/>
      <c r="AD100" s="34"/>
      <c r="AE100" s="34"/>
      <c r="AT100" s="19" t="s">
        <v>815</v>
      </c>
      <c r="AU100" s="19" t="s">
        <v>87</v>
      </c>
    </row>
    <row r="101" spans="1:65" s="13" customFormat="1">
      <c r="B101" s="161"/>
      <c r="D101" s="153" t="s">
        <v>193</v>
      </c>
      <c r="E101" s="162" t="s">
        <v>3</v>
      </c>
      <c r="F101" s="163" t="s">
        <v>605</v>
      </c>
      <c r="H101" s="164">
        <v>48</v>
      </c>
      <c r="I101" s="165"/>
      <c r="L101" s="161"/>
      <c r="M101" s="166"/>
      <c r="N101" s="167"/>
      <c r="O101" s="167"/>
      <c r="P101" s="167"/>
      <c r="Q101" s="167"/>
      <c r="R101" s="167"/>
      <c r="S101" s="167"/>
      <c r="T101" s="168"/>
      <c r="AT101" s="162" t="s">
        <v>193</v>
      </c>
      <c r="AU101" s="162" t="s">
        <v>87</v>
      </c>
      <c r="AV101" s="13" t="s">
        <v>87</v>
      </c>
      <c r="AW101" s="13" t="s">
        <v>36</v>
      </c>
      <c r="AX101" s="13" t="s">
        <v>85</v>
      </c>
      <c r="AY101" s="162" t="s">
        <v>177</v>
      </c>
    </row>
    <row r="102" spans="1:65" s="2" customFormat="1" ht="24.2" customHeight="1">
      <c r="A102" s="34"/>
      <c r="B102" s="139"/>
      <c r="C102" s="140" t="s">
        <v>198</v>
      </c>
      <c r="D102" s="140" t="s">
        <v>180</v>
      </c>
      <c r="E102" s="141" t="s">
        <v>707</v>
      </c>
      <c r="F102" s="142" t="s">
        <v>708</v>
      </c>
      <c r="G102" s="143" t="s">
        <v>476</v>
      </c>
      <c r="H102" s="144">
        <v>48</v>
      </c>
      <c r="I102" s="145"/>
      <c r="J102" s="146">
        <f>ROUND(I102*H102,2)</f>
        <v>0</v>
      </c>
      <c r="K102" s="142" t="s">
        <v>184</v>
      </c>
      <c r="L102" s="35"/>
      <c r="M102" s="147" t="s">
        <v>3</v>
      </c>
      <c r="N102" s="148" t="s">
        <v>48</v>
      </c>
      <c r="O102" s="55"/>
      <c r="P102" s="149">
        <f>O102*H102</f>
        <v>0</v>
      </c>
      <c r="Q102" s="149">
        <v>4.3225E-3</v>
      </c>
      <c r="R102" s="149">
        <f>Q102*H102</f>
        <v>0.20748</v>
      </c>
      <c r="S102" s="149">
        <v>0</v>
      </c>
      <c r="T102" s="150">
        <f>S102*H102</f>
        <v>0</v>
      </c>
      <c r="U102" s="34"/>
      <c r="V102" s="34"/>
      <c r="W102" s="34"/>
      <c r="X102" s="34"/>
      <c r="Y102" s="34"/>
      <c r="Z102" s="34"/>
      <c r="AA102" s="34"/>
      <c r="AB102" s="34"/>
      <c r="AC102" s="34"/>
      <c r="AD102" s="34"/>
      <c r="AE102" s="34"/>
      <c r="AR102" s="151" t="s">
        <v>185</v>
      </c>
      <c r="AT102" s="151" t="s">
        <v>180</v>
      </c>
      <c r="AU102" s="151" t="s">
        <v>87</v>
      </c>
      <c r="AY102" s="19" t="s">
        <v>177</v>
      </c>
      <c r="BE102" s="152">
        <f>IF(N102="základní",J102,0)</f>
        <v>0</v>
      </c>
      <c r="BF102" s="152">
        <f>IF(N102="snížená",J102,0)</f>
        <v>0</v>
      </c>
      <c r="BG102" s="152">
        <f>IF(N102="zákl. přenesená",J102,0)</f>
        <v>0</v>
      </c>
      <c r="BH102" s="152">
        <f>IF(N102="sníž. přenesená",J102,0)</f>
        <v>0</v>
      </c>
      <c r="BI102" s="152">
        <f>IF(N102="nulová",J102,0)</f>
        <v>0</v>
      </c>
      <c r="BJ102" s="19" t="s">
        <v>85</v>
      </c>
      <c r="BK102" s="152">
        <f>ROUND(I102*H102,2)</f>
        <v>0</v>
      </c>
      <c r="BL102" s="19" t="s">
        <v>185</v>
      </c>
      <c r="BM102" s="151" t="s">
        <v>817</v>
      </c>
    </row>
    <row r="103" spans="1:65" s="2" customFormat="1" ht="19.5">
      <c r="A103" s="34"/>
      <c r="B103" s="35"/>
      <c r="C103" s="34"/>
      <c r="D103" s="153" t="s">
        <v>187</v>
      </c>
      <c r="E103" s="34"/>
      <c r="F103" s="154" t="s">
        <v>710</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187</v>
      </c>
      <c r="AU103" s="19" t="s">
        <v>87</v>
      </c>
    </row>
    <row r="104" spans="1:65" s="2" customFormat="1">
      <c r="A104" s="34"/>
      <c r="B104" s="35"/>
      <c r="C104" s="34"/>
      <c r="D104" s="158" t="s">
        <v>189</v>
      </c>
      <c r="E104" s="34"/>
      <c r="F104" s="159" t="s">
        <v>711</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189</v>
      </c>
      <c r="AU104" s="19" t="s">
        <v>87</v>
      </c>
    </row>
    <row r="105" spans="1:65" s="2" customFormat="1" ht="29.25">
      <c r="A105" s="34"/>
      <c r="B105" s="35"/>
      <c r="C105" s="34"/>
      <c r="D105" s="153" t="s">
        <v>191</v>
      </c>
      <c r="E105" s="34"/>
      <c r="F105" s="160" t="s">
        <v>706</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191</v>
      </c>
      <c r="AU105" s="19" t="s">
        <v>87</v>
      </c>
    </row>
    <row r="106" spans="1:65" s="2" customFormat="1" ht="16.5" customHeight="1">
      <c r="A106" s="34"/>
      <c r="B106" s="139"/>
      <c r="C106" s="140" t="s">
        <v>185</v>
      </c>
      <c r="D106" s="140" t="s">
        <v>180</v>
      </c>
      <c r="E106" s="141" t="s">
        <v>818</v>
      </c>
      <c r="F106" s="142" t="s">
        <v>819</v>
      </c>
      <c r="G106" s="143" t="s">
        <v>476</v>
      </c>
      <c r="H106" s="144">
        <v>1.7</v>
      </c>
      <c r="I106" s="145"/>
      <c r="J106" s="146">
        <f>ROUND(I106*H106,2)</f>
        <v>0</v>
      </c>
      <c r="K106" s="142" t="s">
        <v>184</v>
      </c>
      <c r="L106" s="35"/>
      <c r="M106" s="147" t="s">
        <v>3</v>
      </c>
      <c r="N106" s="148" t="s">
        <v>48</v>
      </c>
      <c r="O106" s="55"/>
      <c r="P106" s="149">
        <f>O106*H106</f>
        <v>0</v>
      </c>
      <c r="Q106" s="149">
        <v>7.7399999999999998E-5</v>
      </c>
      <c r="R106" s="149">
        <f>Q106*H106</f>
        <v>1.3157999999999998E-4</v>
      </c>
      <c r="S106" s="149">
        <v>0</v>
      </c>
      <c r="T106" s="150">
        <f>S106*H106</f>
        <v>0</v>
      </c>
      <c r="U106" s="34"/>
      <c r="V106" s="34"/>
      <c r="W106" s="34"/>
      <c r="X106" s="34"/>
      <c r="Y106" s="34"/>
      <c r="Z106" s="34"/>
      <c r="AA106" s="34"/>
      <c r="AB106" s="34"/>
      <c r="AC106" s="34"/>
      <c r="AD106" s="34"/>
      <c r="AE106" s="34"/>
      <c r="AR106" s="151" t="s">
        <v>185</v>
      </c>
      <c r="AT106" s="151" t="s">
        <v>180</v>
      </c>
      <c r="AU106" s="151" t="s">
        <v>87</v>
      </c>
      <c r="AY106" s="19" t="s">
        <v>177</v>
      </c>
      <c r="BE106" s="152">
        <f>IF(N106="základní",J106,0)</f>
        <v>0</v>
      </c>
      <c r="BF106" s="152">
        <f>IF(N106="snížená",J106,0)</f>
        <v>0</v>
      </c>
      <c r="BG106" s="152">
        <f>IF(N106="zákl. přenesená",J106,0)</f>
        <v>0</v>
      </c>
      <c r="BH106" s="152">
        <f>IF(N106="sníž. přenesená",J106,0)</f>
        <v>0</v>
      </c>
      <c r="BI106" s="152">
        <f>IF(N106="nulová",J106,0)</f>
        <v>0</v>
      </c>
      <c r="BJ106" s="19" t="s">
        <v>85</v>
      </c>
      <c r="BK106" s="152">
        <f>ROUND(I106*H106,2)</f>
        <v>0</v>
      </c>
      <c r="BL106" s="19" t="s">
        <v>185</v>
      </c>
      <c r="BM106" s="151" t="s">
        <v>820</v>
      </c>
    </row>
    <row r="107" spans="1:65" s="2" customFormat="1">
      <c r="A107" s="34"/>
      <c r="B107" s="35"/>
      <c r="C107" s="34"/>
      <c r="D107" s="153" t="s">
        <v>187</v>
      </c>
      <c r="E107" s="34"/>
      <c r="F107" s="154" t="s">
        <v>821</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187</v>
      </c>
      <c r="AU107" s="19" t="s">
        <v>87</v>
      </c>
    </row>
    <row r="108" spans="1:65" s="2" customFormat="1">
      <c r="A108" s="34"/>
      <c r="B108" s="35"/>
      <c r="C108" s="34"/>
      <c r="D108" s="158" t="s">
        <v>189</v>
      </c>
      <c r="E108" s="34"/>
      <c r="F108" s="159" t="s">
        <v>822</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189</v>
      </c>
      <c r="AU108" s="19" t="s">
        <v>87</v>
      </c>
    </row>
    <row r="109" spans="1:65" s="2" customFormat="1" ht="78">
      <c r="A109" s="34"/>
      <c r="B109" s="35"/>
      <c r="C109" s="34"/>
      <c r="D109" s="153" t="s">
        <v>191</v>
      </c>
      <c r="E109" s="34"/>
      <c r="F109" s="160" t="s">
        <v>823</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191</v>
      </c>
      <c r="AU109" s="19" t="s">
        <v>87</v>
      </c>
    </row>
    <row r="110" spans="1:65" s="14" customFormat="1">
      <c r="B110" s="169"/>
      <c r="D110" s="153" t="s">
        <v>193</v>
      </c>
      <c r="E110" s="170" t="s">
        <v>3</v>
      </c>
      <c r="F110" s="171" t="s">
        <v>574</v>
      </c>
      <c r="H110" s="170" t="s">
        <v>3</v>
      </c>
      <c r="I110" s="172"/>
      <c r="L110" s="169"/>
      <c r="M110" s="173"/>
      <c r="N110" s="174"/>
      <c r="O110" s="174"/>
      <c r="P110" s="174"/>
      <c r="Q110" s="174"/>
      <c r="R110" s="174"/>
      <c r="S110" s="174"/>
      <c r="T110" s="175"/>
      <c r="AT110" s="170" t="s">
        <v>193</v>
      </c>
      <c r="AU110" s="170" t="s">
        <v>87</v>
      </c>
      <c r="AV110" s="14" t="s">
        <v>85</v>
      </c>
      <c r="AW110" s="14" t="s">
        <v>36</v>
      </c>
      <c r="AX110" s="14" t="s">
        <v>77</v>
      </c>
      <c r="AY110" s="170" t="s">
        <v>177</v>
      </c>
    </row>
    <row r="111" spans="1:65" s="13" customFormat="1">
      <c r="B111" s="161"/>
      <c r="D111" s="153" t="s">
        <v>193</v>
      </c>
      <c r="E111" s="162" t="s">
        <v>3</v>
      </c>
      <c r="F111" s="163" t="s">
        <v>824</v>
      </c>
      <c r="H111" s="164">
        <v>1.7</v>
      </c>
      <c r="I111" s="165"/>
      <c r="L111" s="161"/>
      <c r="M111" s="166"/>
      <c r="N111" s="167"/>
      <c r="O111" s="167"/>
      <c r="P111" s="167"/>
      <c r="Q111" s="167"/>
      <c r="R111" s="167"/>
      <c r="S111" s="167"/>
      <c r="T111" s="168"/>
      <c r="AT111" s="162" t="s">
        <v>193</v>
      </c>
      <c r="AU111" s="162" t="s">
        <v>87</v>
      </c>
      <c r="AV111" s="13" t="s">
        <v>87</v>
      </c>
      <c r="AW111" s="13" t="s">
        <v>36</v>
      </c>
      <c r="AX111" s="13" t="s">
        <v>85</v>
      </c>
      <c r="AY111" s="162" t="s">
        <v>177</v>
      </c>
    </row>
    <row r="112" spans="1:65" s="2" customFormat="1" ht="21.75" customHeight="1">
      <c r="A112" s="34"/>
      <c r="B112" s="139"/>
      <c r="C112" s="140" t="s">
        <v>200</v>
      </c>
      <c r="D112" s="140" t="s">
        <v>180</v>
      </c>
      <c r="E112" s="141" t="s">
        <v>825</v>
      </c>
      <c r="F112" s="142" t="s">
        <v>826</v>
      </c>
      <c r="G112" s="143" t="s">
        <v>476</v>
      </c>
      <c r="H112" s="144">
        <v>99.16</v>
      </c>
      <c r="I112" s="145"/>
      <c r="J112" s="146">
        <f>ROUND(I112*H112,2)</f>
        <v>0</v>
      </c>
      <c r="K112" s="142" t="s">
        <v>184</v>
      </c>
      <c r="L112" s="35"/>
      <c r="M112" s="147" t="s">
        <v>3</v>
      </c>
      <c r="N112" s="148" t="s">
        <v>48</v>
      </c>
      <c r="O112" s="55"/>
      <c r="P112" s="149">
        <f>O112*H112</f>
        <v>0</v>
      </c>
      <c r="Q112" s="149">
        <v>2.009E-4</v>
      </c>
      <c r="R112" s="149">
        <f>Q112*H112</f>
        <v>1.9921244000000001E-2</v>
      </c>
      <c r="S112" s="149">
        <v>0</v>
      </c>
      <c r="T112" s="150">
        <f>S112*H112</f>
        <v>0</v>
      </c>
      <c r="U112" s="34"/>
      <c r="V112" s="34"/>
      <c r="W112" s="34"/>
      <c r="X112" s="34"/>
      <c r="Y112" s="34"/>
      <c r="Z112" s="34"/>
      <c r="AA112" s="34"/>
      <c r="AB112" s="34"/>
      <c r="AC112" s="34"/>
      <c r="AD112" s="34"/>
      <c r="AE112" s="34"/>
      <c r="AR112" s="151" t="s">
        <v>185</v>
      </c>
      <c r="AT112" s="151" t="s">
        <v>180</v>
      </c>
      <c r="AU112" s="151" t="s">
        <v>87</v>
      </c>
      <c r="AY112" s="19" t="s">
        <v>177</v>
      </c>
      <c r="BE112" s="152">
        <f>IF(N112="základní",J112,0)</f>
        <v>0</v>
      </c>
      <c r="BF112" s="152">
        <f>IF(N112="snížená",J112,0)</f>
        <v>0</v>
      </c>
      <c r="BG112" s="152">
        <f>IF(N112="zákl. přenesená",J112,0)</f>
        <v>0</v>
      </c>
      <c r="BH112" s="152">
        <f>IF(N112="sníž. přenesená",J112,0)</f>
        <v>0</v>
      </c>
      <c r="BI112" s="152">
        <f>IF(N112="nulová",J112,0)</f>
        <v>0</v>
      </c>
      <c r="BJ112" s="19" t="s">
        <v>85</v>
      </c>
      <c r="BK112" s="152">
        <f>ROUND(I112*H112,2)</f>
        <v>0</v>
      </c>
      <c r="BL112" s="19" t="s">
        <v>185</v>
      </c>
      <c r="BM112" s="151" t="s">
        <v>827</v>
      </c>
    </row>
    <row r="113" spans="1:65" s="2" customFormat="1" ht="19.5">
      <c r="A113" s="34"/>
      <c r="B113" s="35"/>
      <c r="C113" s="34"/>
      <c r="D113" s="153" t="s">
        <v>187</v>
      </c>
      <c r="E113" s="34"/>
      <c r="F113" s="154" t="s">
        <v>828</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187</v>
      </c>
      <c r="AU113" s="19" t="s">
        <v>87</v>
      </c>
    </row>
    <row r="114" spans="1:65" s="2" customFormat="1">
      <c r="A114" s="34"/>
      <c r="B114" s="35"/>
      <c r="C114" s="34"/>
      <c r="D114" s="158" t="s">
        <v>189</v>
      </c>
      <c r="E114" s="34"/>
      <c r="F114" s="159" t="s">
        <v>829</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189</v>
      </c>
      <c r="AU114" s="19" t="s">
        <v>87</v>
      </c>
    </row>
    <row r="115" spans="1:65" s="2" customFormat="1" ht="78">
      <c r="A115" s="34"/>
      <c r="B115" s="35"/>
      <c r="C115" s="34"/>
      <c r="D115" s="153" t="s">
        <v>191</v>
      </c>
      <c r="E115" s="34"/>
      <c r="F115" s="160" t="s">
        <v>823</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191</v>
      </c>
      <c r="AU115" s="19" t="s">
        <v>87</v>
      </c>
    </row>
    <row r="116" spans="1:65" s="14" customFormat="1">
      <c r="B116" s="169"/>
      <c r="D116" s="153" t="s">
        <v>193</v>
      </c>
      <c r="E116" s="170" t="s">
        <v>3</v>
      </c>
      <c r="F116" s="171" t="s">
        <v>830</v>
      </c>
      <c r="H116" s="170" t="s">
        <v>3</v>
      </c>
      <c r="I116" s="172"/>
      <c r="L116" s="169"/>
      <c r="M116" s="173"/>
      <c r="N116" s="174"/>
      <c r="O116" s="174"/>
      <c r="P116" s="174"/>
      <c r="Q116" s="174"/>
      <c r="R116" s="174"/>
      <c r="S116" s="174"/>
      <c r="T116" s="175"/>
      <c r="AT116" s="170" t="s">
        <v>193</v>
      </c>
      <c r="AU116" s="170" t="s">
        <v>87</v>
      </c>
      <c r="AV116" s="14" t="s">
        <v>85</v>
      </c>
      <c r="AW116" s="14" t="s">
        <v>36</v>
      </c>
      <c r="AX116" s="14" t="s">
        <v>77</v>
      </c>
      <c r="AY116" s="170" t="s">
        <v>177</v>
      </c>
    </row>
    <row r="117" spans="1:65" s="13" customFormat="1">
      <c r="B117" s="161"/>
      <c r="D117" s="153" t="s">
        <v>193</v>
      </c>
      <c r="E117" s="162" t="s">
        <v>3</v>
      </c>
      <c r="F117" s="163" t="s">
        <v>831</v>
      </c>
      <c r="H117" s="164">
        <v>24.4</v>
      </c>
      <c r="I117" s="165"/>
      <c r="L117" s="161"/>
      <c r="M117" s="166"/>
      <c r="N117" s="167"/>
      <c r="O117" s="167"/>
      <c r="P117" s="167"/>
      <c r="Q117" s="167"/>
      <c r="R117" s="167"/>
      <c r="S117" s="167"/>
      <c r="T117" s="168"/>
      <c r="AT117" s="162" t="s">
        <v>193</v>
      </c>
      <c r="AU117" s="162" t="s">
        <v>87</v>
      </c>
      <c r="AV117" s="13" t="s">
        <v>87</v>
      </c>
      <c r="AW117" s="13" t="s">
        <v>36</v>
      </c>
      <c r="AX117" s="13" t="s">
        <v>77</v>
      </c>
      <c r="AY117" s="162" t="s">
        <v>177</v>
      </c>
    </row>
    <row r="118" spans="1:65" s="14" customFormat="1">
      <c r="B118" s="169"/>
      <c r="D118" s="153" t="s">
        <v>193</v>
      </c>
      <c r="E118" s="170" t="s">
        <v>3</v>
      </c>
      <c r="F118" s="171" t="s">
        <v>832</v>
      </c>
      <c r="H118" s="170" t="s">
        <v>3</v>
      </c>
      <c r="I118" s="172"/>
      <c r="L118" s="169"/>
      <c r="M118" s="173"/>
      <c r="N118" s="174"/>
      <c r="O118" s="174"/>
      <c r="P118" s="174"/>
      <c r="Q118" s="174"/>
      <c r="R118" s="174"/>
      <c r="S118" s="174"/>
      <c r="T118" s="175"/>
      <c r="AT118" s="170" t="s">
        <v>193</v>
      </c>
      <c r="AU118" s="170" t="s">
        <v>87</v>
      </c>
      <c r="AV118" s="14" t="s">
        <v>85</v>
      </c>
      <c r="AW118" s="14" t="s">
        <v>36</v>
      </c>
      <c r="AX118" s="14" t="s">
        <v>77</v>
      </c>
      <c r="AY118" s="170" t="s">
        <v>177</v>
      </c>
    </row>
    <row r="119" spans="1:65" s="13" customFormat="1">
      <c r="B119" s="161"/>
      <c r="D119" s="153" t="s">
        <v>193</v>
      </c>
      <c r="E119" s="162" t="s">
        <v>3</v>
      </c>
      <c r="F119" s="163" t="s">
        <v>833</v>
      </c>
      <c r="H119" s="164">
        <v>5.9</v>
      </c>
      <c r="I119" s="165"/>
      <c r="L119" s="161"/>
      <c r="M119" s="166"/>
      <c r="N119" s="167"/>
      <c r="O119" s="167"/>
      <c r="P119" s="167"/>
      <c r="Q119" s="167"/>
      <c r="R119" s="167"/>
      <c r="S119" s="167"/>
      <c r="T119" s="168"/>
      <c r="AT119" s="162" t="s">
        <v>193</v>
      </c>
      <c r="AU119" s="162" t="s">
        <v>87</v>
      </c>
      <c r="AV119" s="13" t="s">
        <v>87</v>
      </c>
      <c r="AW119" s="13" t="s">
        <v>36</v>
      </c>
      <c r="AX119" s="13" t="s">
        <v>77</v>
      </c>
      <c r="AY119" s="162" t="s">
        <v>177</v>
      </c>
    </row>
    <row r="120" spans="1:65" s="14" customFormat="1">
      <c r="B120" s="169"/>
      <c r="D120" s="153" t="s">
        <v>193</v>
      </c>
      <c r="E120" s="170" t="s">
        <v>3</v>
      </c>
      <c r="F120" s="171" t="s">
        <v>834</v>
      </c>
      <c r="H120" s="170" t="s">
        <v>3</v>
      </c>
      <c r="I120" s="172"/>
      <c r="L120" s="169"/>
      <c r="M120" s="173"/>
      <c r="N120" s="174"/>
      <c r="O120" s="174"/>
      <c r="P120" s="174"/>
      <c r="Q120" s="174"/>
      <c r="R120" s="174"/>
      <c r="S120" s="174"/>
      <c r="T120" s="175"/>
      <c r="AT120" s="170" t="s">
        <v>193</v>
      </c>
      <c r="AU120" s="170" t="s">
        <v>87</v>
      </c>
      <c r="AV120" s="14" t="s">
        <v>85</v>
      </c>
      <c r="AW120" s="14" t="s">
        <v>36</v>
      </c>
      <c r="AX120" s="14" t="s">
        <v>77</v>
      </c>
      <c r="AY120" s="170" t="s">
        <v>177</v>
      </c>
    </row>
    <row r="121" spans="1:65" s="13" customFormat="1">
      <c r="B121" s="161"/>
      <c r="D121" s="153" t="s">
        <v>193</v>
      </c>
      <c r="E121" s="162" t="s">
        <v>3</v>
      </c>
      <c r="F121" s="163" t="s">
        <v>835</v>
      </c>
      <c r="H121" s="164">
        <v>24.63</v>
      </c>
      <c r="I121" s="165"/>
      <c r="L121" s="161"/>
      <c r="M121" s="166"/>
      <c r="N121" s="167"/>
      <c r="O121" s="167"/>
      <c r="P121" s="167"/>
      <c r="Q121" s="167"/>
      <c r="R121" s="167"/>
      <c r="S121" s="167"/>
      <c r="T121" s="168"/>
      <c r="AT121" s="162" t="s">
        <v>193</v>
      </c>
      <c r="AU121" s="162" t="s">
        <v>87</v>
      </c>
      <c r="AV121" s="13" t="s">
        <v>87</v>
      </c>
      <c r="AW121" s="13" t="s">
        <v>36</v>
      </c>
      <c r="AX121" s="13" t="s">
        <v>77</v>
      </c>
      <c r="AY121" s="162" t="s">
        <v>177</v>
      </c>
    </row>
    <row r="122" spans="1:65" s="14" customFormat="1">
      <c r="B122" s="169"/>
      <c r="D122" s="153" t="s">
        <v>193</v>
      </c>
      <c r="E122" s="170" t="s">
        <v>3</v>
      </c>
      <c r="F122" s="171" t="s">
        <v>836</v>
      </c>
      <c r="H122" s="170" t="s">
        <v>3</v>
      </c>
      <c r="I122" s="172"/>
      <c r="L122" s="169"/>
      <c r="M122" s="173"/>
      <c r="N122" s="174"/>
      <c r="O122" s="174"/>
      <c r="P122" s="174"/>
      <c r="Q122" s="174"/>
      <c r="R122" s="174"/>
      <c r="S122" s="174"/>
      <c r="T122" s="175"/>
      <c r="AT122" s="170" t="s">
        <v>193</v>
      </c>
      <c r="AU122" s="170" t="s">
        <v>87</v>
      </c>
      <c r="AV122" s="14" t="s">
        <v>85</v>
      </c>
      <c r="AW122" s="14" t="s">
        <v>36</v>
      </c>
      <c r="AX122" s="14" t="s">
        <v>77</v>
      </c>
      <c r="AY122" s="170" t="s">
        <v>177</v>
      </c>
    </row>
    <row r="123" spans="1:65" s="13" customFormat="1">
      <c r="B123" s="161"/>
      <c r="D123" s="153" t="s">
        <v>193</v>
      </c>
      <c r="E123" s="162" t="s">
        <v>3</v>
      </c>
      <c r="F123" s="163" t="s">
        <v>837</v>
      </c>
      <c r="H123" s="164">
        <v>8.4</v>
      </c>
      <c r="I123" s="165"/>
      <c r="L123" s="161"/>
      <c r="M123" s="166"/>
      <c r="N123" s="167"/>
      <c r="O123" s="167"/>
      <c r="P123" s="167"/>
      <c r="Q123" s="167"/>
      <c r="R123" s="167"/>
      <c r="S123" s="167"/>
      <c r="T123" s="168"/>
      <c r="AT123" s="162" t="s">
        <v>193</v>
      </c>
      <c r="AU123" s="162" t="s">
        <v>87</v>
      </c>
      <c r="AV123" s="13" t="s">
        <v>87</v>
      </c>
      <c r="AW123" s="13" t="s">
        <v>36</v>
      </c>
      <c r="AX123" s="13" t="s">
        <v>77</v>
      </c>
      <c r="AY123" s="162" t="s">
        <v>177</v>
      </c>
    </row>
    <row r="124" spans="1:65" s="14" customFormat="1">
      <c r="B124" s="169"/>
      <c r="D124" s="153" t="s">
        <v>193</v>
      </c>
      <c r="E124" s="170" t="s">
        <v>3</v>
      </c>
      <c r="F124" s="171" t="s">
        <v>838</v>
      </c>
      <c r="H124" s="170" t="s">
        <v>3</v>
      </c>
      <c r="I124" s="172"/>
      <c r="L124" s="169"/>
      <c r="M124" s="173"/>
      <c r="N124" s="174"/>
      <c r="O124" s="174"/>
      <c r="P124" s="174"/>
      <c r="Q124" s="174"/>
      <c r="R124" s="174"/>
      <c r="S124" s="174"/>
      <c r="T124" s="175"/>
      <c r="AT124" s="170" t="s">
        <v>193</v>
      </c>
      <c r="AU124" s="170" t="s">
        <v>87</v>
      </c>
      <c r="AV124" s="14" t="s">
        <v>85</v>
      </c>
      <c r="AW124" s="14" t="s">
        <v>36</v>
      </c>
      <c r="AX124" s="14" t="s">
        <v>77</v>
      </c>
      <c r="AY124" s="170" t="s">
        <v>177</v>
      </c>
    </row>
    <row r="125" spans="1:65" s="13" customFormat="1">
      <c r="B125" s="161"/>
      <c r="D125" s="153" t="s">
        <v>193</v>
      </c>
      <c r="E125" s="162" t="s">
        <v>3</v>
      </c>
      <c r="F125" s="163" t="s">
        <v>839</v>
      </c>
      <c r="H125" s="164">
        <v>35.83</v>
      </c>
      <c r="I125" s="165"/>
      <c r="L125" s="161"/>
      <c r="M125" s="166"/>
      <c r="N125" s="167"/>
      <c r="O125" s="167"/>
      <c r="P125" s="167"/>
      <c r="Q125" s="167"/>
      <c r="R125" s="167"/>
      <c r="S125" s="167"/>
      <c r="T125" s="168"/>
      <c r="AT125" s="162" t="s">
        <v>193</v>
      </c>
      <c r="AU125" s="162" t="s">
        <v>87</v>
      </c>
      <c r="AV125" s="13" t="s">
        <v>87</v>
      </c>
      <c r="AW125" s="13" t="s">
        <v>36</v>
      </c>
      <c r="AX125" s="13" t="s">
        <v>77</v>
      </c>
      <c r="AY125" s="162" t="s">
        <v>177</v>
      </c>
    </row>
    <row r="126" spans="1:65" s="16" customFormat="1">
      <c r="B126" s="184"/>
      <c r="D126" s="153" t="s">
        <v>193</v>
      </c>
      <c r="E126" s="185" t="s">
        <v>3</v>
      </c>
      <c r="F126" s="186" t="s">
        <v>201</v>
      </c>
      <c r="H126" s="187">
        <v>99.16</v>
      </c>
      <c r="I126" s="188"/>
      <c r="L126" s="184"/>
      <c r="M126" s="189"/>
      <c r="N126" s="190"/>
      <c r="O126" s="190"/>
      <c r="P126" s="190"/>
      <c r="Q126" s="190"/>
      <c r="R126" s="190"/>
      <c r="S126" s="190"/>
      <c r="T126" s="191"/>
      <c r="AT126" s="185" t="s">
        <v>193</v>
      </c>
      <c r="AU126" s="185" t="s">
        <v>87</v>
      </c>
      <c r="AV126" s="16" t="s">
        <v>185</v>
      </c>
      <c r="AW126" s="16" t="s">
        <v>36</v>
      </c>
      <c r="AX126" s="16" t="s">
        <v>85</v>
      </c>
      <c r="AY126" s="185" t="s">
        <v>177</v>
      </c>
    </row>
    <row r="127" spans="1:65" s="2" customFormat="1" ht="21.75" customHeight="1">
      <c r="A127" s="34"/>
      <c r="B127" s="139"/>
      <c r="C127" s="140" t="s">
        <v>233</v>
      </c>
      <c r="D127" s="140" t="s">
        <v>180</v>
      </c>
      <c r="E127" s="141" t="s">
        <v>840</v>
      </c>
      <c r="F127" s="142" t="s">
        <v>841</v>
      </c>
      <c r="G127" s="143" t="s">
        <v>476</v>
      </c>
      <c r="H127" s="144">
        <v>1.2</v>
      </c>
      <c r="I127" s="145"/>
      <c r="J127" s="146">
        <f>ROUND(I127*H127,2)</f>
        <v>0</v>
      </c>
      <c r="K127" s="142" t="s">
        <v>184</v>
      </c>
      <c r="L127" s="35"/>
      <c r="M127" s="147" t="s">
        <v>3</v>
      </c>
      <c r="N127" s="148" t="s">
        <v>48</v>
      </c>
      <c r="O127" s="55"/>
      <c r="P127" s="149">
        <f>O127*H127</f>
        <v>0</v>
      </c>
      <c r="Q127" s="149">
        <v>2.8860000000000002E-4</v>
      </c>
      <c r="R127" s="149">
        <f>Q127*H127</f>
        <v>3.4632E-4</v>
      </c>
      <c r="S127" s="149">
        <v>0</v>
      </c>
      <c r="T127" s="150">
        <f>S127*H127</f>
        <v>0</v>
      </c>
      <c r="U127" s="34"/>
      <c r="V127" s="34"/>
      <c r="W127" s="34"/>
      <c r="X127" s="34"/>
      <c r="Y127" s="34"/>
      <c r="Z127" s="34"/>
      <c r="AA127" s="34"/>
      <c r="AB127" s="34"/>
      <c r="AC127" s="34"/>
      <c r="AD127" s="34"/>
      <c r="AE127" s="34"/>
      <c r="AR127" s="151" t="s">
        <v>185</v>
      </c>
      <c r="AT127" s="151" t="s">
        <v>180</v>
      </c>
      <c r="AU127" s="151" t="s">
        <v>87</v>
      </c>
      <c r="AY127" s="19" t="s">
        <v>177</v>
      </c>
      <c r="BE127" s="152">
        <f>IF(N127="základní",J127,0)</f>
        <v>0</v>
      </c>
      <c r="BF127" s="152">
        <f>IF(N127="snížená",J127,0)</f>
        <v>0</v>
      </c>
      <c r="BG127" s="152">
        <f>IF(N127="zákl. přenesená",J127,0)</f>
        <v>0</v>
      </c>
      <c r="BH127" s="152">
        <f>IF(N127="sníž. přenesená",J127,0)</f>
        <v>0</v>
      </c>
      <c r="BI127" s="152">
        <f>IF(N127="nulová",J127,0)</f>
        <v>0</v>
      </c>
      <c r="BJ127" s="19" t="s">
        <v>85</v>
      </c>
      <c r="BK127" s="152">
        <f>ROUND(I127*H127,2)</f>
        <v>0</v>
      </c>
      <c r="BL127" s="19" t="s">
        <v>185</v>
      </c>
      <c r="BM127" s="151" t="s">
        <v>842</v>
      </c>
    </row>
    <row r="128" spans="1:65" s="2" customFormat="1" ht="19.5">
      <c r="A128" s="34"/>
      <c r="B128" s="35"/>
      <c r="C128" s="34"/>
      <c r="D128" s="153" t="s">
        <v>187</v>
      </c>
      <c r="E128" s="34"/>
      <c r="F128" s="154" t="s">
        <v>843</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187</v>
      </c>
      <c r="AU128" s="19" t="s">
        <v>87</v>
      </c>
    </row>
    <row r="129" spans="1:65" s="2" customFormat="1">
      <c r="A129" s="34"/>
      <c r="B129" s="35"/>
      <c r="C129" s="34"/>
      <c r="D129" s="158" t="s">
        <v>189</v>
      </c>
      <c r="E129" s="34"/>
      <c r="F129" s="159" t="s">
        <v>844</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189</v>
      </c>
      <c r="AU129" s="19" t="s">
        <v>87</v>
      </c>
    </row>
    <row r="130" spans="1:65" s="2" customFormat="1" ht="78">
      <c r="A130" s="34"/>
      <c r="B130" s="35"/>
      <c r="C130" s="34"/>
      <c r="D130" s="153" t="s">
        <v>191</v>
      </c>
      <c r="E130" s="34"/>
      <c r="F130" s="160" t="s">
        <v>823</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191</v>
      </c>
      <c r="AU130" s="19" t="s">
        <v>87</v>
      </c>
    </row>
    <row r="131" spans="1:65" s="14" customFormat="1">
      <c r="B131" s="169"/>
      <c r="D131" s="153" t="s">
        <v>193</v>
      </c>
      <c r="E131" s="170" t="s">
        <v>3</v>
      </c>
      <c r="F131" s="171" t="s">
        <v>838</v>
      </c>
      <c r="H131" s="170" t="s">
        <v>3</v>
      </c>
      <c r="I131" s="172"/>
      <c r="L131" s="169"/>
      <c r="M131" s="173"/>
      <c r="N131" s="174"/>
      <c r="O131" s="174"/>
      <c r="P131" s="174"/>
      <c r="Q131" s="174"/>
      <c r="R131" s="174"/>
      <c r="S131" s="174"/>
      <c r="T131" s="175"/>
      <c r="AT131" s="170" t="s">
        <v>193</v>
      </c>
      <c r="AU131" s="170" t="s">
        <v>87</v>
      </c>
      <c r="AV131" s="14" t="s">
        <v>85</v>
      </c>
      <c r="AW131" s="14" t="s">
        <v>36</v>
      </c>
      <c r="AX131" s="14" t="s">
        <v>77</v>
      </c>
      <c r="AY131" s="170" t="s">
        <v>177</v>
      </c>
    </row>
    <row r="132" spans="1:65" s="13" customFormat="1">
      <c r="B132" s="161"/>
      <c r="D132" s="153" t="s">
        <v>193</v>
      </c>
      <c r="E132" s="162" t="s">
        <v>3</v>
      </c>
      <c r="F132" s="163" t="s">
        <v>845</v>
      </c>
      <c r="H132" s="164">
        <v>1.2</v>
      </c>
      <c r="I132" s="165"/>
      <c r="L132" s="161"/>
      <c r="M132" s="166"/>
      <c r="N132" s="167"/>
      <c r="O132" s="167"/>
      <c r="P132" s="167"/>
      <c r="Q132" s="167"/>
      <c r="R132" s="167"/>
      <c r="S132" s="167"/>
      <c r="T132" s="168"/>
      <c r="AT132" s="162" t="s">
        <v>193</v>
      </c>
      <c r="AU132" s="162" t="s">
        <v>87</v>
      </c>
      <c r="AV132" s="13" t="s">
        <v>87</v>
      </c>
      <c r="AW132" s="13" t="s">
        <v>36</v>
      </c>
      <c r="AX132" s="13" t="s">
        <v>85</v>
      </c>
      <c r="AY132" s="162" t="s">
        <v>177</v>
      </c>
    </row>
    <row r="133" spans="1:65" s="2" customFormat="1" ht="16.5" customHeight="1">
      <c r="A133" s="34"/>
      <c r="B133" s="139"/>
      <c r="C133" s="140" t="s">
        <v>241</v>
      </c>
      <c r="D133" s="140" t="s">
        <v>180</v>
      </c>
      <c r="E133" s="141" t="s">
        <v>846</v>
      </c>
      <c r="F133" s="142" t="s">
        <v>847</v>
      </c>
      <c r="G133" s="143" t="s">
        <v>808</v>
      </c>
      <c r="H133" s="144">
        <v>2509.1999999999998</v>
      </c>
      <c r="I133" s="145"/>
      <c r="J133" s="146">
        <f>ROUND(I133*H133,2)</f>
        <v>0</v>
      </c>
      <c r="K133" s="142" t="s">
        <v>184</v>
      </c>
      <c r="L133" s="35"/>
      <c r="M133" s="147" t="s">
        <v>3</v>
      </c>
      <c r="N133" s="148" t="s">
        <v>48</v>
      </c>
      <c r="O133" s="55"/>
      <c r="P133" s="149">
        <f>O133*H133</f>
        <v>0</v>
      </c>
      <c r="Q133" s="149">
        <v>0</v>
      </c>
      <c r="R133" s="149">
        <f>Q133*H133</f>
        <v>0</v>
      </c>
      <c r="S133" s="149">
        <v>0.66</v>
      </c>
      <c r="T133" s="150">
        <f>S133*H133</f>
        <v>1656.0719999999999</v>
      </c>
      <c r="U133" s="34"/>
      <c r="V133" s="34"/>
      <c r="W133" s="34"/>
      <c r="X133" s="34"/>
      <c r="Y133" s="34"/>
      <c r="Z133" s="34"/>
      <c r="AA133" s="34"/>
      <c r="AB133" s="34"/>
      <c r="AC133" s="34"/>
      <c r="AD133" s="34"/>
      <c r="AE133" s="34"/>
      <c r="AR133" s="151" t="s">
        <v>185</v>
      </c>
      <c r="AT133" s="151" t="s">
        <v>180</v>
      </c>
      <c r="AU133" s="151" t="s">
        <v>87</v>
      </c>
      <c r="AY133" s="19" t="s">
        <v>177</v>
      </c>
      <c r="BE133" s="152">
        <f>IF(N133="základní",J133,0)</f>
        <v>0</v>
      </c>
      <c r="BF133" s="152">
        <f>IF(N133="snížená",J133,0)</f>
        <v>0</v>
      </c>
      <c r="BG133" s="152">
        <f>IF(N133="zákl. přenesená",J133,0)</f>
        <v>0</v>
      </c>
      <c r="BH133" s="152">
        <f>IF(N133="sníž. přenesená",J133,0)</f>
        <v>0</v>
      </c>
      <c r="BI133" s="152">
        <f>IF(N133="nulová",J133,0)</f>
        <v>0</v>
      </c>
      <c r="BJ133" s="19" t="s">
        <v>85</v>
      </c>
      <c r="BK133" s="152">
        <f>ROUND(I133*H133,2)</f>
        <v>0</v>
      </c>
      <c r="BL133" s="19" t="s">
        <v>185</v>
      </c>
      <c r="BM133" s="151" t="s">
        <v>848</v>
      </c>
    </row>
    <row r="134" spans="1:65" s="2" customFormat="1" ht="19.5">
      <c r="A134" s="34"/>
      <c r="B134" s="35"/>
      <c r="C134" s="34"/>
      <c r="D134" s="153" t="s">
        <v>187</v>
      </c>
      <c r="E134" s="34"/>
      <c r="F134" s="154" t="s">
        <v>849</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187</v>
      </c>
      <c r="AU134" s="19" t="s">
        <v>87</v>
      </c>
    </row>
    <row r="135" spans="1:65" s="2" customFormat="1">
      <c r="A135" s="34"/>
      <c r="B135" s="35"/>
      <c r="C135" s="34"/>
      <c r="D135" s="158" t="s">
        <v>189</v>
      </c>
      <c r="E135" s="34"/>
      <c r="F135" s="159" t="s">
        <v>850</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189</v>
      </c>
      <c r="AU135" s="19" t="s">
        <v>87</v>
      </c>
    </row>
    <row r="136" spans="1:65" s="2" customFormat="1" ht="126.75">
      <c r="A136" s="34"/>
      <c r="B136" s="35"/>
      <c r="C136" s="34"/>
      <c r="D136" s="153" t="s">
        <v>191</v>
      </c>
      <c r="E136" s="34"/>
      <c r="F136" s="160" t="s">
        <v>851</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191</v>
      </c>
      <c r="AU136" s="19" t="s">
        <v>87</v>
      </c>
    </row>
    <row r="137" spans="1:65" s="13" customFormat="1">
      <c r="B137" s="161"/>
      <c r="D137" s="153" t="s">
        <v>193</v>
      </c>
      <c r="E137" s="162" t="s">
        <v>3</v>
      </c>
      <c r="F137" s="163" t="s">
        <v>852</v>
      </c>
      <c r="H137" s="164">
        <v>2509.1999999999998</v>
      </c>
      <c r="I137" s="165"/>
      <c r="L137" s="161"/>
      <c r="M137" s="166"/>
      <c r="N137" s="167"/>
      <c r="O137" s="167"/>
      <c r="P137" s="167"/>
      <c r="Q137" s="167"/>
      <c r="R137" s="167"/>
      <c r="S137" s="167"/>
      <c r="T137" s="168"/>
      <c r="AT137" s="162" t="s">
        <v>193</v>
      </c>
      <c r="AU137" s="162" t="s">
        <v>87</v>
      </c>
      <c r="AV137" s="13" t="s">
        <v>87</v>
      </c>
      <c r="AW137" s="13" t="s">
        <v>36</v>
      </c>
      <c r="AX137" s="13" t="s">
        <v>85</v>
      </c>
      <c r="AY137" s="162" t="s">
        <v>177</v>
      </c>
    </row>
    <row r="138" spans="1:65" s="2" customFormat="1" ht="16.5" customHeight="1">
      <c r="A138" s="34"/>
      <c r="B138" s="139"/>
      <c r="C138" s="140" t="s">
        <v>248</v>
      </c>
      <c r="D138" s="140" t="s">
        <v>180</v>
      </c>
      <c r="E138" s="141" t="s">
        <v>853</v>
      </c>
      <c r="F138" s="142" t="s">
        <v>854</v>
      </c>
      <c r="G138" s="143" t="s">
        <v>243</v>
      </c>
      <c r="H138" s="144">
        <v>1</v>
      </c>
      <c r="I138" s="145"/>
      <c r="J138" s="146">
        <f>ROUND(I138*H138,2)</f>
        <v>0</v>
      </c>
      <c r="K138" s="142" t="s">
        <v>244</v>
      </c>
      <c r="L138" s="35"/>
      <c r="M138" s="147" t="s">
        <v>3</v>
      </c>
      <c r="N138" s="148" t="s">
        <v>48</v>
      </c>
      <c r="O138" s="55"/>
      <c r="P138" s="149">
        <f>O138*H138</f>
        <v>0</v>
      </c>
      <c r="Q138" s="149">
        <v>0</v>
      </c>
      <c r="R138" s="149">
        <f>Q138*H138</f>
        <v>0</v>
      </c>
      <c r="S138" s="149">
        <v>0</v>
      </c>
      <c r="T138" s="150">
        <f>S138*H138</f>
        <v>0</v>
      </c>
      <c r="U138" s="34"/>
      <c r="V138" s="34"/>
      <c r="W138" s="34"/>
      <c r="X138" s="34"/>
      <c r="Y138" s="34"/>
      <c r="Z138" s="34"/>
      <c r="AA138" s="34"/>
      <c r="AB138" s="34"/>
      <c r="AC138" s="34"/>
      <c r="AD138" s="34"/>
      <c r="AE138" s="34"/>
      <c r="AR138" s="151" t="s">
        <v>185</v>
      </c>
      <c r="AT138" s="151" t="s">
        <v>180</v>
      </c>
      <c r="AU138" s="151" t="s">
        <v>87</v>
      </c>
      <c r="AY138" s="19" t="s">
        <v>177</v>
      </c>
      <c r="BE138" s="152">
        <f>IF(N138="základní",J138,0)</f>
        <v>0</v>
      </c>
      <c r="BF138" s="152">
        <f>IF(N138="snížená",J138,0)</f>
        <v>0</v>
      </c>
      <c r="BG138" s="152">
        <f>IF(N138="zákl. přenesená",J138,0)</f>
        <v>0</v>
      </c>
      <c r="BH138" s="152">
        <f>IF(N138="sníž. přenesená",J138,0)</f>
        <v>0</v>
      </c>
      <c r="BI138" s="152">
        <f>IF(N138="nulová",J138,0)</f>
        <v>0</v>
      </c>
      <c r="BJ138" s="19" t="s">
        <v>85</v>
      </c>
      <c r="BK138" s="152">
        <f>ROUND(I138*H138,2)</f>
        <v>0</v>
      </c>
      <c r="BL138" s="19" t="s">
        <v>185</v>
      </c>
      <c r="BM138" s="151" t="s">
        <v>855</v>
      </c>
    </row>
    <row r="139" spans="1:65" s="2" customFormat="1">
      <c r="A139" s="34"/>
      <c r="B139" s="35"/>
      <c r="C139" s="34"/>
      <c r="D139" s="153" t="s">
        <v>187</v>
      </c>
      <c r="E139" s="34"/>
      <c r="F139" s="154" t="s">
        <v>854</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187</v>
      </c>
      <c r="AU139" s="19" t="s">
        <v>87</v>
      </c>
    </row>
    <row r="140" spans="1:65" s="12" customFormat="1" ht="22.9" customHeight="1">
      <c r="B140" s="126"/>
      <c r="D140" s="127" t="s">
        <v>76</v>
      </c>
      <c r="E140" s="137" t="s">
        <v>178</v>
      </c>
      <c r="F140" s="137" t="s">
        <v>179</v>
      </c>
      <c r="I140" s="129"/>
      <c r="J140" s="138">
        <f>BK140</f>
        <v>0</v>
      </c>
      <c r="L140" s="126"/>
      <c r="M140" s="131"/>
      <c r="N140" s="132"/>
      <c r="O140" s="132"/>
      <c r="P140" s="133">
        <f>SUM(P141:P177)</f>
        <v>0</v>
      </c>
      <c r="Q140" s="132"/>
      <c r="R140" s="133">
        <f>SUM(R141:R177)</f>
        <v>0</v>
      </c>
      <c r="S140" s="132"/>
      <c r="T140" s="134">
        <f>SUM(T141:T177)</f>
        <v>0</v>
      </c>
      <c r="AR140" s="127" t="s">
        <v>85</v>
      </c>
      <c r="AT140" s="135" t="s">
        <v>76</v>
      </c>
      <c r="AU140" s="135" t="s">
        <v>85</v>
      </c>
      <c r="AY140" s="127" t="s">
        <v>177</v>
      </c>
      <c r="BK140" s="136">
        <f>SUM(BK141:BK177)</f>
        <v>0</v>
      </c>
    </row>
    <row r="141" spans="1:65" s="2" customFormat="1" ht="16.5" customHeight="1">
      <c r="A141" s="34"/>
      <c r="B141" s="139"/>
      <c r="C141" s="140" t="s">
        <v>252</v>
      </c>
      <c r="D141" s="140" t="s">
        <v>180</v>
      </c>
      <c r="E141" s="141" t="s">
        <v>856</v>
      </c>
      <c r="F141" s="142" t="s">
        <v>857</v>
      </c>
      <c r="G141" s="143" t="s">
        <v>183</v>
      </c>
      <c r="H141" s="144">
        <v>1690.1210000000001</v>
      </c>
      <c r="I141" s="145"/>
      <c r="J141" s="146">
        <f>ROUND(I141*H141,2)</f>
        <v>0</v>
      </c>
      <c r="K141" s="142" t="s">
        <v>184</v>
      </c>
      <c r="L141" s="35"/>
      <c r="M141" s="147" t="s">
        <v>3</v>
      </c>
      <c r="N141" s="148" t="s">
        <v>48</v>
      </c>
      <c r="O141" s="55"/>
      <c r="P141" s="149">
        <f>O141*H141</f>
        <v>0</v>
      </c>
      <c r="Q141" s="149">
        <v>0</v>
      </c>
      <c r="R141" s="149">
        <f>Q141*H141</f>
        <v>0</v>
      </c>
      <c r="S141" s="149">
        <v>0</v>
      </c>
      <c r="T141" s="150">
        <f>S141*H141</f>
        <v>0</v>
      </c>
      <c r="U141" s="34"/>
      <c r="V141" s="34"/>
      <c r="W141" s="34"/>
      <c r="X141" s="34"/>
      <c r="Y141" s="34"/>
      <c r="Z141" s="34"/>
      <c r="AA141" s="34"/>
      <c r="AB141" s="34"/>
      <c r="AC141" s="34"/>
      <c r="AD141" s="34"/>
      <c r="AE141" s="34"/>
      <c r="AR141" s="151" t="s">
        <v>185</v>
      </c>
      <c r="AT141" s="151" t="s">
        <v>180</v>
      </c>
      <c r="AU141" s="151" t="s">
        <v>87</v>
      </c>
      <c r="AY141" s="19" t="s">
        <v>177</v>
      </c>
      <c r="BE141" s="152">
        <f>IF(N141="základní",J141,0)</f>
        <v>0</v>
      </c>
      <c r="BF141" s="152">
        <f>IF(N141="snížená",J141,0)</f>
        <v>0</v>
      </c>
      <c r="BG141" s="152">
        <f>IF(N141="zákl. přenesená",J141,0)</f>
        <v>0</v>
      </c>
      <c r="BH141" s="152">
        <f>IF(N141="sníž. přenesená",J141,0)</f>
        <v>0</v>
      </c>
      <c r="BI141" s="152">
        <f>IF(N141="nulová",J141,0)</f>
        <v>0</v>
      </c>
      <c r="BJ141" s="19" t="s">
        <v>85</v>
      </c>
      <c r="BK141" s="152">
        <f>ROUND(I141*H141,2)</f>
        <v>0</v>
      </c>
      <c r="BL141" s="19" t="s">
        <v>185</v>
      </c>
      <c r="BM141" s="151" t="s">
        <v>858</v>
      </c>
    </row>
    <row r="142" spans="1:65" s="2" customFormat="1">
      <c r="A142" s="34"/>
      <c r="B142" s="35"/>
      <c r="C142" s="34"/>
      <c r="D142" s="153" t="s">
        <v>187</v>
      </c>
      <c r="E142" s="34"/>
      <c r="F142" s="154" t="s">
        <v>859</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187</v>
      </c>
      <c r="AU142" s="19" t="s">
        <v>87</v>
      </c>
    </row>
    <row r="143" spans="1:65" s="2" customFormat="1">
      <c r="A143" s="34"/>
      <c r="B143" s="35"/>
      <c r="C143" s="34"/>
      <c r="D143" s="158" t="s">
        <v>189</v>
      </c>
      <c r="E143" s="34"/>
      <c r="F143" s="159" t="s">
        <v>860</v>
      </c>
      <c r="G143" s="34"/>
      <c r="H143" s="34"/>
      <c r="I143" s="155"/>
      <c r="J143" s="34"/>
      <c r="K143" s="34"/>
      <c r="L143" s="35"/>
      <c r="M143" s="156"/>
      <c r="N143" s="157"/>
      <c r="O143" s="55"/>
      <c r="P143" s="55"/>
      <c r="Q143" s="55"/>
      <c r="R143" s="55"/>
      <c r="S143" s="55"/>
      <c r="T143" s="56"/>
      <c r="U143" s="34"/>
      <c r="V143" s="34"/>
      <c r="W143" s="34"/>
      <c r="X143" s="34"/>
      <c r="Y143" s="34"/>
      <c r="Z143" s="34"/>
      <c r="AA143" s="34"/>
      <c r="AB143" s="34"/>
      <c r="AC143" s="34"/>
      <c r="AD143" s="34"/>
      <c r="AE143" s="34"/>
      <c r="AT143" s="19" t="s">
        <v>189</v>
      </c>
      <c r="AU143" s="19" t="s">
        <v>87</v>
      </c>
    </row>
    <row r="144" spans="1:65" s="2" customFormat="1" ht="39">
      <c r="A144" s="34"/>
      <c r="B144" s="35"/>
      <c r="C144" s="34"/>
      <c r="D144" s="153" t="s">
        <v>191</v>
      </c>
      <c r="E144" s="34"/>
      <c r="F144" s="160" t="s">
        <v>861</v>
      </c>
      <c r="G144" s="34"/>
      <c r="H144" s="34"/>
      <c r="I144" s="155"/>
      <c r="J144" s="34"/>
      <c r="K144" s="34"/>
      <c r="L144" s="35"/>
      <c r="M144" s="156"/>
      <c r="N144" s="157"/>
      <c r="O144" s="55"/>
      <c r="P144" s="55"/>
      <c r="Q144" s="55"/>
      <c r="R144" s="55"/>
      <c r="S144" s="55"/>
      <c r="T144" s="56"/>
      <c r="U144" s="34"/>
      <c r="V144" s="34"/>
      <c r="W144" s="34"/>
      <c r="X144" s="34"/>
      <c r="Y144" s="34"/>
      <c r="Z144" s="34"/>
      <c r="AA144" s="34"/>
      <c r="AB144" s="34"/>
      <c r="AC144" s="34"/>
      <c r="AD144" s="34"/>
      <c r="AE144" s="34"/>
      <c r="AT144" s="19" t="s">
        <v>191</v>
      </c>
      <c r="AU144" s="19" t="s">
        <v>87</v>
      </c>
    </row>
    <row r="145" spans="1:65" s="2" customFormat="1" ht="16.5" customHeight="1">
      <c r="A145" s="34"/>
      <c r="B145" s="139"/>
      <c r="C145" s="140" t="s">
        <v>258</v>
      </c>
      <c r="D145" s="140" t="s">
        <v>180</v>
      </c>
      <c r="E145" s="141" t="s">
        <v>862</v>
      </c>
      <c r="F145" s="142" t="s">
        <v>863</v>
      </c>
      <c r="G145" s="143" t="s">
        <v>183</v>
      </c>
      <c r="H145" s="144">
        <v>1690.1210000000001</v>
      </c>
      <c r="I145" s="145"/>
      <c r="J145" s="146">
        <f>ROUND(I145*H145,2)</f>
        <v>0</v>
      </c>
      <c r="K145" s="142" t="s">
        <v>184</v>
      </c>
      <c r="L145" s="35"/>
      <c r="M145" s="147" t="s">
        <v>3</v>
      </c>
      <c r="N145" s="148" t="s">
        <v>48</v>
      </c>
      <c r="O145" s="55"/>
      <c r="P145" s="149">
        <f>O145*H145</f>
        <v>0</v>
      </c>
      <c r="Q145" s="149">
        <v>0</v>
      </c>
      <c r="R145" s="149">
        <f>Q145*H145</f>
        <v>0</v>
      </c>
      <c r="S145" s="149">
        <v>0</v>
      </c>
      <c r="T145" s="150">
        <f>S145*H145</f>
        <v>0</v>
      </c>
      <c r="U145" s="34"/>
      <c r="V145" s="34"/>
      <c r="W145" s="34"/>
      <c r="X145" s="34"/>
      <c r="Y145" s="34"/>
      <c r="Z145" s="34"/>
      <c r="AA145" s="34"/>
      <c r="AB145" s="34"/>
      <c r="AC145" s="34"/>
      <c r="AD145" s="34"/>
      <c r="AE145" s="34"/>
      <c r="AR145" s="151" t="s">
        <v>185</v>
      </c>
      <c r="AT145" s="151" t="s">
        <v>180</v>
      </c>
      <c r="AU145" s="151" t="s">
        <v>87</v>
      </c>
      <c r="AY145" s="19" t="s">
        <v>177</v>
      </c>
      <c r="BE145" s="152">
        <f>IF(N145="základní",J145,0)</f>
        <v>0</v>
      </c>
      <c r="BF145" s="152">
        <f>IF(N145="snížená",J145,0)</f>
        <v>0</v>
      </c>
      <c r="BG145" s="152">
        <f>IF(N145="zákl. přenesená",J145,0)</f>
        <v>0</v>
      </c>
      <c r="BH145" s="152">
        <f>IF(N145="sníž. přenesená",J145,0)</f>
        <v>0</v>
      </c>
      <c r="BI145" s="152">
        <f>IF(N145="nulová",J145,0)</f>
        <v>0</v>
      </c>
      <c r="BJ145" s="19" t="s">
        <v>85</v>
      </c>
      <c r="BK145" s="152">
        <f>ROUND(I145*H145,2)</f>
        <v>0</v>
      </c>
      <c r="BL145" s="19" t="s">
        <v>185</v>
      </c>
      <c r="BM145" s="151" t="s">
        <v>864</v>
      </c>
    </row>
    <row r="146" spans="1:65" s="2" customFormat="1">
      <c r="A146" s="34"/>
      <c r="B146" s="35"/>
      <c r="C146" s="34"/>
      <c r="D146" s="153" t="s">
        <v>187</v>
      </c>
      <c r="E146" s="34"/>
      <c r="F146" s="154" t="s">
        <v>865</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187</v>
      </c>
      <c r="AU146" s="19" t="s">
        <v>87</v>
      </c>
    </row>
    <row r="147" spans="1:65" s="2" customFormat="1">
      <c r="A147" s="34"/>
      <c r="B147" s="35"/>
      <c r="C147" s="34"/>
      <c r="D147" s="158" t="s">
        <v>189</v>
      </c>
      <c r="E147" s="34"/>
      <c r="F147" s="159" t="s">
        <v>866</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189</v>
      </c>
      <c r="AU147" s="19" t="s">
        <v>87</v>
      </c>
    </row>
    <row r="148" spans="1:65" s="2" customFormat="1" ht="29.25">
      <c r="A148" s="34"/>
      <c r="B148" s="35"/>
      <c r="C148" s="34"/>
      <c r="D148" s="153" t="s">
        <v>191</v>
      </c>
      <c r="E148" s="34"/>
      <c r="F148" s="160" t="s">
        <v>867</v>
      </c>
      <c r="G148" s="34"/>
      <c r="H148" s="34"/>
      <c r="I148" s="155"/>
      <c r="J148" s="34"/>
      <c r="K148" s="34"/>
      <c r="L148" s="35"/>
      <c r="M148" s="156"/>
      <c r="N148" s="157"/>
      <c r="O148" s="55"/>
      <c r="P148" s="55"/>
      <c r="Q148" s="55"/>
      <c r="R148" s="55"/>
      <c r="S148" s="55"/>
      <c r="T148" s="56"/>
      <c r="U148" s="34"/>
      <c r="V148" s="34"/>
      <c r="W148" s="34"/>
      <c r="X148" s="34"/>
      <c r="Y148" s="34"/>
      <c r="Z148" s="34"/>
      <c r="AA148" s="34"/>
      <c r="AB148" s="34"/>
      <c r="AC148" s="34"/>
      <c r="AD148" s="34"/>
      <c r="AE148" s="34"/>
      <c r="AT148" s="19" t="s">
        <v>191</v>
      </c>
      <c r="AU148" s="19" t="s">
        <v>87</v>
      </c>
    </row>
    <row r="149" spans="1:65" s="2" customFormat="1" ht="16.5" customHeight="1">
      <c r="A149" s="34"/>
      <c r="B149" s="139"/>
      <c r="C149" s="140" t="s">
        <v>265</v>
      </c>
      <c r="D149" s="140" t="s">
        <v>180</v>
      </c>
      <c r="E149" s="141" t="s">
        <v>868</v>
      </c>
      <c r="F149" s="142" t="s">
        <v>869</v>
      </c>
      <c r="G149" s="143" t="s">
        <v>183</v>
      </c>
      <c r="H149" s="144">
        <v>244.44900000000001</v>
      </c>
      <c r="I149" s="145"/>
      <c r="J149" s="146">
        <f>ROUND(I149*H149,2)</f>
        <v>0</v>
      </c>
      <c r="K149" s="142" t="s">
        <v>184</v>
      </c>
      <c r="L149" s="35"/>
      <c r="M149" s="147" t="s">
        <v>3</v>
      </c>
      <c r="N149" s="148" t="s">
        <v>48</v>
      </c>
      <c r="O149" s="55"/>
      <c r="P149" s="149">
        <f>O149*H149</f>
        <v>0</v>
      </c>
      <c r="Q149" s="149">
        <v>0</v>
      </c>
      <c r="R149" s="149">
        <f>Q149*H149</f>
        <v>0</v>
      </c>
      <c r="S149" s="149">
        <v>0</v>
      </c>
      <c r="T149" s="150">
        <f>S149*H149</f>
        <v>0</v>
      </c>
      <c r="U149" s="34"/>
      <c r="V149" s="34"/>
      <c r="W149" s="34"/>
      <c r="X149" s="34"/>
      <c r="Y149" s="34"/>
      <c r="Z149" s="34"/>
      <c r="AA149" s="34"/>
      <c r="AB149" s="34"/>
      <c r="AC149" s="34"/>
      <c r="AD149" s="34"/>
      <c r="AE149" s="34"/>
      <c r="AR149" s="151" t="s">
        <v>185</v>
      </c>
      <c r="AT149" s="151" t="s">
        <v>180</v>
      </c>
      <c r="AU149" s="151" t="s">
        <v>87</v>
      </c>
      <c r="AY149" s="19" t="s">
        <v>177</v>
      </c>
      <c r="BE149" s="152">
        <f>IF(N149="základní",J149,0)</f>
        <v>0</v>
      </c>
      <c r="BF149" s="152">
        <f>IF(N149="snížená",J149,0)</f>
        <v>0</v>
      </c>
      <c r="BG149" s="152">
        <f>IF(N149="zákl. přenesená",J149,0)</f>
        <v>0</v>
      </c>
      <c r="BH149" s="152">
        <f>IF(N149="sníž. přenesená",J149,0)</f>
        <v>0</v>
      </c>
      <c r="BI149" s="152">
        <f>IF(N149="nulová",J149,0)</f>
        <v>0</v>
      </c>
      <c r="BJ149" s="19" t="s">
        <v>85</v>
      </c>
      <c r="BK149" s="152">
        <f>ROUND(I149*H149,2)</f>
        <v>0</v>
      </c>
      <c r="BL149" s="19" t="s">
        <v>185</v>
      </c>
      <c r="BM149" s="151" t="s">
        <v>870</v>
      </c>
    </row>
    <row r="150" spans="1:65" s="2" customFormat="1">
      <c r="A150" s="34"/>
      <c r="B150" s="35"/>
      <c r="C150" s="34"/>
      <c r="D150" s="153" t="s">
        <v>187</v>
      </c>
      <c r="E150" s="34"/>
      <c r="F150" s="154" t="s">
        <v>871</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187</v>
      </c>
      <c r="AU150" s="19" t="s">
        <v>87</v>
      </c>
    </row>
    <row r="151" spans="1:65" s="2" customFormat="1">
      <c r="A151" s="34"/>
      <c r="B151" s="35"/>
      <c r="C151" s="34"/>
      <c r="D151" s="158" t="s">
        <v>189</v>
      </c>
      <c r="E151" s="34"/>
      <c r="F151" s="159" t="s">
        <v>872</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189</v>
      </c>
      <c r="AU151" s="19" t="s">
        <v>87</v>
      </c>
    </row>
    <row r="152" spans="1:65" s="2" customFormat="1" ht="29.25">
      <c r="A152" s="34"/>
      <c r="B152" s="35"/>
      <c r="C152" s="34"/>
      <c r="D152" s="153" t="s">
        <v>191</v>
      </c>
      <c r="E152" s="34"/>
      <c r="F152" s="160" t="s">
        <v>867</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191</v>
      </c>
      <c r="AU152" s="19" t="s">
        <v>87</v>
      </c>
    </row>
    <row r="153" spans="1:65" s="14" customFormat="1">
      <c r="B153" s="169"/>
      <c r="D153" s="153" t="s">
        <v>193</v>
      </c>
      <c r="E153" s="170" t="s">
        <v>3</v>
      </c>
      <c r="F153" s="171" t="s">
        <v>873</v>
      </c>
      <c r="H153" s="170" t="s">
        <v>3</v>
      </c>
      <c r="I153" s="172"/>
      <c r="L153" s="169"/>
      <c r="M153" s="173"/>
      <c r="N153" s="174"/>
      <c r="O153" s="174"/>
      <c r="P153" s="174"/>
      <c r="Q153" s="174"/>
      <c r="R153" s="174"/>
      <c r="S153" s="174"/>
      <c r="T153" s="175"/>
      <c r="AT153" s="170" t="s">
        <v>193</v>
      </c>
      <c r="AU153" s="170" t="s">
        <v>87</v>
      </c>
      <c r="AV153" s="14" t="s">
        <v>85</v>
      </c>
      <c r="AW153" s="14" t="s">
        <v>36</v>
      </c>
      <c r="AX153" s="14" t="s">
        <v>77</v>
      </c>
      <c r="AY153" s="170" t="s">
        <v>177</v>
      </c>
    </row>
    <row r="154" spans="1:65" s="13" customFormat="1">
      <c r="B154" s="161"/>
      <c r="D154" s="153" t="s">
        <v>193</v>
      </c>
      <c r="E154" s="162" t="s">
        <v>3</v>
      </c>
      <c r="F154" s="163" t="s">
        <v>874</v>
      </c>
      <c r="H154" s="164">
        <v>1690.1210000000001</v>
      </c>
      <c r="I154" s="165"/>
      <c r="L154" s="161"/>
      <c r="M154" s="166"/>
      <c r="N154" s="167"/>
      <c r="O154" s="167"/>
      <c r="P154" s="167"/>
      <c r="Q154" s="167"/>
      <c r="R154" s="167"/>
      <c r="S154" s="167"/>
      <c r="T154" s="168"/>
      <c r="AT154" s="162" t="s">
        <v>193</v>
      </c>
      <c r="AU154" s="162" t="s">
        <v>87</v>
      </c>
      <c r="AV154" s="13" t="s">
        <v>87</v>
      </c>
      <c r="AW154" s="13" t="s">
        <v>36</v>
      </c>
      <c r="AX154" s="13" t="s">
        <v>77</v>
      </c>
      <c r="AY154" s="162" t="s">
        <v>177</v>
      </c>
    </row>
    <row r="155" spans="1:65" s="13" customFormat="1">
      <c r="B155" s="161"/>
      <c r="D155" s="153" t="s">
        <v>193</v>
      </c>
      <c r="E155" s="162" t="s">
        <v>3</v>
      </c>
      <c r="F155" s="163" t="s">
        <v>875</v>
      </c>
      <c r="H155" s="164">
        <v>-1445.672</v>
      </c>
      <c r="I155" s="165"/>
      <c r="L155" s="161"/>
      <c r="M155" s="166"/>
      <c r="N155" s="167"/>
      <c r="O155" s="167"/>
      <c r="P155" s="167"/>
      <c r="Q155" s="167"/>
      <c r="R155" s="167"/>
      <c r="S155" s="167"/>
      <c r="T155" s="168"/>
      <c r="AT155" s="162" t="s">
        <v>193</v>
      </c>
      <c r="AU155" s="162" t="s">
        <v>87</v>
      </c>
      <c r="AV155" s="13" t="s">
        <v>87</v>
      </c>
      <c r="AW155" s="13" t="s">
        <v>36</v>
      </c>
      <c r="AX155" s="13" t="s">
        <v>77</v>
      </c>
      <c r="AY155" s="162" t="s">
        <v>177</v>
      </c>
    </row>
    <row r="156" spans="1:65" s="16" customFormat="1">
      <c r="B156" s="184"/>
      <c r="D156" s="153" t="s">
        <v>193</v>
      </c>
      <c r="E156" s="185" t="s">
        <v>3</v>
      </c>
      <c r="F156" s="186" t="s">
        <v>201</v>
      </c>
      <c r="H156" s="187">
        <v>244.44900000000007</v>
      </c>
      <c r="I156" s="188"/>
      <c r="L156" s="184"/>
      <c r="M156" s="189"/>
      <c r="N156" s="190"/>
      <c r="O156" s="190"/>
      <c r="P156" s="190"/>
      <c r="Q156" s="190"/>
      <c r="R156" s="190"/>
      <c r="S156" s="190"/>
      <c r="T156" s="191"/>
      <c r="AT156" s="185" t="s">
        <v>193</v>
      </c>
      <c r="AU156" s="185" t="s">
        <v>87</v>
      </c>
      <c r="AV156" s="16" t="s">
        <v>185</v>
      </c>
      <c r="AW156" s="16" t="s">
        <v>36</v>
      </c>
      <c r="AX156" s="16" t="s">
        <v>85</v>
      </c>
      <c r="AY156" s="185" t="s">
        <v>177</v>
      </c>
    </row>
    <row r="157" spans="1:65" s="2" customFormat="1" ht="16.5" customHeight="1">
      <c r="A157" s="34"/>
      <c r="B157" s="139"/>
      <c r="C157" s="140" t="s">
        <v>271</v>
      </c>
      <c r="D157" s="140" t="s">
        <v>180</v>
      </c>
      <c r="E157" s="141" t="s">
        <v>876</v>
      </c>
      <c r="F157" s="142" t="s">
        <v>877</v>
      </c>
      <c r="G157" s="143" t="s">
        <v>183</v>
      </c>
      <c r="H157" s="144">
        <v>4644.5309999999999</v>
      </c>
      <c r="I157" s="145"/>
      <c r="J157" s="146">
        <f>ROUND(I157*H157,2)</f>
        <v>0</v>
      </c>
      <c r="K157" s="142" t="s">
        <v>184</v>
      </c>
      <c r="L157" s="35"/>
      <c r="M157" s="147" t="s">
        <v>3</v>
      </c>
      <c r="N157" s="148" t="s">
        <v>48</v>
      </c>
      <c r="O157" s="55"/>
      <c r="P157" s="149">
        <f>O157*H157</f>
        <v>0</v>
      </c>
      <c r="Q157" s="149">
        <v>0</v>
      </c>
      <c r="R157" s="149">
        <f>Q157*H157</f>
        <v>0</v>
      </c>
      <c r="S157" s="149">
        <v>0</v>
      </c>
      <c r="T157" s="150">
        <f>S157*H157</f>
        <v>0</v>
      </c>
      <c r="U157" s="34"/>
      <c r="V157" s="34"/>
      <c r="W157" s="34"/>
      <c r="X157" s="34"/>
      <c r="Y157" s="34"/>
      <c r="Z157" s="34"/>
      <c r="AA157" s="34"/>
      <c r="AB157" s="34"/>
      <c r="AC157" s="34"/>
      <c r="AD157" s="34"/>
      <c r="AE157" s="34"/>
      <c r="AR157" s="151" t="s">
        <v>185</v>
      </c>
      <c r="AT157" s="151" t="s">
        <v>180</v>
      </c>
      <c r="AU157" s="151" t="s">
        <v>87</v>
      </c>
      <c r="AY157" s="19" t="s">
        <v>177</v>
      </c>
      <c r="BE157" s="152">
        <f>IF(N157="základní",J157,0)</f>
        <v>0</v>
      </c>
      <c r="BF157" s="152">
        <f>IF(N157="snížená",J157,0)</f>
        <v>0</v>
      </c>
      <c r="BG157" s="152">
        <f>IF(N157="zákl. přenesená",J157,0)</f>
        <v>0</v>
      </c>
      <c r="BH157" s="152">
        <f>IF(N157="sníž. přenesená",J157,0)</f>
        <v>0</v>
      </c>
      <c r="BI157" s="152">
        <f>IF(N157="nulová",J157,0)</f>
        <v>0</v>
      </c>
      <c r="BJ157" s="19" t="s">
        <v>85</v>
      </c>
      <c r="BK157" s="152">
        <f>ROUND(I157*H157,2)</f>
        <v>0</v>
      </c>
      <c r="BL157" s="19" t="s">
        <v>185</v>
      </c>
      <c r="BM157" s="151" t="s">
        <v>878</v>
      </c>
    </row>
    <row r="158" spans="1:65" s="2" customFormat="1">
      <c r="A158" s="34"/>
      <c r="B158" s="35"/>
      <c r="C158" s="34"/>
      <c r="D158" s="153" t="s">
        <v>187</v>
      </c>
      <c r="E158" s="34"/>
      <c r="F158" s="154" t="s">
        <v>879</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187</v>
      </c>
      <c r="AU158" s="19" t="s">
        <v>87</v>
      </c>
    </row>
    <row r="159" spans="1:65" s="2" customFormat="1">
      <c r="A159" s="34"/>
      <c r="B159" s="35"/>
      <c r="C159" s="34"/>
      <c r="D159" s="158" t="s">
        <v>189</v>
      </c>
      <c r="E159" s="34"/>
      <c r="F159" s="159" t="s">
        <v>880</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189</v>
      </c>
      <c r="AU159" s="19" t="s">
        <v>87</v>
      </c>
    </row>
    <row r="160" spans="1:65" s="2" customFormat="1" ht="29.25">
      <c r="A160" s="34"/>
      <c r="B160" s="35"/>
      <c r="C160" s="34"/>
      <c r="D160" s="153" t="s">
        <v>191</v>
      </c>
      <c r="E160" s="34"/>
      <c r="F160" s="160" t="s">
        <v>867</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191</v>
      </c>
      <c r="AU160" s="19" t="s">
        <v>87</v>
      </c>
    </row>
    <row r="161" spans="1:65" s="13" customFormat="1">
      <c r="B161" s="161"/>
      <c r="D161" s="153" t="s">
        <v>193</v>
      </c>
      <c r="F161" s="163" t="s">
        <v>881</v>
      </c>
      <c r="H161" s="164">
        <v>4644.5309999999999</v>
      </c>
      <c r="I161" s="165"/>
      <c r="L161" s="161"/>
      <c r="M161" s="166"/>
      <c r="N161" s="167"/>
      <c r="O161" s="167"/>
      <c r="P161" s="167"/>
      <c r="Q161" s="167"/>
      <c r="R161" s="167"/>
      <c r="S161" s="167"/>
      <c r="T161" s="168"/>
      <c r="AT161" s="162" t="s">
        <v>193</v>
      </c>
      <c r="AU161" s="162" t="s">
        <v>87</v>
      </c>
      <c r="AV161" s="13" t="s">
        <v>87</v>
      </c>
      <c r="AW161" s="13" t="s">
        <v>4</v>
      </c>
      <c r="AX161" s="13" t="s">
        <v>85</v>
      </c>
      <c r="AY161" s="162" t="s">
        <v>177</v>
      </c>
    </row>
    <row r="162" spans="1:65" s="2" customFormat="1" ht="16.5" customHeight="1">
      <c r="A162" s="34"/>
      <c r="B162" s="139"/>
      <c r="C162" s="140" t="s">
        <v>277</v>
      </c>
      <c r="D162" s="140" t="s">
        <v>180</v>
      </c>
      <c r="E162" s="141" t="s">
        <v>882</v>
      </c>
      <c r="F162" s="142" t="s">
        <v>883</v>
      </c>
      <c r="G162" s="143" t="s">
        <v>183</v>
      </c>
      <c r="H162" s="144">
        <v>1690.1210000000001</v>
      </c>
      <c r="I162" s="145"/>
      <c r="J162" s="146">
        <f>ROUND(I162*H162,2)</f>
        <v>0</v>
      </c>
      <c r="K162" s="142" t="s">
        <v>184</v>
      </c>
      <c r="L162" s="35"/>
      <c r="M162" s="147" t="s">
        <v>3</v>
      </c>
      <c r="N162" s="148" t="s">
        <v>48</v>
      </c>
      <c r="O162" s="55"/>
      <c r="P162" s="149">
        <f>O162*H162</f>
        <v>0</v>
      </c>
      <c r="Q162" s="149">
        <v>0</v>
      </c>
      <c r="R162" s="149">
        <f>Q162*H162</f>
        <v>0</v>
      </c>
      <c r="S162" s="149">
        <v>0</v>
      </c>
      <c r="T162" s="150">
        <f>S162*H162</f>
        <v>0</v>
      </c>
      <c r="U162" s="34"/>
      <c r="V162" s="34"/>
      <c r="W162" s="34"/>
      <c r="X162" s="34"/>
      <c r="Y162" s="34"/>
      <c r="Z162" s="34"/>
      <c r="AA162" s="34"/>
      <c r="AB162" s="34"/>
      <c r="AC162" s="34"/>
      <c r="AD162" s="34"/>
      <c r="AE162" s="34"/>
      <c r="AR162" s="151" t="s">
        <v>185</v>
      </c>
      <c r="AT162" s="151" t="s">
        <v>180</v>
      </c>
      <c r="AU162" s="151" t="s">
        <v>87</v>
      </c>
      <c r="AY162" s="19" t="s">
        <v>177</v>
      </c>
      <c r="BE162" s="152">
        <f>IF(N162="základní",J162,0)</f>
        <v>0</v>
      </c>
      <c r="BF162" s="152">
        <f>IF(N162="snížená",J162,0)</f>
        <v>0</v>
      </c>
      <c r="BG162" s="152">
        <f>IF(N162="zákl. přenesená",J162,0)</f>
        <v>0</v>
      </c>
      <c r="BH162" s="152">
        <f>IF(N162="sníž. přenesená",J162,0)</f>
        <v>0</v>
      </c>
      <c r="BI162" s="152">
        <f>IF(N162="nulová",J162,0)</f>
        <v>0</v>
      </c>
      <c r="BJ162" s="19" t="s">
        <v>85</v>
      </c>
      <c r="BK162" s="152">
        <f>ROUND(I162*H162,2)</f>
        <v>0</v>
      </c>
      <c r="BL162" s="19" t="s">
        <v>185</v>
      </c>
      <c r="BM162" s="151" t="s">
        <v>884</v>
      </c>
    </row>
    <row r="163" spans="1:65" s="2" customFormat="1">
      <c r="A163" s="34"/>
      <c r="B163" s="35"/>
      <c r="C163" s="34"/>
      <c r="D163" s="153" t="s">
        <v>187</v>
      </c>
      <c r="E163" s="34"/>
      <c r="F163" s="154" t="s">
        <v>883</v>
      </c>
      <c r="G163" s="34"/>
      <c r="H163" s="34"/>
      <c r="I163" s="155"/>
      <c r="J163" s="34"/>
      <c r="K163" s="34"/>
      <c r="L163" s="35"/>
      <c r="M163" s="156"/>
      <c r="N163" s="157"/>
      <c r="O163" s="55"/>
      <c r="P163" s="55"/>
      <c r="Q163" s="55"/>
      <c r="R163" s="55"/>
      <c r="S163" s="55"/>
      <c r="T163" s="56"/>
      <c r="U163" s="34"/>
      <c r="V163" s="34"/>
      <c r="W163" s="34"/>
      <c r="X163" s="34"/>
      <c r="Y163" s="34"/>
      <c r="Z163" s="34"/>
      <c r="AA163" s="34"/>
      <c r="AB163" s="34"/>
      <c r="AC163" s="34"/>
      <c r="AD163" s="34"/>
      <c r="AE163" s="34"/>
      <c r="AT163" s="19" t="s">
        <v>187</v>
      </c>
      <c r="AU163" s="19" t="s">
        <v>87</v>
      </c>
    </row>
    <row r="164" spans="1:65" s="2" customFormat="1">
      <c r="A164" s="34"/>
      <c r="B164" s="35"/>
      <c r="C164" s="34"/>
      <c r="D164" s="158" t="s">
        <v>189</v>
      </c>
      <c r="E164" s="34"/>
      <c r="F164" s="159" t="s">
        <v>885</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189</v>
      </c>
      <c r="AU164" s="19" t="s">
        <v>87</v>
      </c>
    </row>
    <row r="165" spans="1:65" s="2" customFormat="1" ht="39">
      <c r="A165" s="34"/>
      <c r="B165" s="35"/>
      <c r="C165" s="34"/>
      <c r="D165" s="153" t="s">
        <v>191</v>
      </c>
      <c r="E165" s="34"/>
      <c r="F165" s="160" t="s">
        <v>886</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191</v>
      </c>
      <c r="AU165" s="19" t="s">
        <v>87</v>
      </c>
    </row>
    <row r="166" spans="1:65" s="2" customFormat="1" ht="24.2" customHeight="1">
      <c r="A166" s="34"/>
      <c r="B166" s="139"/>
      <c r="C166" s="140" t="s">
        <v>283</v>
      </c>
      <c r="D166" s="140" t="s">
        <v>180</v>
      </c>
      <c r="E166" s="141" t="s">
        <v>513</v>
      </c>
      <c r="F166" s="142" t="s">
        <v>514</v>
      </c>
      <c r="G166" s="143" t="s">
        <v>183</v>
      </c>
      <c r="H166" s="144">
        <v>195.559</v>
      </c>
      <c r="I166" s="145"/>
      <c r="J166" s="146">
        <f>ROUND(I166*H166,2)</f>
        <v>0</v>
      </c>
      <c r="K166" s="142" t="s">
        <v>184</v>
      </c>
      <c r="L166" s="35"/>
      <c r="M166" s="147" t="s">
        <v>3</v>
      </c>
      <c r="N166" s="148" t="s">
        <v>48</v>
      </c>
      <c r="O166" s="55"/>
      <c r="P166" s="149">
        <f>O166*H166</f>
        <v>0</v>
      </c>
      <c r="Q166" s="149">
        <v>0</v>
      </c>
      <c r="R166" s="149">
        <f>Q166*H166</f>
        <v>0</v>
      </c>
      <c r="S166" s="149">
        <v>0</v>
      </c>
      <c r="T166" s="150">
        <f>S166*H166</f>
        <v>0</v>
      </c>
      <c r="U166" s="34"/>
      <c r="V166" s="34"/>
      <c r="W166" s="34"/>
      <c r="X166" s="34"/>
      <c r="Y166" s="34"/>
      <c r="Z166" s="34"/>
      <c r="AA166" s="34"/>
      <c r="AB166" s="34"/>
      <c r="AC166" s="34"/>
      <c r="AD166" s="34"/>
      <c r="AE166" s="34"/>
      <c r="AR166" s="151" t="s">
        <v>185</v>
      </c>
      <c r="AT166" s="151" t="s">
        <v>180</v>
      </c>
      <c r="AU166" s="151" t="s">
        <v>87</v>
      </c>
      <c r="AY166" s="19" t="s">
        <v>177</v>
      </c>
      <c r="BE166" s="152">
        <f>IF(N166="základní",J166,0)</f>
        <v>0</v>
      </c>
      <c r="BF166" s="152">
        <f>IF(N166="snížená",J166,0)</f>
        <v>0</v>
      </c>
      <c r="BG166" s="152">
        <f>IF(N166="zákl. přenesená",J166,0)</f>
        <v>0</v>
      </c>
      <c r="BH166" s="152">
        <f>IF(N166="sníž. přenesená",J166,0)</f>
        <v>0</v>
      </c>
      <c r="BI166" s="152">
        <f>IF(N166="nulová",J166,0)</f>
        <v>0</v>
      </c>
      <c r="BJ166" s="19" t="s">
        <v>85</v>
      </c>
      <c r="BK166" s="152">
        <f>ROUND(I166*H166,2)</f>
        <v>0</v>
      </c>
      <c r="BL166" s="19" t="s">
        <v>185</v>
      </c>
      <c r="BM166" s="151" t="s">
        <v>887</v>
      </c>
    </row>
    <row r="167" spans="1:65" s="2" customFormat="1" ht="19.5">
      <c r="A167" s="34"/>
      <c r="B167" s="35"/>
      <c r="C167" s="34"/>
      <c r="D167" s="153" t="s">
        <v>187</v>
      </c>
      <c r="E167" s="34"/>
      <c r="F167" s="154" t="s">
        <v>516</v>
      </c>
      <c r="G167" s="34"/>
      <c r="H167" s="34"/>
      <c r="I167" s="155"/>
      <c r="J167" s="34"/>
      <c r="K167" s="34"/>
      <c r="L167" s="35"/>
      <c r="M167" s="156"/>
      <c r="N167" s="157"/>
      <c r="O167" s="55"/>
      <c r="P167" s="55"/>
      <c r="Q167" s="55"/>
      <c r="R167" s="55"/>
      <c r="S167" s="55"/>
      <c r="T167" s="56"/>
      <c r="U167" s="34"/>
      <c r="V167" s="34"/>
      <c r="W167" s="34"/>
      <c r="X167" s="34"/>
      <c r="Y167" s="34"/>
      <c r="Z167" s="34"/>
      <c r="AA167" s="34"/>
      <c r="AB167" s="34"/>
      <c r="AC167" s="34"/>
      <c r="AD167" s="34"/>
      <c r="AE167" s="34"/>
      <c r="AT167" s="19" t="s">
        <v>187</v>
      </c>
      <c r="AU167" s="19" t="s">
        <v>87</v>
      </c>
    </row>
    <row r="168" spans="1:65" s="2" customFormat="1">
      <c r="A168" s="34"/>
      <c r="B168" s="35"/>
      <c r="C168" s="34"/>
      <c r="D168" s="158" t="s">
        <v>189</v>
      </c>
      <c r="E168" s="34"/>
      <c r="F168" s="159" t="s">
        <v>517</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189</v>
      </c>
      <c r="AU168" s="19" t="s">
        <v>87</v>
      </c>
    </row>
    <row r="169" spans="1:65" s="2" customFormat="1" ht="39">
      <c r="A169" s="34"/>
      <c r="B169" s="35"/>
      <c r="C169" s="34"/>
      <c r="D169" s="153" t="s">
        <v>191</v>
      </c>
      <c r="E169" s="34"/>
      <c r="F169" s="160" t="s">
        <v>228</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191</v>
      </c>
      <c r="AU169" s="19" t="s">
        <v>87</v>
      </c>
    </row>
    <row r="170" spans="1:65" s="13" customFormat="1">
      <c r="B170" s="161"/>
      <c r="D170" s="153" t="s">
        <v>193</v>
      </c>
      <c r="E170" s="162" t="s">
        <v>3</v>
      </c>
      <c r="F170" s="163" t="s">
        <v>888</v>
      </c>
      <c r="H170" s="164">
        <v>195.559</v>
      </c>
      <c r="I170" s="165"/>
      <c r="L170" s="161"/>
      <c r="M170" s="166"/>
      <c r="N170" s="167"/>
      <c r="O170" s="167"/>
      <c r="P170" s="167"/>
      <c r="Q170" s="167"/>
      <c r="R170" s="167"/>
      <c r="S170" s="167"/>
      <c r="T170" s="168"/>
      <c r="AT170" s="162" t="s">
        <v>193</v>
      </c>
      <c r="AU170" s="162" t="s">
        <v>87</v>
      </c>
      <c r="AV170" s="13" t="s">
        <v>87</v>
      </c>
      <c r="AW170" s="13" t="s">
        <v>36</v>
      </c>
      <c r="AX170" s="13" t="s">
        <v>85</v>
      </c>
      <c r="AY170" s="162" t="s">
        <v>177</v>
      </c>
    </row>
    <row r="171" spans="1:65" s="2" customFormat="1" ht="24.2" customHeight="1">
      <c r="A171" s="34"/>
      <c r="B171" s="139"/>
      <c r="C171" s="140" t="s">
        <v>9</v>
      </c>
      <c r="D171" s="140" t="s">
        <v>180</v>
      </c>
      <c r="E171" s="141" t="s">
        <v>223</v>
      </c>
      <c r="F171" s="142" t="s">
        <v>224</v>
      </c>
      <c r="G171" s="143" t="s">
        <v>183</v>
      </c>
      <c r="H171" s="144">
        <v>48.89</v>
      </c>
      <c r="I171" s="145"/>
      <c r="J171" s="146">
        <f>ROUND(I171*H171,2)</f>
        <v>0</v>
      </c>
      <c r="K171" s="142" t="s">
        <v>184</v>
      </c>
      <c r="L171" s="35"/>
      <c r="M171" s="147" t="s">
        <v>3</v>
      </c>
      <c r="N171" s="148" t="s">
        <v>48</v>
      </c>
      <c r="O171" s="55"/>
      <c r="P171" s="149">
        <f>O171*H171</f>
        <v>0</v>
      </c>
      <c r="Q171" s="149">
        <v>0</v>
      </c>
      <c r="R171" s="149">
        <f>Q171*H171</f>
        <v>0</v>
      </c>
      <c r="S171" s="149">
        <v>0</v>
      </c>
      <c r="T171" s="150">
        <f>S171*H171</f>
        <v>0</v>
      </c>
      <c r="U171" s="34"/>
      <c r="V171" s="34"/>
      <c r="W171" s="34"/>
      <c r="X171" s="34"/>
      <c r="Y171" s="34"/>
      <c r="Z171" s="34"/>
      <c r="AA171" s="34"/>
      <c r="AB171" s="34"/>
      <c r="AC171" s="34"/>
      <c r="AD171" s="34"/>
      <c r="AE171" s="34"/>
      <c r="AR171" s="151" t="s">
        <v>185</v>
      </c>
      <c r="AT171" s="151" t="s">
        <v>180</v>
      </c>
      <c r="AU171" s="151" t="s">
        <v>87</v>
      </c>
      <c r="AY171" s="19" t="s">
        <v>177</v>
      </c>
      <c r="BE171" s="152">
        <f>IF(N171="základní",J171,0)</f>
        <v>0</v>
      </c>
      <c r="BF171" s="152">
        <f>IF(N171="snížená",J171,0)</f>
        <v>0</v>
      </c>
      <c r="BG171" s="152">
        <f>IF(N171="zákl. přenesená",J171,0)</f>
        <v>0</v>
      </c>
      <c r="BH171" s="152">
        <f>IF(N171="sníž. přenesená",J171,0)</f>
        <v>0</v>
      </c>
      <c r="BI171" s="152">
        <f>IF(N171="nulová",J171,0)</f>
        <v>0</v>
      </c>
      <c r="BJ171" s="19" t="s">
        <v>85</v>
      </c>
      <c r="BK171" s="152">
        <f>ROUND(I171*H171,2)</f>
        <v>0</v>
      </c>
      <c r="BL171" s="19" t="s">
        <v>185</v>
      </c>
      <c r="BM171" s="151" t="s">
        <v>889</v>
      </c>
    </row>
    <row r="172" spans="1:65" s="2" customFormat="1" ht="19.5">
      <c r="A172" s="34"/>
      <c r="B172" s="35"/>
      <c r="C172" s="34"/>
      <c r="D172" s="153" t="s">
        <v>187</v>
      </c>
      <c r="E172" s="34"/>
      <c r="F172" s="154" t="s">
        <v>226</v>
      </c>
      <c r="G172" s="34"/>
      <c r="H172" s="34"/>
      <c r="I172" s="155"/>
      <c r="J172" s="34"/>
      <c r="K172" s="34"/>
      <c r="L172" s="35"/>
      <c r="M172" s="156"/>
      <c r="N172" s="157"/>
      <c r="O172" s="55"/>
      <c r="P172" s="55"/>
      <c r="Q172" s="55"/>
      <c r="R172" s="55"/>
      <c r="S172" s="55"/>
      <c r="T172" s="56"/>
      <c r="U172" s="34"/>
      <c r="V172" s="34"/>
      <c r="W172" s="34"/>
      <c r="X172" s="34"/>
      <c r="Y172" s="34"/>
      <c r="Z172" s="34"/>
      <c r="AA172" s="34"/>
      <c r="AB172" s="34"/>
      <c r="AC172" s="34"/>
      <c r="AD172" s="34"/>
      <c r="AE172" s="34"/>
      <c r="AT172" s="19" t="s">
        <v>187</v>
      </c>
      <c r="AU172" s="19" t="s">
        <v>87</v>
      </c>
    </row>
    <row r="173" spans="1:65" s="2" customFormat="1">
      <c r="A173" s="34"/>
      <c r="B173" s="35"/>
      <c r="C173" s="34"/>
      <c r="D173" s="158" t="s">
        <v>189</v>
      </c>
      <c r="E173" s="34"/>
      <c r="F173" s="159" t="s">
        <v>227</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189</v>
      </c>
      <c r="AU173" s="19" t="s">
        <v>87</v>
      </c>
    </row>
    <row r="174" spans="1:65" s="2" customFormat="1" ht="39">
      <c r="A174" s="34"/>
      <c r="B174" s="35"/>
      <c r="C174" s="34"/>
      <c r="D174" s="153" t="s">
        <v>191</v>
      </c>
      <c r="E174" s="34"/>
      <c r="F174" s="160" t="s">
        <v>228</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191</v>
      </c>
      <c r="AU174" s="19" t="s">
        <v>87</v>
      </c>
    </row>
    <row r="175" spans="1:65" s="13" customFormat="1">
      <c r="B175" s="161"/>
      <c r="D175" s="153" t="s">
        <v>193</v>
      </c>
      <c r="E175" s="162" t="s">
        <v>3</v>
      </c>
      <c r="F175" s="163" t="s">
        <v>890</v>
      </c>
      <c r="H175" s="164">
        <v>48.89</v>
      </c>
      <c r="I175" s="165"/>
      <c r="L175" s="161"/>
      <c r="M175" s="166"/>
      <c r="N175" s="167"/>
      <c r="O175" s="167"/>
      <c r="P175" s="167"/>
      <c r="Q175" s="167"/>
      <c r="R175" s="167"/>
      <c r="S175" s="167"/>
      <c r="T175" s="168"/>
      <c r="AT175" s="162" t="s">
        <v>193</v>
      </c>
      <c r="AU175" s="162" t="s">
        <v>87</v>
      </c>
      <c r="AV175" s="13" t="s">
        <v>87</v>
      </c>
      <c r="AW175" s="13" t="s">
        <v>36</v>
      </c>
      <c r="AX175" s="13" t="s">
        <v>85</v>
      </c>
      <c r="AY175" s="162" t="s">
        <v>177</v>
      </c>
    </row>
    <row r="176" spans="1:65" s="2" customFormat="1" ht="16.5" customHeight="1">
      <c r="A176" s="34"/>
      <c r="B176" s="139"/>
      <c r="C176" s="140" t="s">
        <v>237</v>
      </c>
      <c r="D176" s="140" t="s">
        <v>180</v>
      </c>
      <c r="E176" s="141" t="s">
        <v>891</v>
      </c>
      <c r="F176" s="142" t="s">
        <v>892</v>
      </c>
      <c r="G176" s="143" t="s">
        <v>243</v>
      </c>
      <c r="H176" s="144">
        <v>1</v>
      </c>
      <c r="I176" s="145"/>
      <c r="J176" s="146">
        <f>ROUND(I176*H176,2)</f>
        <v>0</v>
      </c>
      <c r="K176" s="142" t="s">
        <v>244</v>
      </c>
      <c r="L176" s="35"/>
      <c r="M176" s="147" t="s">
        <v>3</v>
      </c>
      <c r="N176" s="148" t="s">
        <v>48</v>
      </c>
      <c r="O176" s="55"/>
      <c r="P176" s="149">
        <f>O176*H176</f>
        <v>0</v>
      </c>
      <c r="Q176" s="149">
        <v>0</v>
      </c>
      <c r="R176" s="149">
        <f>Q176*H176</f>
        <v>0</v>
      </c>
      <c r="S176" s="149">
        <v>0</v>
      </c>
      <c r="T176" s="150">
        <f>S176*H176</f>
        <v>0</v>
      </c>
      <c r="U176" s="34"/>
      <c r="V176" s="34"/>
      <c r="W176" s="34"/>
      <c r="X176" s="34"/>
      <c r="Y176" s="34"/>
      <c r="Z176" s="34"/>
      <c r="AA176" s="34"/>
      <c r="AB176" s="34"/>
      <c r="AC176" s="34"/>
      <c r="AD176" s="34"/>
      <c r="AE176" s="34"/>
      <c r="AR176" s="151" t="s">
        <v>185</v>
      </c>
      <c r="AT176" s="151" t="s">
        <v>180</v>
      </c>
      <c r="AU176" s="151" t="s">
        <v>87</v>
      </c>
      <c r="AY176" s="19" t="s">
        <v>177</v>
      </c>
      <c r="BE176" s="152">
        <f>IF(N176="základní",J176,0)</f>
        <v>0</v>
      </c>
      <c r="BF176" s="152">
        <f>IF(N176="snížená",J176,0)</f>
        <v>0</v>
      </c>
      <c r="BG176" s="152">
        <f>IF(N176="zákl. přenesená",J176,0)</f>
        <v>0</v>
      </c>
      <c r="BH176" s="152">
        <f>IF(N176="sníž. přenesená",J176,0)</f>
        <v>0</v>
      </c>
      <c r="BI176" s="152">
        <f>IF(N176="nulová",J176,0)</f>
        <v>0</v>
      </c>
      <c r="BJ176" s="19" t="s">
        <v>85</v>
      </c>
      <c r="BK176" s="152">
        <f>ROUND(I176*H176,2)</f>
        <v>0</v>
      </c>
      <c r="BL176" s="19" t="s">
        <v>185</v>
      </c>
      <c r="BM176" s="151" t="s">
        <v>893</v>
      </c>
    </row>
    <row r="177" spans="1:65" s="2" customFormat="1">
      <c r="A177" s="34"/>
      <c r="B177" s="35"/>
      <c r="C177" s="34"/>
      <c r="D177" s="153" t="s">
        <v>187</v>
      </c>
      <c r="E177" s="34"/>
      <c r="F177" s="154" t="s">
        <v>892</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187</v>
      </c>
      <c r="AU177" s="19" t="s">
        <v>87</v>
      </c>
    </row>
    <row r="178" spans="1:65" s="12" customFormat="1" ht="22.9" customHeight="1">
      <c r="B178" s="126"/>
      <c r="D178" s="127" t="s">
        <v>76</v>
      </c>
      <c r="E178" s="137" t="s">
        <v>518</v>
      </c>
      <c r="F178" s="137" t="s">
        <v>519</v>
      </c>
      <c r="I178" s="129"/>
      <c r="J178" s="138">
        <f>BK178</f>
        <v>0</v>
      </c>
      <c r="L178" s="126"/>
      <c r="M178" s="131"/>
      <c r="N178" s="132"/>
      <c r="O178" s="132"/>
      <c r="P178" s="133">
        <f>SUM(P179:P182)</f>
        <v>0</v>
      </c>
      <c r="Q178" s="132"/>
      <c r="R178" s="133">
        <f>SUM(R179:R182)</f>
        <v>0</v>
      </c>
      <c r="S178" s="132"/>
      <c r="T178" s="134">
        <f>SUM(T179:T182)</f>
        <v>0</v>
      </c>
      <c r="AR178" s="127" t="s">
        <v>85</v>
      </c>
      <c r="AT178" s="135" t="s">
        <v>76</v>
      </c>
      <c r="AU178" s="135" t="s">
        <v>85</v>
      </c>
      <c r="AY178" s="127" t="s">
        <v>177</v>
      </c>
      <c r="BK178" s="136">
        <f>SUM(BK179:BK182)</f>
        <v>0</v>
      </c>
    </row>
    <row r="179" spans="1:65" s="2" customFormat="1" ht="16.5" customHeight="1">
      <c r="A179" s="34"/>
      <c r="B179" s="139"/>
      <c r="C179" s="140" t="s">
        <v>302</v>
      </c>
      <c r="D179" s="140" t="s">
        <v>180</v>
      </c>
      <c r="E179" s="141" t="s">
        <v>521</v>
      </c>
      <c r="F179" s="142" t="s">
        <v>522</v>
      </c>
      <c r="G179" s="143" t="s">
        <v>183</v>
      </c>
      <c r="H179" s="144">
        <v>1.3620000000000001</v>
      </c>
      <c r="I179" s="145"/>
      <c r="J179" s="146">
        <f>ROUND(I179*H179,2)</f>
        <v>0</v>
      </c>
      <c r="K179" s="142" t="s">
        <v>184</v>
      </c>
      <c r="L179" s="35"/>
      <c r="M179" s="147" t="s">
        <v>3</v>
      </c>
      <c r="N179" s="148" t="s">
        <v>48</v>
      </c>
      <c r="O179" s="55"/>
      <c r="P179" s="149">
        <f>O179*H179</f>
        <v>0</v>
      </c>
      <c r="Q179" s="149">
        <v>0</v>
      </c>
      <c r="R179" s="149">
        <f>Q179*H179</f>
        <v>0</v>
      </c>
      <c r="S179" s="149">
        <v>0</v>
      </c>
      <c r="T179" s="150">
        <f>S179*H179</f>
        <v>0</v>
      </c>
      <c r="U179" s="34"/>
      <c r="V179" s="34"/>
      <c r="W179" s="34"/>
      <c r="X179" s="34"/>
      <c r="Y179" s="34"/>
      <c r="Z179" s="34"/>
      <c r="AA179" s="34"/>
      <c r="AB179" s="34"/>
      <c r="AC179" s="34"/>
      <c r="AD179" s="34"/>
      <c r="AE179" s="34"/>
      <c r="AR179" s="151" t="s">
        <v>185</v>
      </c>
      <c r="AT179" s="151" t="s">
        <v>180</v>
      </c>
      <c r="AU179" s="151" t="s">
        <v>87</v>
      </c>
      <c r="AY179" s="19" t="s">
        <v>177</v>
      </c>
      <c r="BE179" s="152">
        <f>IF(N179="základní",J179,0)</f>
        <v>0</v>
      </c>
      <c r="BF179" s="152">
        <f>IF(N179="snížená",J179,0)</f>
        <v>0</v>
      </c>
      <c r="BG179" s="152">
        <f>IF(N179="zákl. přenesená",J179,0)</f>
        <v>0</v>
      </c>
      <c r="BH179" s="152">
        <f>IF(N179="sníž. přenesená",J179,0)</f>
        <v>0</v>
      </c>
      <c r="BI179" s="152">
        <f>IF(N179="nulová",J179,0)</f>
        <v>0</v>
      </c>
      <c r="BJ179" s="19" t="s">
        <v>85</v>
      </c>
      <c r="BK179" s="152">
        <f>ROUND(I179*H179,2)</f>
        <v>0</v>
      </c>
      <c r="BL179" s="19" t="s">
        <v>185</v>
      </c>
      <c r="BM179" s="151" t="s">
        <v>894</v>
      </c>
    </row>
    <row r="180" spans="1:65" s="2" customFormat="1" ht="19.5">
      <c r="A180" s="34"/>
      <c r="B180" s="35"/>
      <c r="C180" s="34"/>
      <c r="D180" s="153" t="s">
        <v>187</v>
      </c>
      <c r="E180" s="34"/>
      <c r="F180" s="154" t="s">
        <v>524</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187</v>
      </c>
      <c r="AU180" s="19" t="s">
        <v>87</v>
      </c>
    </row>
    <row r="181" spans="1:65" s="2" customFormat="1">
      <c r="A181" s="34"/>
      <c r="B181" s="35"/>
      <c r="C181" s="34"/>
      <c r="D181" s="158" t="s">
        <v>189</v>
      </c>
      <c r="E181" s="34"/>
      <c r="F181" s="159" t="s">
        <v>525</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189</v>
      </c>
      <c r="AU181" s="19" t="s">
        <v>87</v>
      </c>
    </row>
    <row r="182" spans="1:65" s="2" customFormat="1" ht="58.5">
      <c r="A182" s="34"/>
      <c r="B182" s="35"/>
      <c r="C182" s="34"/>
      <c r="D182" s="153" t="s">
        <v>191</v>
      </c>
      <c r="E182" s="34"/>
      <c r="F182" s="160" t="s">
        <v>526</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191</v>
      </c>
      <c r="AU182" s="19" t="s">
        <v>87</v>
      </c>
    </row>
    <row r="183" spans="1:65" s="12" customFormat="1" ht="25.9" customHeight="1">
      <c r="B183" s="126"/>
      <c r="D183" s="127" t="s">
        <v>76</v>
      </c>
      <c r="E183" s="128" t="s">
        <v>533</v>
      </c>
      <c r="F183" s="128" t="s">
        <v>534</v>
      </c>
      <c r="I183" s="129"/>
      <c r="J183" s="130">
        <f>BK183</f>
        <v>0</v>
      </c>
      <c r="L183" s="126"/>
      <c r="M183" s="131"/>
      <c r="N183" s="132"/>
      <c r="O183" s="132"/>
      <c r="P183" s="133">
        <f>P184+P190+P200+P209</f>
        <v>0</v>
      </c>
      <c r="Q183" s="132"/>
      <c r="R183" s="133">
        <f>R184+R190+R200+R209</f>
        <v>0</v>
      </c>
      <c r="S183" s="132"/>
      <c r="T183" s="134">
        <f>T184+T190+T200+T209</f>
        <v>0</v>
      </c>
      <c r="AR183" s="127" t="s">
        <v>200</v>
      </c>
      <c r="AT183" s="135" t="s">
        <v>76</v>
      </c>
      <c r="AU183" s="135" t="s">
        <v>77</v>
      </c>
      <c r="AY183" s="127" t="s">
        <v>177</v>
      </c>
      <c r="BK183" s="136">
        <f>BK184+BK190+BK200+BK209</f>
        <v>0</v>
      </c>
    </row>
    <row r="184" spans="1:65" s="12" customFormat="1" ht="22.9" customHeight="1">
      <c r="B184" s="126"/>
      <c r="D184" s="127" t="s">
        <v>76</v>
      </c>
      <c r="E184" s="137" t="s">
        <v>535</v>
      </c>
      <c r="F184" s="137" t="s">
        <v>536</v>
      </c>
      <c r="I184" s="129"/>
      <c r="J184" s="138">
        <f>BK184</f>
        <v>0</v>
      </c>
      <c r="L184" s="126"/>
      <c r="M184" s="131"/>
      <c r="N184" s="132"/>
      <c r="O184" s="132"/>
      <c r="P184" s="133">
        <f>SUM(P185:P189)</f>
        <v>0</v>
      </c>
      <c r="Q184" s="132"/>
      <c r="R184" s="133">
        <f>SUM(R185:R189)</f>
        <v>0</v>
      </c>
      <c r="S184" s="132"/>
      <c r="T184" s="134">
        <f>SUM(T185:T189)</f>
        <v>0</v>
      </c>
      <c r="AR184" s="127" t="s">
        <v>200</v>
      </c>
      <c r="AT184" s="135" t="s">
        <v>76</v>
      </c>
      <c r="AU184" s="135" t="s">
        <v>85</v>
      </c>
      <c r="AY184" s="127" t="s">
        <v>177</v>
      </c>
      <c r="BK184" s="136">
        <f>SUM(BK185:BK189)</f>
        <v>0</v>
      </c>
    </row>
    <row r="185" spans="1:65" s="2" customFormat="1" ht="16.5" customHeight="1">
      <c r="A185" s="34"/>
      <c r="B185" s="139"/>
      <c r="C185" s="140" t="s">
        <v>315</v>
      </c>
      <c r="D185" s="140" t="s">
        <v>180</v>
      </c>
      <c r="E185" s="141" t="s">
        <v>895</v>
      </c>
      <c r="F185" s="142" t="s">
        <v>896</v>
      </c>
      <c r="G185" s="143" t="s">
        <v>243</v>
      </c>
      <c r="H185" s="144">
        <v>1</v>
      </c>
      <c r="I185" s="145"/>
      <c r="J185" s="146">
        <f>ROUND(I185*H185,2)</f>
        <v>0</v>
      </c>
      <c r="K185" s="142" t="s">
        <v>184</v>
      </c>
      <c r="L185" s="35"/>
      <c r="M185" s="147" t="s">
        <v>3</v>
      </c>
      <c r="N185" s="148" t="s">
        <v>48</v>
      </c>
      <c r="O185" s="55"/>
      <c r="P185" s="149">
        <f>O185*H185</f>
        <v>0</v>
      </c>
      <c r="Q185" s="149">
        <v>0</v>
      </c>
      <c r="R185" s="149">
        <f>Q185*H185</f>
        <v>0</v>
      </c>
      <c r="S185" s="149">
        <v>0</v>
      </c>
      <c r="T185" s="150">
        <f>S185*H185</f>
        <v>0</v>
      </c>
      <c r="U185" s="34"/>
      <c r="V185" s="34"/>
      <c r="W185" s="34"/>
      <c r="X185" s="34"/>
      <c r="Y185" s="34"/>
      <c r="Z185" s="34"/>
      <c r="AA185" s="34"/>
      <c r="AB185" s="34"/>
      <c r="AC185" s="34"/>
      <c r="AD185" s="34"/>
      <c r="AE185" s="34"/>
      <c r="AR185" s="151" t="s">
        <v>541</v>
      </c>
      <c r="AT185" s="151" t="s">
        <v>180</v>
      </c>
      <c r="AU185" s="151" t="s">
        <v>87</v>
      </c>
      <c r="AY185" s="19" t="s">
        <v>177</v>
      </c>
      <c r="BE185" s="152">
        <f>IF(N185="základní",J185,0)</f>
        <v>0</v>
      </c>
      <c r="BF185" s="152">
        <f>IF(N185="snížená",J185,0)</f>
        <v>0</v>
      </c>
      <c r="BG185" s="152">
        <f>IF(N185="zákl. přenesená",J185,0)</f>
        <v>0</v>
      </c>
      <c r="BH185" s="152">
        <f>IF(N185="sníž. přenesená",J185,0)</f>
        <v>0</v>
      </c>
      <c r="BI185" s="152">
        <f>IF(N185="nulová",J185,0)</f>
        <v>0</v>
      </c>
      <c r="BJ185" s="19" t="s">
        <v>85</v>
      </c>
      <c r="BK185" s="152">
        <f>ROUND(I185*H185,2)</f>
        <v>0</v>
      </c>
      <c r="BL185" s="19" t="s">
        <v>541</v>
      </c>
      <c r="BM185" s="151" t="s">
        <v>897</v>
      </c>
    </row>
    <row r="186" spans="1:65" s="2" customFormat="1">
      <c r="A186" s="34"/>
      <c r="B186" s="35"/>
      <c r="C186" s="34"/>
      <c r="D186" s="153" t="s">
        <v>187</v>
      </c>
      <c r="E186" s="34"/>
      <c r="F186" s="154" t="s">
        <v>896</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187</v>
      </c>
      <c r="AU186" s="19" t="s">
        <v>87</v>
      </c>
    </row>
    <row r="187" spans="1:65" s="2" customFormat="1">
      <c r="A187" s="34"/>
      <c r="B187" s="35"/>
      <c r="C187" s="34"/>
      <c r="D187" s="158" t="s">
        <v>189</v>
      </c>
      <c r="E187" s="34"/>
      <c r="F187" s="159" t="s">
        <v>898</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189</v>
      </c>
      <c r="AU187" s="19" t="s">
        <v>87</v>
      </c>
    </row>
    <row r="188" spans="1:65" s="14" customFormat="1">
      <c r="B188" s="169"/>
      <c r="D188" s="153" t="s">
        <v>193</v>
      </c>
      <c r="E188" s="170" t="s">
        <v>3</v>
      </c>
      <c r="F188" s="171" t="s">
        <v>899</v>
      </c>
      <c r="H188" s="170" t="s">
        <v>3</v>
      </c>
      <c r="I188" s="172"/>
      <c r="L188" s="169"/>
      <c r="M188" s="173"/>
      <c r="N188" s="174"/>
      <c r="O188" s="174"/>
      <c r="P188" s="174"/>
      <c r="Q188" s="174"/>
      <c r="R188" s="174"/>
      <c r="S188" s="174"/>
      <c r="T188" s="175"/>
      <c r="AT188" s="170" t="s">
        <v>193</v>
      </c>
      <c r="AU188" s="170" t="s">
        <v>87</v>
      </c>
      <c r="AV188" s="14" t="s">
        <v>85</v>
      </c>
      <c r="AW188" s="14" t="s">
        <v>36</v>
      </c>
      <c r="AX188" s="14" t="s">
        <v>77</v>
      </c>
      <c r="AY188" s="170" t="s">
        <v>177</v>
      </c>
    </row>
    <row r="189" spans="1:65" s="13" customFormat="1">
      <c r="B189" s="161"/>
      <c r="D189" s="153" t="s">
        <v>193</v>
      </c>
      <c r="E189" s="162" t="s">
        <v>3</v>
      </c>
      <c r="F189" s="163" t="s">
        <v>85</v>
      </c>
      <c r="H189" s="164">
        <v>1</v>
      </c>
      <c r="I189" s="165"/>
      <c r="L189" s="161"/>
      <c r="M189" s="166"/>
      <c r="N189" s="167"/>
      <c r="O189" s="167"/>
      <c r="P189" s="167"/>
      <c r="Q189" s="167"/>
      <c r="R189" s="167"/>
      <c r="S189" s="167"/>
      <c r="T189" s="168"/>
      <c r="AT189" s="162" t="s">
        <v>193</v>
      </c>
      <c r="AU189" s="162" t="s">
        <v>87</v>
      </c>
      <c r="AV189" s="13" t="s">
        <v>87</v>
      </c>
      <c r="AW189" s="13" t="s">
        <v>36</v>
      </c>
      <c r="AX189" s="13" t="s">
        <v>85</v>
      </c>
      <c r="AY189" s="162" t="s">
        <v>177</v>
      </c>
    </row>
    <row r="190" spans="1:65" s="12" customFormat="1" ht="22.9" customHeight="1">
      <c r="B190" s="126"/>
      <c r="D190" s="127" t="s">
        <v>76</v>
      </c>
      <c r="E190" s="137" t="s">
        <v>900</v>
      </c>
      <c r="F190" s="137" t="s">
        <v>901</v>
      </c>
      <c r="I190" s="129"/>
      <c r="J190" s="138">
        <f>BK190</f>
        <v>0</v>
      </c>
      <c r="L190" s="126"/>
      <c r="M190" s="131"/>
      <c r="N190" s="132"/>
      <c r="O190" s="132"/>
      <c r="P190" s="133">
        <f>SUM(P191:P199)</f>
        <v>0</v>
      </c>
      <c r="Q190" s="132"/>
      <c r="R190" s="133">
        <f>SUM(R191:R199)</f>
        <v>0</v>
      </c>
      <c r="S190" s="132"/>
      <c r="T190" s="134">
        <f>SUM(T191:T199)</f>
        <v>0</v>
      </c>
      <c r="AR190" s="127" t="s">
        <v>200</v>
      </c>
      <c r="AT190" s="135" t="s">
        <v>76</v>
      </c>
      <c r="AU190" s="135" t="s">
        <v>85</v>
      </c>
      <c r="AY190" s="127" t="s">
        <v>177</v>
      </c>
      <c r="BK190" s="136">
        <f>SUM(BK191:BK199)</f>
        <v>0</v>
      </c>
    </row>
    <row r="191" spans="1:65" s="2" customFormat="1" ht="16.5" customHeight="1">
      <c r="A191" s="34"/>
      <c r="B191" s="139"/>
      <c r="C191" s="140" t="s">
        <v>461</v>
      </c>
      <c r="D191" s="140" t="s">
        <v>180</v>
      </c>
      <c r="E191" s="141" t="s">
        <v>902</v>
      </c>
      <c r="F191" s="142" t="s">
        <v>903</v>
      </c>
      <c r="G191" s="143" t="s">
        <v>476</v>
      </c>
      <c r="H191" s="144">
        <v>150</v>
      </c>
      <c r="I191" s="145"/>
      <c r="J191" s="146">
        <f>ROUND(I191*H191,2)</f>
        <v>0</v>
      </c>
      <c r="K191" s="142" t="s">
        <v>184</v>
      </c>
      <c r="L191" s="35"/>
      <c r="M191" s="147" t="s">
        <v>3</v>
      </c>
      <c r="N191" s="148" t="s">
        <v>48</v>
      </c>
      <c r="O191" s="55"/>
      <c r="P191" s="149">
        <f>O191*H191</f>
        <v>0</v>
      </c>
      <c r="Q191" s="149">
        <v>0</v>
      </c>
      <c r="R191" s="149">
        <f>Q191*H191</f>
        <v>0</v>
      </c>
      <c r="S191" s="149">
        <v>0</v>
      </c>
      <c r="T191" s="150">
        <f>S191*H191</f>
        <v>0</v>
      </c>
      <c r="U191" s="34"/>
      <c r="V191" s="34"/>
      <c r="W191" s="34"/>
      <c r="X191" s="34"/>
      <c r="Y191" s="34"/>
      <c r="Z191" s="34"/>
      <c r="AA191" s="34"/>
      <c r="AB191" s="34"/>
      <c r="AC191" s="34"/>
      <c r="AD191" s="34"/>
      <c r="AE191" s="34"/>
      <c r="AR191" s="151" t="s">
        <v>541</v>
      </c>
      <c r="AT191" s="151" t="s">
        <v>180</v>
      </c>
      <c r="AU191" s="151" t="s">
        <v>87</v>
      </c>
      <c r="AY191" s="19" t="s">
        <v>177</v>
      </c>
      <c r="BE191" s="152">
        <f>IF(N191="základní",J191,0)</f>
        <v>0</v>
      </c>
      <c r="BF191" s="152">
        <f>IF(N191="snížená",J191,0)</f>
        <v>0</v>
      </c>
      <c r="BG191" s="152">
        <f>IF(N191="zákl. přenesená",J191,0)</f>
        <v>0</v>
      </c>
      <c r="BH191" s="152">
        <f>IF(N191="sníž. přenesená",J191,0)</f>
        <v>0</v>
      </c>
      <c r="BI191" s="152">
        <f>IF(N191="nulová",J191,0)</f>
        <v>0</v>
      </c>
      <c r="BJ191" s="19" t="s">
        <v>85</v>
      </c>
      <c r="BK191" s="152">
        <f>ROUND(I191*H191,2)</f>
        <v>0</v>
      </c>
      <c r="BL191" s="19" t="s">
        <v>541</v>
      </c>
      <c r="BM191" s="151" t="s">
        <v>904</v>
      </c>
    </row>
    <row r="192" spans="1:65" s="2" customFormat="1">
      <c r="A192" s="34"/>
      <c r="B192" s="35"/>
      <c r="C192" s="34"/>
      <c r="D192" s="153" t="s">
        <v>187</v>
      </c>
      <c r="E192" s="34"/>
      <c r="F192" s="154" t="s">
        <v>903</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187</v>
      </c>
      <c r="AU192" s="19" t="s">
        <v>87</v>
      </c>
    </row>
    <row r="193" spans="1:65" s="2" customFormat="1">
      <c r="A193" s="34"/>
      <c r="B193" s="35"/>
      <c r="C193" s="34"/>
      <c r="D193" s="158" t="s">
        <v>189</v>
      </c>
      <c r="E193" s="34"/>
      <c r="F193" s="159" t="s">
        <v>905</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189</v>
      </c>
      <c r="AU193" s="19" t="s">
        <v>87</v>
      </c>
    </row>
    <row r="194" spans="1:65" s="2" customFormat="1" ht="16.5" customHeight="1">
      <c r="A194" s="34"/>
      <c r="B194" s="139"/>
      <c r="C194" s="140" t="s">
        <v>467</v>
      </c>
      <c r="D194" s="140" t="s">
        <v>180</v>
      </c>
      <c r="E194" s="141" t="s">
        <v>906</v>
      </c>
      <c r="F194" s="142" t="s">
        <v>907</v>
      </c>
      <c r="G194" s="143" t="s">
        <v>243</v>
      </c>
      <c r="H194" s="144">
        <v>1</v>
      </c>
      <c r="I194" s="145"/>
      <c r="J194" s="146">
        <f>ROUND(I194*H194,2)</f>
        <v>0</v>
      </c>
      <c r="K194" s="142" t="s">
        <v>184</v>
      </c>
      <c r="L194" s="35"/>
      <c r="M194" s="147" t="s">
        <v>3</v>
      </c>
      <c r="N194" s="148" t="s">
        <v>48</v>
      </c>
      <c r="O194" s="55"/>
      <c r="P194" s="149">
        <f>O194*H194</f>
        <v>0</v>
      </c>
      <c r="Q194" s="149">
        <v>0</v>
      </c>
      <c r="R194" s="149">
        <f>Q194*H194</f>
        <v>0</v>
      </c>
      <c r="S194" s="149">
        <v>0</v>
      </c>
      <c r="T194" s="150">
        <f>S194*H194</f>
        <v>0</v>
      </c>
      <c r="U194" s="34"/>
      <c r="V194" s="34"/>
      <c r="W194" s="34"/>
      <c r="X194" s="34"/>
      <c r="Y194" s="34"/>
      <c r="Z194" s="34"/>
      <c r="AA194" s="34"/>
      <c r="AB194" s="34"/>
      <c r="AC194" s="34"/>
      <c r="AD194" s="34"/>
      <c r="AE194" s="34"/>
      <c r="AR194" s="151" t="s">
        <v>541</v>
      </c>
      <c r="AT194" s="151" t="s">
        <v>180</v>
      </c>
      <c r="AU194" s="151" t="s">
        <v>87</v>
      </c>
      <c r="AY194" s="19" t="s">
        <v>177</v>
      </c>
      <c r="BE194" s="152">
        <f>IF(N194="základní",J194,0)</f>
        <v>0</v>
      </c>
      <c r="BF194" s="152">
        <f>IF(N194="snížená",J194,0)</f>
        <v>0</v>
      </c>
      <c r="BG194" s="152">
        <f>IF(N194="zákl. přenesená",J194,0)</f>
        <v>0</v>
      </c>
      <c r="BH194" s="152">
        <f>IF(N194="sníž. přenesená",J194,0)</f>
        <v>0</v>
      </c>
      <c r="BI194" s="152">
        <f>IF(N194="nulová",J194,0)</f>
        <v>0</v>
      </c>
      <c r="BJ194" s="19" t="s">
        <v>85</v>
      </c>
      <c r="BK194" s="152">
        <f>ROUND(I194*H194,2)</f>
        <v>0</v>
      </c>
      <c r="BL194" s="19" t="s">
        <v>541</v>
      </c>
      <c r="BM194" s="151" t="s">
        <v>908</v>
      </c>
    </row>
    <row r="195" spans="1:65" s="2" customFormat="1">
      <c r="A195" s="34"/>
      <c r="B195" s="35"/>
      <c r="C195" s="34"/>
      <c r="D195" s="153" t="s">
        <v>187</v>
      </c>
      <c r="E195" s="34"/>
      <c r="F195" s="154" t="s">
        <v>907</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187</v>
      </c>
      <c r="AU195" s="19" t="s">
        <v>87</v>
      </c>
    </row>
    <row r="196" spans="1:65" s="2" customFormat="1">
      <c r="A196" s="34"/>
      <c r="B196" s="35"/>
      <c r="C196" s="34"/>
      <c r="D196" s="158" t="s">
        <v>189</v>
      </c>
      <c r="E196" s="34"/>
      <c r="F196" s="159" t="s">
        <v>909</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189</v>
      </c>
      <c r="AU196" s="19" t="s">
        <v>87</v>
      </c>
    </row>
    <row r="197" spans="1:65" s="14" customFormat="1">
      <c r="B197" s="169"/>
      <c r="D197" s="153" t="s">
        <v>193</v>
      </c>
      <c r="E197" s="170" t="s">
        <v>3</v>
      </c>
      <c r="F197" s="171" t="s">
        <v>910</v>
      </c>
      <c r="H197" s="170" t="s">
        <v>3</v>
      </c>
      <c r="I197" s="172"/>
      <c r="L197" s="169"/>
      <c r="M197" s="173"/>
      <c r="N197" s="174"/>
      <c r="O197" s="174"/>
      <c r="P197" s="174"/>
      <c r="Q197" s="174"/>
      <c r="R197" s="174"/>
      <c r="S197" s="174"/>
      <c r="T197" s="175"/>
      <c r="AT197" s="170" t="s">
        <v>193</v>
      </c>
      <c r="AU197" s="170" t="s">
        <v>87</v>
      </c>
      <c r="AV197" s="14" t="s">
        <v>85</v>
      </c>
      <c r="AW197" s="14" t="s">
        <v>36</v>
      </c>
      <c r="AX197" s="14" t="s">
        <v>77</v>
      </c>
      <c r="AY197" s="170" t="s">
        <v>177</v>
      </c>
    </row>
    <row r="198" spans="1:65" s="14" customFormat="1">
      <c r="B198" s="169"/>
      <c r="D198" s="153" t="s">
        <v>193</v>
      </c>
      <c r="E198" s="170" t="s">
        <v>3</v>
      </c>
      <c r="F198" s="171" t="s">
        <v>911</v>
      </c>
      <c r="H198" s="170" t="s">
        <v>3</v>
      </c>
      <c r="I198" s="172"/>
      <c r="L198" s="169"/>
      <c r="M198" s="173"/>
      <c r="N198" s="174"/>
      <c r="O198" s="174"/>
      <c r="P198" s="174"/>
      <c r="Q198" s="174"/>
      <c r="R198" s="174"/>
      <c r="S198" s="174"/>
      <c r="T198" s="175"/>
      <c r="AT198" s="170" t="s">
        <v>193</v>
      </c>
      <c r="AU198" s="170" t="s">
        <v>87</v>
      </c>
      <c r="AV198" s="14" t="s">
        <v>85</v>
      </c>
      <c r="AW198" s="14" t="s">
        <v>36</v>
      </c>
      <c r="AX198" s="14" t="s">
        <v>77</v>
      </c>
      <c r="AY198" s="170" t="s">
        <v>177</v>
      </c>
    </row>
    <row r="199" spans="1:65" s="13" customFormat="1">
      <c r="B199" s="161"/>
      <c r="D199" s="153" t="s">
        <v>193</v>
      </c>
      <c r="E199" s="162" t="s">
        <v>3</v>
      </c>
      <c r="F199" s="163" t="s">
        <v>85</v>
      </c>
      <c r="H199" s="164">
        <v>1</v>
      </c>
      <c r="I199" s="165"/>
      <c r="L199" s="161"/>
      <c r="M199" s="166"/>
      <c r="N199" s="167"/>
      <c r="O199" s="167"/>
      <c r="P199" s="167"/>
      <c r="Q199" s="167"/>
      <c r="R199" s="167"/>
      <c r="S199" s="167"/>
      <c r="T199" s="168"/>
      <c r="AT199" s="162" t="s">
        <v>193</v>
      </c>
      <c r="AU199" s="162" t="s">
        <v>87</v>
      </c>
      <c r="AV199" s="13" t="s">
        <v>87</v>
      </c>
      <c r="AW199" s="13" t="s">
        <v>36</v>
      </c>
      <c r="AX199" s="13" t="s">
        <v>85</v>
      </c>
      <c r="AY199" s="162" t="s">
        <v>177</v>
      </c>
    </row>
    <row r="200" spans="1:65" s="12" customFormat="1" ht="22.5" hidden="1" customHeight="1">
      <c r="B200" s="126"/>
      <c r="D200" s="127"/>
      <c r="E200" s="137"/>
      <c r="F200" s="137"/>
      <c r="I200" s="129"/>
      <c r="J200" s="138"/>
      <c r="L200" s="126"/>
      <c r="M200" s="131"/>
      <c r="N200" s="132"/>
      <c r="O200" s="132"/>
      <c r="P200" s="133"/>
      <c r="Q200" s="132"/>
      <c r="R200" s="133"/>
      <c r="S200" s="132"/>
      <c r="T200" s="134"/>
      <c r="AR200" s="127"/>
      <c r="AT200" s="135"/>
      <c r="AU200" s="135"/>
      <c r="AY200" s="127"/>
      <c r="BK200" s="136"/>
    </row>
    <row r="201" spans="1:65" s="2" customFormat="1" ht="16.5" hidden="1" customHeight="1">
      <c r="A201" s="34"/>
      <c r="B201" s="139"/>
      <c r="C201" s="140"/>
      <c r="D201" s="140"/>
      <c r="E201" s="141"/>
      <c r="F201" s="142"/>
      <c r="G201" s="143"/>
      <c r="H201" s="144"/>
      <c r="I201" s="145"/>
      <c r="J201" s="146"/>
      <c r="K201" s="142"/>
      <c r="L201" s="35"/>
      <c r="M201" s="147"/>
      <c r="N201" s="148"/>
      <c r="O201" s="55"/>
      <c r="P201" s="149"/>
      <c r="Q201" s="149"/>
      <c r="R201" s="149"/>
      <c r="S201" s="149"/>
      <c r="T201" s="150"/>
      <c r="U201" s="34"/>
      <c r="V201" s="34"/>
      <c r="W201" s="34"/>
      <c r="X201" s="34"/>
      <c r="Y201" s="34"/>
      <c r="Z201" s="34"/>
      <c r="AA201" s="34"/>
      <c r="AB201" s="34"/>
      <c r="AC201" s="34"/>
      <c r="AD201" s="34"/>
      <c r="AE201" s="34"/>
      <c r="AR201" s="151"/>
      <c r="AT201" s="151"/>
      <c r="AU201" s="151"/>
      <c r="AY201" s="19"/>
      <c r="BE201" s="152"/>
      <c r="BF201" s="152"/>
      <c r="BG201" s="152"/>
      <c r="BH201" s="152"/>
      <c r="BI201" s="152"/>
      <c r="BJ201" s="19"/>
      <c r="BK201" s="152"/>
      <c r="BL201" s="19"/>
      <c r="BM201" s="151"/>
    </row>
    <row r="202" spans="1:65" s="2" customFormat="1" hidden="1">
      <c r="A202" s="34"/>
      <c r="B202" s="35"/>
      <c r="C202" s="34"/>
      <c r="D202" s="153"/>
      <c r="E202" s="34"/>
      <c r="F202" s="154"/>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c r="AU202" s="19"/>
    </row>
    <row r="203" spans="1:65" s="2" customFormat="1" hidden="1">
      <c r="A203" s="34"/>
      <c r="B203" s="35"/>
      <c r="C203" s="34"/>
      <c r="D203" s="158"/>
      <c r="E203" s="34"/>
      <c r="F203" s="159"/>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c r="AU203" s="19"/>
    </row>
    <row r="204" spans="1:65" s="14" customFormat="1" hidden="1">
      <c r="B204" s="169"/>
      <c r="D204" s="153"/>
      <c r="E204" s="170"/>
      <c r="F204" s="171"/>
      <c r="H204" s="170"/>
      <c r="I204" s="172"/>
      <c r="L204" s="169"/>
      <c r="M204" s="173"/>
      <c r="N204" s="174"/>
      <c r="O204" s="174"/>
      <c r="P204" s="174"/>
      <c r="Q204" s="174"/>
      <c r="R204" s="174"/>
      <c r="S204" s="174"/>
      <c r="T204" s="175"/>
      <c r="AT204" s="170"/>
      <c r="AU204" s="170"/>
      <c r="AY204" s="170"/>
    </row>
    <row r="205" spans="1:65" s="14" customFormat="1" hidden="1">
      <c r="B205" s="169"/>
      <c r="D205" s="153"/>
      <c r="E205" s="170"/>
      <c r="F205" s="171"/>
      <c r="H205" s="170"/>
      <c r="I205" s="172"/>
      <c r="L205" s="169"/>
      <c r="M205" s="173"/>
      <c r="N205" s="174"/>
      <c r="O205" s="174"/>
      <c r="P205" s="174"/>
      <c r="Q205" s="174"/>
      <c r="R205" s="174"/>
      <c r="S205" s="174"/>
      <c r="T205" s="175"/>
      <c r="AT205" s="170"/>
      <c r="AU205" s="170"/>
      <c r="AY205" s="170"/>
    </row>
    <row r="206" spans="1:65" s="14" customFormat="1" hidden="1">
      <c r="B206" s="169"/>
      <c r="D206" s="153"/>
      <c r="E206" s="170"/>
      <c r="F206" s="171"/>
      <c r="H206" s="170"/>
      <c r="I206" s="172"/>
      <c r="L206" s="169"/>
      <c r="M206" s="173"/>
      <c r="N206" s="174"/>
      <c r="O206" s="174"/>
      <c r="P206" s="174"/>
      <c r="Q206" s="174"/>
      <c r="R206" s="174"/>
      <c r="S206" s="174"/>
      <c r="T206" s="175"/>
      <c r="AT206" s="170"/>
      <c r="AU206" s="170"/>
      <c r="AY206" s="170"/>
    </row>
    <row r="207" spans="1:65" s="14" customFormat="1" hidden="1">
      <c r="B207" s="169"/>
      <c r="D207" s="153"/>
      <c r="E207" s="170"/>
      <c r="F207" s="171"/>
      <c r="H207" s="170"/>
      <c r="I207" s="172"/>
      <c r="L207" s="169"/>
      <c r="M207" s="173"/>
      <c r="N207" s="174"/>
      <c r="O207" s="174"/>
      <c r="P207" s="174"/>
      <c r="Q207" s="174"/>
      <c r="R207" s="174"/>
      <c r="S207" s="174"/>
      <c r="T207" s="175"/>
      <c r="AT207" s="170"/>
      <c r="AU207" s="170"/>
      <c r="AY207" s="170"/>
    </row>
    <row r="208" spans="1:65" s="13" customFormat="1" hidden="1">
      <c r="B208" s="161"/>
      <c r="D208" s="153"/>
      <c r="E208" s="162"/>
      <c r="F208" s="163"/>
      <c r="H208" s="164"/>
      <c r="I208" s="165"/>
      <c r="L208" s="161"/>
      <c r="M208" s="166"/>
      <c r="N208" s="167"/>
      <c r="O208" s="167"/>
      <c r="P208" s="167"/>
      <c r="Q208" s="167"/>
      <c r="R208" s="167"/>
      <c r="S208" s="167"/>
      <c r="T208" s="168"/>
      <c r="AT208" s="162"/>
      <c r="AU208" s="162"/>
      <c r="AY208" s="162"/>
    </row>
    <row r="209" spans="1:65" s="12" customFormat="1" ht="22.9" customHeight="1">
      <c r="B209" s="126"/>
      <c r="D209" s="127" t="s">
        <v>76</v>
      </c>
      <c r="E209" s="137" t="s">
        <v>912</v>
      </c>
      <c r="F209" s="137" t="s">
        <v>913</v>
      </c>
      <c r="I209" s="129"/>
      <c r="J209" s="138">
        <f>BK209</f>
        <v>0</v>
      </c>
      <c r="L209" s="126"/>
      <c r="M209" s="131"/>
      <c r="N209" s="132"/>
      <c r="O209" s="132"/>
      <c r="P209" s="133">
        <f>SUM(P210:P215)</f>
        <v>0</v>
      </c>
      <c r="Q209" s="132"/>
      <c r="R209" s="133">
        <f>SUM(R210:R215)</f>
        <v>0</v>
      </c>
      <c r="S209" s="132"/>
      <c r="T209" s="134">
        <f>SUM(T210:T215)</f>
        <v>0</v>
      </c>
      <c r="AR209" s="127" t="s">
        <v>200</v>
      </c>
      <c r="AT209" s="135" t="s">
        <v>76</v>
      </c>
      <c r="AU209" s="135" t="s">
        <v>85</v>
      </c>
      <c r="AY209" s="127" t="s">
        <v>177</v>
      </c>
      <c r="BK209" s="136">
        <f>SUM(BK210:BK215)</f>
        <v>0</v>
      </c>
    </row>
    <row r="210" spans="1:65" s="2" customFormat="1" ht="16.5" customHeight="1">
      <c r="A210" s="34"/>
      <c r="B210" s="139"/>
      <c r="C210" s="140" t="s">
        <v>483</v>
      </c>
      <c r="D210" s="140" t="s">
        <v>180</v>
      </c>
      <c r="E210" s="141" t="s">
        <v>914</v>
      </c>
      <c r="F210" s="142" t="s">
        <v>915</v>
      </c>
      <c r="G210" s="143" t="s">
        <v>243</v>
      </c>
      <c r="H210" s="144">
        <v>1</v>
      </c>
      <c r="I210" s="145"/>
      <c r="J210" s="146">
        <f>ROUND(I210*H210,2)</f>
        <v>0</v>
      </c>
      <c r="K210" s="142" t="s">
        <v>184</v>
      </c>
      <c r="L210" s="35"/>
      <c r="M210" s="147" t="s">
        <v>3</v>
      </c>
      <c r="N210" s="148" t="s">
        <v>48</v>
      </c>
      <c r="O210" s="55"/>
      <c r="P210" s="149">
        <f>O210*H210</f>
        <v>0</v>
      </c>
      <c r="Q210" s="149">
        <v>0</v>
      </c>
      <c r="R210" s="149">
        <f>Q210*H210</f>
        <v>0</v>
      </c>
      <c r="S210" s="149">
        <v>0</v>
      </c>
      <c r="T210" s="150">
        <f>S210*H210</f>
        <v>0</v>
      </c>
      <c r="U210" s="34"/>
      <c r="V210" s="34"/>
      <c r="W210" s="34"/>
      <c r="X210" s="34"/>
      <c r="Y210" s="34"/>
      <c r="Z210" s="34"/>
      <c r="AA210" s="34"/>
      <c r="AB210" s="34"/>
      <c r="AC210" s="34"/>
      <c r="AD210" s="34"/>
      <c r="AE210" s="34"/>
      <c r="AR210" s="151" t="s">
        <v>541</v>
      </c>
      <c r="AT210" s="151" t="s">
        <v>180</v>
      </c>
      <c r="AU210" s="151" t="s">
        <v>87</v>
      </c>
      <c r="AY210" s="19" t="s">
        <v>177</v>
      </c>
      <c r="BE210" s="152">
        <f>IF(N210="základní",J210,0)</f>
        <v>0</v>
      </c>
      <c r="BF210" s="152">
        <f>IF(N210="snížená",J210,0)</f>
        <v>0</v>
      </c>
      <c r="BG210" s="152">
        <f>IF(N210="zákl. přenesená",J210,0)</f>
        <v>0</v>
      </c>
      <c r="BH210" s="152">
        <f>IF(N210="sníž. přenesená",J210,0)</f>
        <v>0</v>
      </c>
      <c r="BI210" s="152">
        <f>IF(N210="nulová",J210,0)</f>
        <v>0</v>
      </c>
      <c r="BJ210" s="19" t="s">
        <v>85</v>
      </c>
      <c r="BK210" s="152">
        <f>ROUND(I210*H210,2)</f>
        <v>0</v>
      </c>
      <c r="BL210" s="19" t="s">
        <v>541</v>
      </c>
      <c r="BM210" s="151" t="s">
        <v>916</v>
      </c>
    </row>
    <row r="211" spans="1:65" s="2" customFormat="1">
      <c r="A211" s="34"/>
      <c r="B211" s="35"/>
      <c r="C211" s="34"/>
      <c r="D211" s="153" t="s">
        <v>187</v>
      </c>
      <c r="E211" s="34"/>
      <c r="F211" s="154" t="s">
        <v>915</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187</v>
      </c>
      <c r="AU211" s="19" t="s">
        <v>87</v>
      </c>
    </row>
    <row r="212" spans="1:65" s="2" customFormat="1">
      <c r="A212" s="34"/>
      <c r="B212" s="35"/>
      <c r="C212" s="34"/>
      <c r="D212" s="158" t="s">
        <v>189</v>
      </c>
      <c r="E212" s="34"/>
      <c r="F212" s="159" t="s">
        <v>917</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189</v>
      </c>
      <c r="AU212" s="19" t="s">
        <v>87</v>
      </c>
    </row>
    <row r="213" spans="1:65" s="2" customFormat="1" ht="16.5" customHeight="1">
      <c r="A213" s="34"/>
      <c r="B213" s="139"/>
      <c r="C213" s="140" t="s">
        <v>490</v>
      </c>
      <c r="D213" s="140" t="s">
        <v>180</v>
      </c>
      <c r="E213" s="141" t="s">
        <v>918</v>
      </c>
      <c r="F213" s="142" t="s">
        <v>919</v>
      </c>
      <c r="G213" s="143" t="s">
        <v>243</v>
      </c>
      <c r="H213" s="144">
        <v>1</v>
      </c>
      <c r="I213" s="145"/>
      <c r="J213" s="146">
        <f>ROUND(I213*H213,2)</f>
        <v>0</v>
      </c>
      <c r="K213" s="142" t="s">
        <v>184</v>
      </c>
      <c r="L213" s="35"/>
      <c r="M213" s="147" t="s">
        <v>3</v>
      </c>
      <c r="N213" s="148" t="s">
        <v>48</v>
      </c>
      <c r="O213" s="55"/>
      <c r="P213" s="149">
        <f>O213*H213</f>
        <v>0</v>
      </c>
      <c r="Q213" s="149">
        <v>0</v>
      </c>
      <c r="R213" s="149">
        <f>Q213*H213</f>
        <v>0</v>
      </c>
      <c r="S213" s="149">
        <v>0</v>
      </c>
      <c r="T213" s="150">
        <f>S213*H213</f>
        <v>0</v>
      </c>
      <c r="U213" s="34"/>
      <c r="V213" s="34"/>
      <c r="W213" s="34"/>
      <c r="X213" s="34"/>
      <c r="Y213" s="34"/>
      <c r="Z213" s="34"/>
      <c r="AA213" s="34"/>
      <c r="AB213" s="34"/>
      <c r="AC213" s="34"/>
      <c r="AD213" s="34"/>
      <c r="AE213" s="34"/>
      <c r="AR213" s="151" t="s">
        <v>541</v>
      </c>
      <c r="AT213" s="151" t="s">
        <v>180</v>
      </c>
      <c r="AU213" s="151" t="s">
        <v>87</v>
      </c>
      <c r="AY213" s="19" t="s">
        <v>177</v>
      </c>
      <c r="BE213" s="152">
        <f>IF(N213="základní",J213,0)</f>
        <v>0</v>
      </c>
      <c r="BF213" s="152">
        <f>IF(N213="snížená",J213,0)</f>
        <v>0</v>
      </c>
      <c r="BG213" s="152">
        <f>IF(N213="zákl. přenesená",J213,0)</f>
        <v>0</v>
      </c>
      <c r="BH213" s="152">
        <f>IF(N213="sníž. přenesená",J213,0)</f>
        <v>0</v>
      </c>
      <c r="BI213" s="152">
        <f>IF(N213="nulová",J213,0)</f>
        <v>0</v>
      </c>
      <c r="BJ213" s="19" t="s">
        <v>85</v>
      </c>
      <c r="BK213" s="152">
        <f>ROUND(I213*H213,2)</f>
        <v>0</v>
      </c>
      <c r="BL213" s="19" t="s">
        <v>541</v>
      </c>
      <c r="BM213" s="151" t="s">
        <v>920</v>
      </c>
    </row>
    <row r="214" spans="1:65" s="2" customFormat="1">
      <c r="A214" s="34"/>
      <c r="B214" s="35"/>
      <c r="C214" s="34"/>
      <c r="D214" s="153" t="s">
        <v>187</v>
      </c>
      <c r="E214" s="34"/>
      <c r="F214" s="154" t="s">
        <v>919</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187</v>
      </c>
      <c r="AU214" s="19" t="s">
        <v>87</v>
      </c>
    </row>
    <row r="215" spans="1:65" s="2" customFormat="1">
      <c r="A215" s="34"/>
      <c r="B215" s="35"/>
      <c r="C215" s="34"/>
      <c r="D215" s="158" t="s">
        <v>189</v>
      </c>
      <c r="E215" s="34"/>
      <c r="F215" s="159" t="s">
        <v>921</v>
      </c>
      <c r="G215" s="34"/>
      <c r="H215" s="34"/>
      <c r="I215" s="155"/>
      <c r="J215" s="34"/>
      <c r="K215" s="34"/>
      <c r="L215" s="35"/>
      <c r="M215" s="205"/>
      <c r="N215" s="206"/>
      <c r="O215" s="207"/>
      <c r="P215" s="207"/>
      <c r="Q215" s="207"/>
      <c r="R215" s="207"/>
      <c r="S215" s="207"/>
      <c r="T215" s="208"/>
      <c r="U215" s="34"/>
      <c r="V215" s="34"/>
      <c r="W215" s="34"/>
      <c r="X215" s="34"/>
      <c r="Y215" s="34"/>
      <c r="Z215" s="34"/>
      <c r="AA215" s="34"/>
      <c r="AB215" s="34"/>
      <c r="AC215" s="34"/>
      <c r="AD215" s="34"/>
      <c r="AE215" s="34"/>
      <c r="AT215" s="19" t="s">
        <v>189</v>
      </c>
      <c r="AU215" s="19" t="s">
        <v>87</v>
      </c>
    </row>
    <row r="216" spans="1:65" s="2" customFormat="1" ht="6.95" customHeight="1">
      <c r="A216" s="34"/>
      <c r="B216" s="44"/>
      <c r="C216" s="45"/>
      <c r="D216" s="45"/>
      <c r="E216" s="45"/>
      <c r="F216" s="45"/>
      <c r="G216" s="45"/>
      <c r="H216" s="45"/>
      <c r="I216" s="45"/>
      <c r="J216" s="45"/>
      <c r="K216" s="45"/>
      <c r="L216" s="35"/>
      <c r="M216" s="34"/>
      <c r="O216" s="34"/>
      <c r="P216" s="34"/>
      <c r="Q216" s="34"/>
      <c r="R216" s="34"/>
      <c r="S216" s="34"/>
      <c r="T216" s="34"/>
      <c r="U216" s="34"/>
      <c r="V216" s="34"/>
      <c r="W216" s="34"/>
      <c r="X216" s="34"/>
      <c r="Y216" s="34"/>
      <c r="Z216" s="34"/>
      <c r="AA216" s="34"/>
      <c r="AB216" s="34"/>
      <c r="AC216" s="34"/>
      <c r="AD216" s="34"/>
      <c r="AE216" s="34"/>
    </row>
  </sheetData>
  <autoFilter ref="C87:K215"/>
  <mergeCells count="9">
    <mergeCell ref="E50:H50"/>
    <mergeCell ref="E78:H78"/>
    <mergeCell ref="E80:H80"/>
    <mergeCell ref="L2:V2"/>
    <mergeCell ref="E7:H7"/>
    <mergeCell ref="E9:H9"/>
    <mergeCell ref="E18:H18"/>
    <mergeCell ref="E27:H27"/>
    <mergeCell ref="E48:H48"/>
  </mergeCells>
  <hyperlinks>
    <hyperlink ref="F93" r:id="rId1"/>
    <hyperlink ref="F98" r:id="rId2"/>
    <hyperlink ref="F104" r:id="rId3"/>
    <hyperlink ref="F108" r:id="rId4"/>
    <hyperlink ref="F114" r:id="rId5"/>
    <hyperlink ref="F129" r:id="rId6"/>
    <hyperlink ref="F135" r:id="rId7"/>
    <hyperlink ref="F143" r:id="rId8"/>
    <hyperlink ref="F147" r:id="rId9"/>
    <hyperlink ref="F151" r:id="rId10"/>
    <hyperlink ref="F159" r:id="rId11"/>
    <hyperlink ref="F164" r:id="rId12"/>
    <hyperlink ref="F168" r:id="rId13"/>
    <hyperlink ref="F173" r:id="rId14"/>
    <hyperlink ref="F181" r:id="rId15"/>
    <hyperlink ref="F187" r:id="rId16"/>
    <hyperlink ref="F193" r:id="rId17"/>
    <hyperlink ref="F196" r:id="rId18"/>
    <hyperlink ref="F215" r:id="rId19"/>
  </hyperlinks>
  <pageMargins left="0.39374999999999999" right="0.39374999999999999" top="0.39374999999999999" bottom="0.39374999999999999" header="0" footer="0"/>
  <pageSetup paperSize="9" scale="84" fitToHeight="100" orientation="landscape" blackAndWhite="1" r:id="rId20"/>
  <headerFooter>
    <oddFooter>&amp;CStrana &amp;P z &amp;N</oddFooter>
  </headerFooter>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4"/>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99</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922</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ROUND(J92,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ROUND((SUM(BE92:BE543)),  2)</f>
        <v>0</v>
      </c>
      <c r="G33" s="34"/>
      <c r="H33" s="34"/>
      <c r="I33" s="98">
        <v>0.21</v>
      </c>
      <c r="J33" s="97">
        <f>ROUND(((SUM(BE92:BE543))*I33),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ROUND((SUM(BF92:BF543)),  2)</f>
        <v>0</v>
      </c>
      <c r="G34" s="34"/>
      <c r="H34" s="34"/>
      <c r="I34" s="98">
        <v>0.15</v>
      </c>
      <c r="J34" s="97">
        <f>ROUND(((SUM(BF92:BF543))*I34),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ROUND((SUM(BG92:BG543)),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ROUND((SUM(BH92:BH543)),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ROUND((SUM(BI92:BI543)),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5 - Dozdívky a vybourání otvorů v plášti, odstranění pláště střechy</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J92</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J93</f>
        <v>0</v>
      </c>
      <c r="L60" s="108"/>
    </row>
    <row r="61" spans="1:47" s="10" customFormat="1" ht="19.899999999999999" customHeight="1">
      <c r="B61" s="112"/>
      <c r="D61" s="113" t="s">
        <v>546</v>
      </c>
      <c r="E61" s="114"/>
      <c r="F61" s="114"/>
      <c r="G61" s="114"/>
      <c r="H61" s="114"/>
      <c r="I61" s="114"/>
      <c r="J61" s="115">
        <f>J94</f>
        <v>0</v>
      </c>
      <c r="L61" s="112"/>
    </row>
    <row r="62" spans="1:47" s="10" customFormat="1" ht="19.899999999999999" customHeight="1">
      <c r="B62" s="112"/>
      <c r="D62" s="113" t="s">
        <v>547</v>
      </c>
      <c r="E62" s="114"/>
      <c r="F62" s="114"/>
      <c r="G62" s="114"/>
      <c r="H62" s="114"/>
      <c r="I62" s="114"/>
      <c r="J62" s="115">
        <f>J162</f>
        <v>0</v>
      </c>
      <c r="L62" s="112"/>
    </row>
    <row r="63" spans="1:47" s="10" customFormat="1" ht="19.899999999999999" customHeight="1">
      <c r="B63" s="112"/>
      <c r="D63" s="113" t="s">
        <v>325</v>
      </c>
      <c r="E63" s="114"/>
      <c r="F63" s="114"/>
      <c r="G63" s="114"/>
      <c r="H63" s="114"/>
      <c r="I63" s="114"/>
      <c r="J63" s="115">
        <f>J179</f>
        <v>0</v>
      </c>
      <c r="L63" s="112"/>
    </row>
    <row r="64" spans="1:47" s="10" customFormat="1" ht="19.899999999999999" customHeight="1">
      <c r="B64" s="112"/>
      <c r="D64" s="113" t="s">
        <v>154</v>
      </c>
      <c r="E64" s="114"/>
      <c r="F64" s="114"/>
      <c r="G64" s="114"/>
      <c r="H64" s="114"/>
      <c r="I64" s="114"/>
      <c r="J64" s="115">
        <f>J405</f>
        <v>0</v>
      </c>
      <c r="L64" s="112"/>
    </row>
    <row r="65" spans="1:31" s="10" customFormat="1" ht="19.899999999999999" customHeight="1">
      <c r="B65" s="112"/>
      <c r="D65" s="113" t="s">
        <v>326</v>
      </c>
      <c r="E65" s="114"/>
      <c r="F65" s="114"/>
      <c r="G65" s="114"/>
      <c r="H65" s="114"/>
      <c r="I65" s="114"/>
      <c r="J65" s="115">
        <f>J457</f>
        <v>0</v>
      </c>
      <c r="L65" s="112"/>
    </row>
    <row r="66" spans="1:31" s="9" customFormat="1" ht="24.95" customHeight="1">
      <c r="B66" s="108"/>
      <c r="D66" s="109" t="s">
        <v>155</v>
      </c>
      <c r="E66" s="110"/>
      <c r="F66" s="110"/>
      <c r="G66" s="110"/>
      <c r="H66" s="110"/>
      <c r="I66" s="110"/>
      <c r="J66" s="111">
        <f>J462</f>
        <v>0</v>
      </c>
      <c r="L66" s="108"/>
    </row>
    <row r="67" spans="1:31" s="10" customFormat="1" ht="19.899999999999999" customHeight="1">
      <c r="B67" s="112"/>
      <c r="D67" s="113" t="s">
        <v>923</v>
      </c>
      <c r="E67" s="114"/>
      <c r="F67" s="114"/>
      <c r="G67" s="114"/>
      <c r="H67" s="114"/>
      <c r="I67" s="114"/>
      <c r="J67" s="115">
        <f>J463</f>
        <v>0</v>
      </c>
      <c r="L67" s="112"/>
    </row>
    <row r="68" spans="1:31" s="10" customFormat="1" ht="19.899999999999999" customHeight="1">
      <c r="B68" s="112"/>
      <c r="D68" s="113" t="s">
        <v>549</v>
      </c>
      <c r="E68" s="114"/>
      <c r="F68" s="114"/>
      <c r="G68" s="114"/>
      <c r="H68" s="114"/>
      <c r="I68" s="114"/>
      <c r="J68" s="115">
        <f>J481</f>
        <v>0</v>
      </c>
      <c r="L68" s="112"/>
    </row>
    <row r="69" spans="1:31" s="10" customFormat="1" ht="19.899999999999999" customHeight="1">
      <c r="B69" s="112"/>
      <c r="D69" s="113" t="s">
        <v>924</v>
      </c>
      <c r="E69" s="114"/>
      <c r="F69" s="114"/>
      <c r="G69" s="114"/>
      <c r="H69" s="114"/>
      <c r="I69" s="114"/>
      <c r="J69" s="115">
        <f>J493</f>
        <v>0</v>
      </c>
      <c r="L69" s="112"/>
    </row>
    <row r="70" spans="1:31" s="10" customFormat="1" ht="19.899999999999999" customHeight="1">
      <c r="B70" s="112"/>
      <c r="D70" s="113" t="s">
        <v>925</v>
      </c>
      <c r="E70" s="114"/>
      <c r="F70" s="114"/>
      <c r="G70" s="114"/>
      <c r="H70" s="114"/>
      <c r="I70" s="114"/>
      <c r="J70" s="115">
        <f>J507</f>
        <v>0</v>
      </c>
      <c r="L70" s="112"/>
    </row>
    <row r="71" spans="1:31" s="10" customFormat="1" ht="19.899999999999999" customHeight="1">
      <c r="B71" s="112"/>
      <c r="D71" s="113" t="s">
        <v>926</v>
      </c>
      <c r="E71" s="114"/>
      <c r="F71" s="114"/>
      <c r="G71" s="114"/>
      <c r="H71" s="114"/>
      <c r="I71" s="114"/>
      <c r="J71" s="115">
        <f>J531</f>
        <v>0</v>
      </c>
      <c r="L71" s="112"/>
    </row>
    <row r="72" spans="1:31" s="9" customFormat="1" ht="24.95" customHeight="1">
      <c r="B72" s="108"/>
      <c r="D72" s="109" t="s">
        <v>161</v>
      </c>
      <c r="E72" s="110"/>
      <c r="F72" s="110"/>
      <c r="G72" s="110"/>
      <c r="H72" s="110"/>
      <c r="I72" s="110"/>
      <c r="J72" s="111">
        <f>J540</f>
        <v>0</v>
      </c>
      <c r="L72" s="108"/>
    </row>
    <row r="73" spans="1:31" s="2" customFormat="1" ht="21.75" customHeight="1">
      <c r="A73" s="34"/>
      <c r="B73" s="35"/>
      <c r="C73" s="34"/>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6.95" customHeight="1">
      <c r="A74" s="34"/>
      <c r="B74" s="44"/>
      <c r="C74" s="45"/>
      <c r="D74" s="45"/>
      <c r="E74" s="45"/>
      <c r="F74" s="45"/>
      <c r="G74" s="45"/>
      <c r="H74" s="45"/>
      <c r="I74" s="45"/>
      <c r="J74" s="45"/>
      <c r="K74" s="45"/>
      <c r="L74" s="91"/>
      <c r="S74" s="34"/>
      <c r="T74" s="34"/>
      <c r="U74" s="34"/>
      <c r="V74" s="34"/>
      <c r="W74" s="34"/>
      <c r="X74" s="34"/>
      <c r="Y74" s="34"/>
      <c r="Z74" s="34"/>
      <c r="AA74" s="34"/>
      <c r="AB74" s="34"/>
      <c r="AC74" s="34"/>
      <c r="AD74" s="34"/>
      <c r="AE74" s="34"/>
    </row>
    <row r="78" spans="1:31" s="2" customFormat="1" ht="6.95" customHeight="1">
      <c r="A78" s="34"/>
      <c r="B78" s="46"/>
      <c r="C78" s="47"/>
      <c r="D78" s="47"/>
      <c r="E78" s="47"/>
      <c r="F78" s="47"/>
      <c r="G78" s="47"/>
      <c r="H78" s="47"/>
      <c r="I78" s="47"/>
      <c r="J78" s="47"/>
      <c r="K78" s="47"/>
      <c r="L78" s="91"/>
      <c r="S78" s="34"/>
      <c r="T78" s="34"/>
      <c r="U78" s="34"/>
      <c r="V78" s="34"/>
      <c r="W78" s="34"/>
      <c r="X78" s="34"/>
      <c r="Y78" s="34"/>
      <c r="Z78" s="34"/>
      <c r="AA78" s="34"/>
      <c r="AB78" s="34"/>
      <c r="AC78" s="34"/>
      <c r="AD78" s="34"/>
      <c r="AE78" s="34"/>
    </row>
    <row r="79" spans="1:31" s="2" customFormat="1" ht="24.95" customHeight="1">
      <c r="A79" s="34"/>
      <c r="B79" s="35"/>
      <c r="C79" s="23" t="s">
        <v>162</v>
      </c>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2" customHeight="1">
      <c r="A81" s="34"/>
      <c r="B81" s="35"/>
      <c r="C81" s="29" t="s">
        <v>17</v>
      </c>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6.5" customHeight="1">
      <c r="A82" s="34"/>
      <c r="B82" s="35"/>
      <c r="C82" s="34"/>
      <c r="D82" s="34"/>
      <c r="E82" s="436" t="str">
        <f>E7</f>
        <v>ZŠ P. HOLÉHO - PŘESTAVBA PLAVECKÉHO PAVILONU</v>
      </c>
      <c r="F82" s="437"/>
      <c r="G82" s="437"/>
      <c r="H82" s="437"/>
      <c r="I82" s="34"/>
      <c r="J82" s="34"/>
      <c r="K82" s="34"/>
      <c r="L82" s="91"/>
      <c r="S82" s="34"/>
      <c r="T82" s="34"/>
      <c r="U82" s="34"/>
      <c r="V82" s="34"/>
      <c r="W82" s="34"/>
      <c r="X82" s="34"/>
      <c r="Y82" s="34"/>
      <c r="Z82" s="34"/>
      <c r="AA82" s="34"/>
      <c r="AB82" s="34"/>
      <c r="AC82" s="34"/>
      <c r="AD82" s="34"/>
      <c r="AE82" s="34"/>
    </row>
    <row r="83" spans="1:65" s="2" customFormat="1" ht="12" customHeight="1">
      <c r="A83" s="34"/>
      <c r="B83" s="35"/>
      <c r="C83" s="29" t="s">
        <v>146</v>
      </c>
      <c r="D83" s="34"/>
      <c r="E83" s="34"/>
      <c r="F83" s="34"/>
      <c r="G83" s="34"/>
      <c r="H83" s="34"/>
      <c r="I83" s="34"/>
      <c r="J83" s="34"/>
      <c r="K83" s="34"/>
      <c r="L83" s="91"/>
      <c r="S83" s="34"/>
      <c r="T83" s="34"/>
      <c r="U83" s="34"/>
      <c r="V83" s="34"/>
      <c r="W83" s="34"/>
      <c r="X83" s="34"/>
      <c r="Y83" s="34"/>
      <c r="Z83" s="34"/>
      <c r="AA83" s="34"/>
      <c r="AB83" s="34"/>
      <c r="AC83" s="34"/>
      <c r="AD83" s="34"/>
      <c r="AE83" s="34"/>
    </row>
    <row r="84" spans="1:65" s="2" customFormat="1" ht="16.5" customHeight="1">
      <c r="A84" s="34"/>
      <c r="B84" s="35"/>
      <c r="C84" s="34"/>
      <c r="D84" s="34"/>
      <c r="E84" s="432" t="str">
        <f>E9</f>
        <v>E 5 - Dozdívky a vybourání otvorů v plášti, odstranění pláště střechy</v>
      </c>
      <c r="F84" s="435"/>
      <c r="G84" s="435"/>
      <c r="H84" s="435"/>
      <c r="I84" s="34"/>
      <c r="J84" s="34"/>
      <c r="K84" s="34"/>
      <c r="L84" s="91"/>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1"/>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F12</f>
        <v>Prokopa Holého 2632, Louny, 440 01</v>
      </c>
      <c r="G86" s="34"/>
      <c r="H86" s="34"/>
      <c r="I86" s="29" t="s">
        <v>23</v>
      </c>
      <c r="J86" s="52" t="str">
        <f>IF(J12="","",J12)</f>
        <v>21. 9. 2022</v>
      </c>
      <c r="K86" s="34"/>
      <c r="L86" s="91"/>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1"/>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E15</f>
        <v>Město Louny</v>
      </c>
      <c r="G88" s="34"/>
      <c r="H88" s="34"/>
      <c r="I88" s="29" t="s">
        <v>32</v>
      </c>
      <c r="J88" s="32" t="str">
        <f>E21</f>
        <v>RYSIK Design s.r.o.</v>
      </c>
      <c r="K88" s="34"/>
      <c r="L88" s="91"/>
      <c r="S88" s="34"/>
      <c r="T88" s="34"/>
      <c r="U88" s="34"/>
      <c r="V88" s="34"/>
      <c r="W88" s="34"/>
      <c r="X88" s="34"/>
      <c r="Y88" s="34"/>
      <c r="Z88" s="34"/>
      <c r="AA88" s="34"/>
      <c r="AB88" s="34"/>
      <c r="AC88" s="34"/>
      <c r="AD88" s="34"/>
      <c r="AE88" s="34"/>
    </row>
    <row r="89" spans="1:65" s="2" customFormat="1" ht="25.7" customHeight="1">
      <c r="A89" s="34"/>
      <c r="B89" s="35"/>
      <c r="C89" s="29" t="s">
        <v>30</v>
      </c>
      <c r="D89" s="34"/>
      <c r="E89" s="34"/>
      <c r="F89" s="27" t="str">
        <f>IF(E18="","",E18)</f>
        <v>Vyplň údaj</v>
      </c>
      <c r="G89" s="34"/>
      <c r="H89" s="34"/>
      <c r="I89" s="29" t="s">
        <v>37</v>
      </c>
      <c r="J89" s="32" t="str">
        <f>E24</f>
        <v>ing. Kateřina Tumpachová</v>
      </c>
      <c r="K89" s="34"/>
      <c r="L89" s="91"/>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1"/>
      <c r="S90" s="34"/>
      <c r="T90" s="34"/>
      <c r="U90" s="34"/>
      <c r="V90" s="34"/>
      <c r="W90" s="34"/>
      <c r="X90" s="34"/>
      <c r="Y90" s="34"/>
      <c r="Z90" s="34"/>
      <c r="AA90" s="34"/>
      <c r="AB90" s="34"/>
      <c r="AC90" s="34"/>
      <c r="AD90" s="34"/>
      <c r="AE90" s="34"/>
    </row>
    <row r="91" spans="1:65" s="11" customFormat="1" ht="29.25" customHeight="1">
      <c r="A91" s="116"/>
      <c r="B91" s="117"/>
      <c r="C91" s="118" t="s">
        <v>163</v>
      </c>
      <c r="D91" s="119" t="s">
        <v>62</v>
      </c>
      <c r="E91" s="119" t="s">
        <v>58</v>
      </c>
      <c r="F91" s="119" t="s">
        <v>59</v>
      </c>
      <c r="G91" s="119" t="s">
        <v>164</v>
      </c>
      <c r="H91" s="119" t="s">
        <v>165</v>
      </c>
      <c r="I91" s="119" t="s">
        <v>166</v>
      </c>
      <c r="J91" s="119" t="s">
        <v>151</v>
      </c>
      <c r="K91" s="120" t="s">
        <v>167</v>
      </c>
      <c r="L91" s="121"/>
      <c r="M91" s="59" t="s">
        <v>3</v>
      </c>
      <c r="N91" s="60" t="s">
        <v>47</v>
      </c>
      <c r="O91" s="60" t="s">
        <v>168</v>
      </c>
      <c r="P91" s="60" t="s">
        <v>169</v>
      </c>
      <c r="Q91" s="60" t="s">
        <v>170</v>
      </c>
      <c r="R91" s="60" t="s">
        <v>171</v>
      </c>
      <c r="S91" s="60" t="s">
        <v>172</v>
      </c>
      <c r="T91" s="61" t="s">
        <v>173</v>
      </c>
      <c r="U91" s="116"/>
      <c r="V91" s="116"/>
      <c r="W91" s="116"/>
      <c r="X91" s="116"/>
      <c r="Y91" s="116"/>
      <c r="Z91" s="116"/>
      <c r="AA91" s="116"/>
      <c r="AB91" s="116"/>
      <c r="AC91" s="116"/>
      <c r="AD91" s="116"/>
      <c r="AE91" s="116"/>
    </row>
    <row r="92" spans="1:65" s="2" customFormat="1" ht="22.9" customHeight="1">
      <c r="A92" s="34"/>
      <c r="B92" s="35"/>
      <c r="C92" s="66" t="s">
        <v>174</v>
      </c>
      <c r="D92" s="34"/>
      <c r="E92" s="34"/>
      <c r="F92" s="34"/>
      <c r="G92" s="34"/>
      <c r="H92" s="34"/>
      <c r="I92" s="34"/>
      <c r="J92" s="122">
        <f>BK92</f>
        <v>0</v>
      </c>
      <c r="K92" s="34"/>
      <c r="L92" s="35"/>
      <c r="M92" s="62"/>
      <c r="N92" s="53"/>
      <c r="O92" s="63"/>
      <c r="P92" s="123">
        <f>P93+P462+P540</f>
        <v>0</v>
      </c>
      <c r="Q92" s="63"/>
      <c r="R92" s="123">
        <f>R93+R462+R540</f>
        <v>27.4063371047</v>
      </c>
      <c r="S92" s="63"/>
      <c r="T92" s="124">
        <f>T93+T462+T540</f>
        <v>203.28802012000003</v>
      </c>
      <c r="U92" s="34"/>
      <c r="V92" s="34"/>
      <c r="W92" s="34"/>
      <c r="X92" s="34"/>
      <c r="Y92" s="34"/>
      <c r="Z92" s="34"/>
      <c r="AA92" s="34"/>
      <c r="AB92" s="34"/>
      <c r="AC92" s="34"/>
      <c r="AD92" s="34"/>
      <c r="AE92" s="34"/>
      <c r="AT92" s="19" t="s">
        <v>76</v>
      </c>
      <c r="AU92" s="19" t="s">
        <v>152</v>
      </c>
      <c r="BK92" s="125">
        <f>BK93+BK462+BK540</f>
        <v>0</v>
      </c>
    </row>
    <row r="93" spans="1:65" s="12" customFormat="1" ht="25.9" customHeight="1">
      <c r="B93" s="126"/>
      <c r="D93" s="127" t="s">
        <v>76</v>
      </c>
      <c r="E93" s="128" t="s">
        <v>175</v>
      </c>
      <c r="F93" s="128" t="s">
        <v>176</v>
      </c>
      <c r="I93" s="129"/>
      <c r="J93" s="130">
        <f>BK93</f>
        <v>0</v>
      </c>
      <c r="L93" s="126"/>
      <c r="M93" s="131"/>
      <c r="N93" s="132"/>
      <c r="O93" s="132"/>
      <c r="P93" s="133">
        <f>P94+P162+P179+P405+P457</f>
        <v>0</v>
      </c>
      <c r="Q93" s="132"/>
      <c r="R93" s="133">
        <f>R94+R162+R179+R405+R457</f>
        <v>27.4063371047</v>
      </c>
      <c r="S93" s="132"/>
      <c r="T93" s="134">
        <f>T94+T162+T179+T405+T457</f>
        <v>157.63397000000003</v>
      </c>
      <c r="AR93" s="127" t="s">
        <v>85</v>
      </c>
      <c r="AT93" s="135" t="s">
        <v>76</v>
      </c>
      <c r="AU93" s="135" t="s">
        <v>77</v>
      </c>
      <c r="AY93" s="127" t="s">
        <v>177</v>
      </c>
      <c r="BK93" s="136">
        <f>BK94+BK162+BK179+BK405+BK457</f>
        <v>0</v>
      </c>
    </row>
    <row r="94" spans="1:65" s="12" customFormat="1" ht="22.9" customHeight="1">
      <c r="B94" s="126"/>
      <c r="D94" s="127" t="s">
        <v>76</v>
      </c>
      <c r="E94" s="137" t="s">
        <v>198</v>
      </c>
      <c r="F94" s="137" t="s">
        <v>560</v>
      </c>
      <c r="I94" s="129"/>
      <c r="J94" s="138">
        <f>BK94</f>
        <v>0</v>
      </c>
      <c r="L94" s="126"/>
      <c r="M94" s="131"/>
      <c r="N94" s="132"/>
      <c r="O94" s="132"/>
      <c r="P94" s="133">
        <f>SUM(P95:P161)</f>
        <v>0</v>
      </c>
      <c r="Q94" s="132"/>
      <c r="R94" s="133">
        <f>SUM(R95:R161)</f>
        <v>15.6005886053</v>
      </c>
      <c r="S94" s="132"/>
      <c r="T94" s="134">
        <f>SUM(T95:T161)</f>
        <v>0</v>
      </c>
      <c r="AR94" s="127" t="s">
        <v>85</v>
      </c>
      <c r="AT94" s="135" t="s">
        <v>76</v>
      </c>
      <c r="AU94" s="135" t="s">
        <v>85</v>
      </c>
      <c r="AY94" s="127" t="s">
        <v>177</v>
      </c>
      <c r="BK94" s="136">
        <f>SUM(BK95:BK161)</f>
        <v>0</v>
      </c>
    </row>
    <row r="95" spans="1:65" s="2" customFormat="1" ht="24.2" customHeight="1">
      <c r="A95" s="34"/>
      <c r="B95" s="139"/>
      <c r="C95" s="140" t="s">
        <v>85</v>
      </c>
      <c r="D95" s="140" t="s">
        <v>180</v>
      </c>
      <c r="E95" s="141" t="s">
        <v>569</v>
      </c>
      <c r="F95" s="142" t="s">
        <v>570</v>
      </c>
      <c r="G95" s="143" t="s">
        <v>332</v>
      </c>
      <c r="H95" s="144">
        <v>13.746</v>
      </c>
      <c r="I95" s="145"/>
      <c r="J95" s="146">
        <f>ROUND(I95*H95,2)</f>
        <v>0</v>
      </c>
      <c r="K95" s="142" t="s">
        <v>184</v>
      </c>
      <c r="L95" s="35"/>
      <c r="M95" s="147" t="s">
        <v>3</v>
      </c>
      <c r="N95" s="148" t="s">
        <v>48</v>
      </c>
      <c r="O95" s="55"/>
      <c r="P95" s="149">
        <f>O95*H95</f>
        <v>0</v>
      </c>
      <c r="Q95" s="149">
        <v>0.15273999999999999</v>
      </c>
      <c r="R95" s="149">
        <f>Q95*H95</f>
        <v>2.0995640399999997</v>
      </c>
      <c r="S95" s="149">
        <v>0</v>
      </c>
      <c r="T95" s="150">
        <f>S95*H95</f>
        <v>0</v>
      </c>
      <c r="U95" s="34"/>
      <c r="V95" s="34"/>
      <c r="W95" s="34"/>
      <c r="X95" s="34"/>
      <c r="Y95" s="34"/>
      <c r="Z95" s="34"/>
      <c r="AA95" s="34"/>
      <c r="AB95" s="34"/>
      <c r="AC95" s="34"/>
      <c r="AD95" s="34"/>
      <c r="AE95" s="34"/>
      <c r="AR95" s="151" t="s">
        <v>185</v>
      </c>
      <c r="AT95" s="151" t="s">
        <v>180</v>
      </c>
      <c r="AU95" s="151" t="s">
        <v>87</v>
      </c>
      <c r="AY95" s="19" t="s">
        <v>177</v>
      </c>
      <c r="BE95" s="152">
        <f>IF(N95="základní",J95,0)</f>
        <v>0</v>
      </c>
      <c r="BF95" s="152">
        <f>IF(N95="snížená",J95,0)</f>
        <v>0</v>
      </c>
      <c r="BG95" s="152">
        <f>IF(N95="zákl. přenesená",J95,0)</f>
        <v>0</v>
      </c>
      <c r="BH95" s="152">
        <f>IF(N95="sníž. přenesená",J95,0)</f>
        <v>0</v>
      </c>
      <c r="BI95" s="152">
        <f>IF(N95="nulová",J95,0)</f>
        <v>0</v>
      </c>
      <c r="BJ95" s="19" t="s">
        <v>85</v>
      </c>
      <c r="BK95" s="152">
        <f>ROUND(I95*H95,2)</f>
        <v>0</v>
      </c>
      <c r="BL95" s="19" t="s">
        <v>185</v>
      </c>
      <c r="BM95" s="151" t="s">
        <v>927</v>
      </c>
    </row>
    <row r="96" spans="1:65" s="2" customFormat="1" ht="19.5">
      <c r="A96" s="34"/>
      <c r="B96" s="35"/>
      <c r="C96" s="34"/>
      <c r="D96" s="153" t="s">
        <v>187</v>
      </c>
      <c r="E96" s="34"/>
      <c r="F96" s="154" t="s">
        <v>572</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187</v>
      </c>
      <c r="AU96" s="19" t="s">
        <v>87</v>
      </c>
    </row>
    <row r="97" spans="1:65" s="2" customFormat="1">
      <c r="A97" s="34"/>
      <c r="B97" s="35"/>
      <c r="C97" s="34"/>
      <c r="D97" s="158" t="s">
        <v>189</v>
      </c>
      <c r="E97" s="34"/>
      <c r="F97" s="159" t="s">
        <v>573</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189</v>
      </c>
      <c r="AU97" s="19" t="s">
        <v>87</v>
      </c>
    </row>
    <row r="98" spans="1:65" s="14" customFormat="1">
      <c r="B98" s="169"/>
      <c r="D98" s="153" t="s">
        <v>193</v>
      </c>
      <c r="E98" s="170" t="s">
        <v>3</v>
      </c>
      <c r="F98" s="171" t="s">
        <v>928</v>
      </c>
      <c r="H98" s="170" t="s">
        <v>3</v>
      </c>
      <c r="I98" s="172"/>
      <c r="L98" s="169"/>
      <c r="M98" s="173"/>
      <c r="N98" s="174"/>
      <c r="O98" s="174"/>
      <c r="P98" s="174"/>
      <c r="Q98" s="174"/>
      <c r="R98" s="174"/>
      <c r="S98" s="174"/>
      <c r="T98" s="175"/>
      <c r="AT98" s="170" t="s">
        <v>193</v>
      </c>
      <c r="AU98" s="170" t="s">
        <v>87</v>
      </c>
      <c r="AV98" s="14" t="s">
        <v>85</v>
      </c>
      <c r="AW98" s="14" t="s">
        <v>36</v>
      </c>
      <c r="AX98" s="14" t="s">
        <v>77</v>
      </c>
      <c r="AY98" s="170" t="s">
        <v>177</v>
      </c>
    </row>
    <row r="99" spans="1:65" s="13" customFormat="1">
      <c r="B99" s="161"/>
      <c r="D99" s="153" t="s">
        <v>193</v>
      </c>
      <c r="E99" s="162" t="s">
        <v>3</v>
      </c>
      <c r="F99" s="163" t="s">
        <v>929</v>
      </c>
      <c r="H99" s="164">
        <v>13.746</v>
      </c>
      <c r="I99" s="165"/>
      <c r="L99" s="161"/>
      <c r="M99" s="166"/>
      <c r="N99" s="167"/>
      <c r="O99" s="167"/>
      <c r="P99" s="167"/>
      <c r="Q99" s="167"/>
      <c r="R99" s="167"/>
      <c r="S99" s="167"/>
      <c r="T99" s="168"/>
      <c r="AT99" s="162" t="s">
        <v>193</v>
      </c>
      <c r="AU99" s="162" t="s">
        <v>87</v>
      </c>
      <c r="AV99" s="13" t="s">
        <v>87</v>
      </c>
      <c r="AW99" s="13" t="s">
        <v>36</v>
      </c>
      <c r="AX99" s="13" t="s">
        <v>77</v>
      </c>
      <c r="AY99" s="162" t="s">
        <v>177</v>
      </c>
    </row>
    <row r="100" spans="1:65" s="16" customFormat="1">
      <c r="B100" s="184"/>
      <c r="D100" s="153" t="s">
        <v>193</v>
      </c>
      <c r="E100" s="185" t="s">
        <v>3</v>
      </c>
      <c r="F100" s="186" t="s">
        <v>201</v>
      </c>
      <c r="H100" s="187">
        <v>13.746</v>
      </c>
      <c r="I100" s="188"/>
      <c r="L100" s="184"/>
      <c r="M100" s="189"/>
      <c r="N100" s="190"/>
      <c r="O100" s="190"/>
      <c r="P100" s="190"/>
      <c r="Q100" s="190"/>
      <c r="R100" s="190"/>
      <c r="S100" s="190"/>
      <c r="T100" s="191"/>
      <c r="AT100" s="185" t="s">
        <v>193</v>
      </c>
      <c r="AU100" s="185" t="s">
        <v>87</v>
      </c>
      <c r="AV100" s="16" t="s">
        <v>185</v>
      </c>
      <c r="AW100" s="16" t="s">
        <v>36</v>
      </c>
      <c r="AX100" s="16" t="s">
        <v>85</v>
      </c>
      <c r="AY100" s="185" t="s">
        <v>177</v>
      </c>
    </row>
    <row r="101" spans="1:65" s="2" customFormat="1" ht="16.5" customHeight="1">
      <c r="A101" s="34"/>
      <c r="B101" s="139"/>
      <c r="C101" s="140" t="s">
        <v>87</v>
      </c>
      <c r="D101" s="140" t="s">
        <v>180</v>
      </c>
      <c r="E101" s="141" t="s">
        <v>576</v>
      </c>
      <c r="F101" s="142" t="s">
        <v>577</v>
      </c>
      <c r="G101" s="143" t="s">
        <v>332</v>
      </c>
      <c r="H101" s="144">
        <v>2</v>
      </c>
      <c r="I101" s="145"/>
      <c r="J101" s="146">
        <f>ROUND(I101*H101,2)</f>
        <v>0</v>
      </c>
      <c r="K101" s="142" t="s">
        <v>184</v>
      </c>
      <c r="L101" s="35"/>
      <c r="M101" s="147" t="s">
        <v>3</v>
      </c>
      <c r="N101" s="148" t="s">
        <v>48</v>
      </c>
      <c r="O101" s="55"/>
      <c r="P101" s="149">
        <f>O101*H101</f>
        <v>0</v>
      </c>
      <c r="Q101" s="149">
        <v>0.18249000000000001</v>
      </c>
      <c r="R101" s="149">
        <f>Q101*H101</f>
        <v>0.36498000000000003</v>
      </c>
      <c r="S101" s="149">
        <v>0</v>
      </c>
      <c r="T101" s="150">
        <f>S101*H101</f>
        <v>0</v>
      </c>
      <c r="U101" s="34"/>
      <c r="V101" s="34"/>
      <c r="W101" s="34"/>
      <c r="X101" s="34"/>
      <c r="Y101" s="34"/>
      <c r="Z101" s="34"/>
      <c r="AA101" s="34"/>
      <c r="AB101" s="34"/>
      <c r="AC101" s="34"/>
      <c r="AD101" s="34"/>
      <c r="AE101" s="34"/>
      <c r="AR101" s="151" t="s">
        <v>185</v>
      </c>
      <c r="AT101" s="151" t="s">
        <v>180</v>
      </c>
      <c r="AU101" s="151" t="s">
        <v>87</v>
      </c>
      <c r="AY101" s="19" t="s">
        <v>177</v>
      </c>
      <c r="BE101" s="152">
        <f>IF(N101="základní",J101,0)</f>
        <v>0</v>
      </c>
      <c r="BF101" s="152">
        <f>IF(N101="snížená",J101,0)</f>
        <v>0</v>
      </c>
      <c r="BG101" s="152">
        <f>IF(N101="zákl. přenesená",J101,0)</f>
        <v>0</v>
      </c>
      <c r="BH101" s="152">
        <f>IF(N101="sníž. přenesená",J101,0)</f>
        <v>0</v>
      </c>
      <c r="BI101" s="152">
        <f>IF(N101="nulová",J101,0)</f>
        <v>0</v>
      </c>
      <c r="BJ101" s="19" t="s">
        <v>85</v>
      </c>
      <c r="BK101" s="152">
        <f>ROUND(I101*H101,2)</f>
        <v>0</v>
      </c>
      <c r="BL101" s="19" t="s">
        <v>185</v>
      </c>
      <c r="BM101" s="151" t="s">
        <v>930</v>
      </c>
    </row>
    <row r="102" spans="1:65" s="2" customFormat="1" ht="19.5">
      <c r="A102" s="34"/>
      <c r="B102" s="35"/>
      <c r="C102" s="34"/>
      <c r="D102" s="153" t="s">
        <v>187</v>
      </c>
      <c r="E102" s="34"/>
      <c r="F102" s="154" t="s">
        <v>579</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187</v>
      </c>
      <c r="AU102" s="19" t="s">
        <v>87</v>
      </c>
    </row>
    <row r="103" spans="1:65" s="2" customFormat="1">
      <c r="A103" s="34"/>
      <c r="B103" s="35"/>
      <c r="C103" s="34"/>
      <c r="D103" s="158" t="s">
        <v>189</v>
      </c>
      <c r="E103" s="34"/>
      <c r="F103" s="159" t="s">
        <v>580</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189</v>
      </c>
      <c r="AU103" s="19" t="s">
        <v>87</v>
      </c>
    </row>
    <row r="104" spans="1:65" s="14" customFormat="1">
      <c r="B104" s="169"/>
      <c r="D104" s="153" t="s">
        <v>193</v>
      </c>
      <c r="E104" s="170" t="s">
        <v>3</v>
      </c>
      <c r="F104" s="171" t="s">
        <v>931</v>
      </c>
      <c r="H104" s="170" t="s">
        <v>3</v>
      </c>
      <c r="I104" s="172"/>
      <c r="L104" s="169"/>
      <c r="M104" s="173"/>
      <c r="N104" s="174"/>
      <c r="O104" s="174"/>
      <c r="P104" s="174"/>
      <c r="Q104" s="174"/>
      <c r="R104" s="174"/>
      <c r="S104" s="174"/>
      <c r="T104" s="175"/>
      <c r="AT104" s="170" t="s">
        <v>193</v>
      </c>
      <c r="AU104" s="170" t="s">
        <v>87</v>
      </c>
      <c r="AV104" s="14" t="s">
        <v>85</v>
      </c>
      <c r="AW104" s="14" t="s">
        <v>36</v>
      </c>
      <c r="AX104" s="14" t="s">
        <v>77</v>
      </c>
      <c r="AY104" s="170" t="s">
        <v>177</v>
      </c>
    </row>
    <row r="105" spans="1:65" s="13" customFormat="1">
      <c r="B105" s="161"/>
      <c r="D105" s="153" t="s">
        <v>193</v>
      </c>
      <c r="E105" s="162" t="s">
        <v>3</v>
      </c>
      <c r="F105" s="163" t="s">
        <v>932</v>
      </c>
      <c r="H105" s="164">
        <v>2</v>
      </c>
      <c r="I105" s="165"/>
      <c r="L105" s="161"/>
      <c r="M105" s="166"/>
      <c r="N105" s="167"/>
      <c r="O105" s="167"/>
      <c r="P105" s="167"/>
      <c r="Q105" s="167"/>
      <c r="R105" s="167"/>
      <c r="S105" s="167"/>
      <c r="T105" s="168"/>
      <c r="AT105" s="162" t="s">
        <v>193</v>
      </c>
      <c r="AU105" s="162" t="s">
        <v>87</v>
      </c>
      <c r="AV105" s="13" t="s">
        <v>87</v>
      </c>
      <c r="AW105" s="13" t="s">
        <v>36</v>
      </c>
      <c r="AX105" s="13" t="s">
        <v>85</v>
      </c>
      <c r="AY105" s="162" t="s">
        <v>177</v>
      </c>
    </row>
    <row r="106" spans="1:65" s="2" customFormat="1" ht="16.5" customHeight="1">
      <c r="A106" s="34"/>
      <c r="B106" s="139"/>
      <c r="C106" s="140" t="s">
        <v>198</v>
      </c>
      <c r="D106" s="140" t="s">
        <v>180</v>
      </c>
      <c r="E106" s="141" t="s">
        <v>933</v>
      </c>
      <c r="F106" s="142" t="s">
        <v>934</v>
      </c>
      <c r="G106" s="143" t="s">
        <v>332</v>
      </c>
      <c r="H106" s="144">
        <v>67.537000000000006</v>
      </c>
      <c r="I106" s="145"/>
      <c r="J106" s="146">
        <f>ROUND(I106*H106,2)</f>
        <v>0</v>
      </c>
      <c r="K106" s="142" t="s">
        <v>184</v>
      </c>
      <c r="L106" s="35"/>
      <c r="M106" s="147" t="s">
        <v>3</v>
      </c>
      <c r="N106" s="148" t="s">
        <v>48</v>
      </c>
      <c r="O106" s="55"/>
      <c r="P106" s="149">
        <f>O106*H106</f>
        <v>0</v>
      </c>
      <c r="Q106" s="149">
        <v>0.1774009</v>
      </c>
      <c r="R106" s="149">
        <f>Q106*H106</f>
        <v>11.981124583300002</v>
      </c>
      <c r="S106" s="149">
        <v>0</v>
      </c>
      <c r="T106" s="150">
        <f>S106*H106</f>
        <v>0</v>
      </c>
      <c r="U106" s="34"/>
      <c r="V106" s="34"/>
      <c r="W106" s="34"/>
      <c r="X106" s="34"/>
      <c r="Y106" s="34"/>
      <c r="Z106" s="34"/>
      <c r="AA106" s="34"/>
      <c r="AB106" s="34"/>
      <c r="AC106" s="34"/>
      <c r="AD106" s="34"/>
      <c r="AE106" s="34"/>
      <c r="AR106" s="151" t="s">
        <v>185</v>
      </c>
      <c r="AT106" s="151" t="s">
        <v>180</v>
      </c>
      <c r="AU106" s="151" t="s">
        <v>87</v>
      </c>
      <c r="AY106" s="19" t="s">
        <v>177</v>
      </c>
      <c r="BE106" s="152">
        <f>IF(N106="základní",J106,0)</f>
        <v>0</v>
      </c>
      <c r="BF106" s="152">
        <f>IF(N106="snížená",J106,0)</f>
        <v>0</v>
      </c>
      <c r="BG106" s="152">
        <f>IF(N106="zákl. přenesená",J106,0)</f>
        <v>0</v>
      </c>
      <c r="BH106" s="152">
        <f>IF(N106="sníž. přenesená",J106,0)</f>
        <v>0</v>
      </c>
      <c r="BI106" s="152">
        <f>IF(N106="nulová",J106,0)</f>
        <v>0</v>
      </c>
      <c r="BJ106" s="19" t="s">
        <v>85</v>
      </c>
      <c r="BK106" s="152">
        <f>ROUND(I106*H106,2)</f>
        <v>0</v>
      </c>
      <c r="BL106" s="19" t="s">
        <v>185</v>
      </c>
      <c r="BM106" s="151" t="s">
        <v>935</v>
      </c>
    </row>
    <row r="107" spans="1:65" s="2" customFormat="1" ht="19.5">
      <c r="A107" s="34"/>
      <c r="B107" s="35"/>
      <c r="C107" s="34"/>
      <c r="D107" s="153" t="s">
        <v>187</v>
      </c>
      <c r="E107" s="34"/>
      <c r="F107" s="154" t="s">
        <v>936</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187</v>
      </c>
      <c r="AU107" s="19" t="s">
        <v>87</v>
      </c>
    </row>
    <row r="108" spans="1:65" s="2" customFormat="1">
      <c r="A108" s="34"/>
      <c r="B108" s="35"/>
      <c r="C108" s="34"/>
      <c r="D108" s="158" t="s">
        <v>189</v>
      </c>
      <c r="E108" s="34"/>
      <c r="F108" s="159" t="s">
        <v>937</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189</v>
      </c>
      <c r="AU108" s="19" t="s">
        <v>87</v>
      </c>
    </row>
    <row r="109" spans="1:65" s="14" customFormat="1">
      <c r="B109" s="169"/>
      <c r="D109" s="153" t="s">
        <v>193</v>
      </c>
      <c r="E109" s="170" t="s">
        <v>3</v>
      </c>
      <c r="F109" s="171" t="s">
        <v>931</v>
      </c>
      <c r="H109" s="170" t="s">
        <v>3</v>
      </c>
      <c r="I109" s="172"/>
      <c r="L109" s="169"/>
      <c r="M109" s="173"/>
      <c r="N109" s="174"/>
      <c r="O109" s="174"/>
      <c r="P109" s="174"/>
      <c r="Q109" s="174"/>
      <c r="R109" s="174"/>
      <c r="S109" s="174"/>
      <c r="T109" s="175"/>
      <c r="AT109" s="170" t="s">
        <v>193</v>
      </c>
      <c r="AU109" s="170" t="s">
        <v>87</v>
      </c>
      <c r="AV109" s="14" t="s">
        <v>85</v>
      </c>
      <c r="AW109" s="14" t="s">
        <v>36</v>
      </c>
      <c r="AX109" s="14" t="s">
        <v>77</v>
      </c>
      <c r="AY109" s="170" t="s">
        <v>177</v>
      </c>
    </row>
    <row r="110" spans="1:65" s="13" customFormat="1">
      <c r="B110" s="161"/>
      <c r="D110" s="153" t="s">
        <v>193</v>
      </c>
      <c r="E110" s="162" t="s">
        <v>3</v>
      </c>
      <c r="F110" s="163" t="s">
        <v>938</v>
      </c>
      <c r="H110" s="164">
        <v>4.79</v>
      </c>
      <c r="I110" s="165"/>
      <c r="L110" s="161"/>
      <c r="M110" s="166"/>
      <c r="N110" s="167"/>
      <c r="O110" s="167"/>
      <c r="P110" s="167"/>
      <c r="Q110" s="167"/>
      <c r="R110" s="167"/>
      <c r="S110" s="167"/>
      <c r="T110" s="168"/>
      <c r="AT110" s="162" t="s">
        <v>193</v>
      </c>
      <c r="AU110" s="162" t="s">
        <v>87</v>
      </c>
      <c r="AV110" s="13" t="s">
        <v>87</v>
      </c>
      <c r="AW110" s="13" t="s">
        <v>36</v>
      </c>
      <c r="AX110" s="13" t="s">
        <v>77</v>
      </c>
      <c r="AY110" s="162" t="s">
        <v>177</v>
      </c>
    </row>
    <row r="111" spans="1:65" s="14" customFormat="1">
      <c r="B111" s="169"/>
      <c r="D111" s="153" t="s">
        <v>193</v>
      </c>
      <c r="E111" s="170" t="s">
        <v>3</v>
      </c>
      <c r="F111" s="171" t="s">
        <v>939</v>
      </c>
      <c r="H111" s="170" t="s">
        <v>3</v>
      </c>
      <c r="I111" s="172"/>
      <c r="L111" s="169"/>
      <c r="M111" s="173"/>
      <c r="N111" s="174"/>
      <c r="O111" s="174"/>
      <c r="P111" s="174"/>
      <c r="Q111" s="174"/>
      <c r="R111" s="174"/>
      <c r="S111" s="174"/>
      <c r="T111" s="175"/>
      <c r="AT111" s="170" t="s">
        <v>193</v>
      </c>
      <c r="AU111" s="170" t="s">
        <v>87</v>
      </c>
      <c r="AV111" s="14" t="s">
        <v>85</v>
      </c>
      <c r="AW111" s="14" t="s">
        <v>36</v>
      </c>
      <c r="AX111" s="14" t="s">
        <v>77</v>
      </c>
      <c r="AY111" s="170" t="s">
        <v>177</v>
      </c>
    </row>
    <row r="112" spans="1:65" s="13" customFormat="1">
      <c r="B112" s="161"/>
      <c r="D112" s="153" t="s">
        <v>193</v>
      </c>
      <c r="E112" s="162" t="s">
        <v>3</v>
      </c>
      <c r="F112" s="163" t="s">
        <v>940</v>
      </c>
      <c r="H112" s="164">
        <v>2.4300000000000002</v>
      </c>
      <c r="I112" s="165"/>
      <c r="L112" s="161"/>
      <c r="M112" s="166"/>
      <c r="N112" s="167"/>
      <c r="O112" s="167"/>
      <c r="P112" s="167"/>
      <c r="Q112" s="167"/>
      <c r="R112" s="167"/>
      <c r="S112" s="167"/>
      <c r="T112" s="168"/>
      <c r="AT112" s="162" t="s">
        <v>193</v>
      </c>
      <c r="AU112" s="162" t="s">
        <v>87</v>
      </c>
      <c r="AV112" s="13" t="s">
        <v>87</v>
      </c>
      <c r="AW112" s="13" t="s">
        <v>36</v>
      </c>
      <c r="AX112" s="13" t="s">
        <v>77</v>
      </c>
      <c r="AY112" s="162" t="s">
        <v>177</v>
      </c>
    </row>
    <row r="113" spans="1:65" s="13" customFormat="1">
      <c r="B113" s="161"/>
      <c r="D113" s="153" t="s">
        <v>193</v>
      </c>
      <c r="E113" s="162" t="s">
        <v>3</v>
      </c>
      <c r="F113" s="163" t="s">
        <v>941</v>
      </c>
      <c r="H113" s="164">
        <v>10.416</v>
      </c>
      <c r="I113" s="165"/>
      <c r="L113" s="161"/>
      <c r="M113" s="166"/>
      <c r="N113" s="167"/>
      <c r="O113" s="167"/>
      <c r="P113" s="167"/>
      <c r="Q113" s="167"/>
      <c r="R113" s="167"/>
      <c r="S113" s="167"/>
      <c r="T113" s="168"/>
      <c r="AT113" s="162" t="s">
        <v>193</v>
      </c>
      <c r="AU113" s="162" t="s">
        <v>87</v>
      </c>
      <c r="AV113" s="13" t="s">
        <v>87</v>
      </c>
      <c r="AW113" s="13" t="s">
        <v>36</v>
      </c>
      <c r="AX113" s="13" t="s">
        <v>77</v>
      </c>
      <c r="AY113" s="162" t="s">
        <v>177</v>
      </c>
    </row>
    <row r="114" spans="1:65" s="13" customFormat="1">
      <c r="B114" s="161"/>
      <c r="D114" s="153" t="s">
        <v>193</v>
      </c>
      <c r="E114" s="162" t="s">
        <v>3</v>
      </c>
      <c r="F114" s="163" t="s">
        <v>942</v>
      </c>
      <c r="H114" s="164">
        <v>9.2560000000000002</v>
      </c>
      <c r="I114" s="165"/>
      <c r="L114" s="161"/>
      <c r="M114" s="166"/>
      <c r="N114" s="167"/>
      <c r="O114" s="167"/>
      <c r="P114" s="167"/>
      <c r="Q114" s="167"/>
      <c r="R114" s="167"/>
      <c r="S114" s="167"/>
      <c r="T114" s="168"/>
      <c r="AT114" s="162" t="s">
        <v>193</v>
      </c>
      <c r="AU114" s="162" t="s">
        <v>87</v>
      </c>
      <c r="AV114" s="13" t="s">
        <v>87</v>
      </c>
      <c r="AW114" s="13" t="s">
        <v>36</v>
      </c>
      <c r="AX114" s="13" t="s">
        <v>77</v>
      </c>
      <c r="AY114" s="162" t="s">
        <v>177</v>
      </c>
    </row>
    <row r="115" spans="1:65" s="13" customFormat="1">
      <c r="B115" s="161"/>
      <c r="D115" s="153" t="s">
        <v>193</v>
      </c>
      <c r="E115" s="162" t="s">
        <v>3</v>
      </c>
      <c r="F115" s="163" t="s">
        <v>943</v>
      </c>
      <c r="H115" s="164">
        <v>18.48</v>
      </c>
      <c r="I115" s="165"/>
      <c r="L115" s="161"/>
      <c r="M115" s="166"/>
      <c r="N115" s="167"/>
      <c r="O115" s="167"/>
      <c r="P115" s="167"/>
      <c r="Q115" s="167"/>
      <c r="R115" s="167"/>
      <c r="S115" s="167"/>
      <c r="T115" s="168"/>
      <c r="AT115" s="162" t="s">
        <v>193</v>
      </c>
      <c r="AU115" s="162" t="s">
        <v>87</v>
      </c>
      <c r="AV115" s="13" t="s">
        <v>87</v>
      </c>
      <c r="AW115" s="13" t="s">
        <v>36</v>
      </c>
      <c r="AX115" s="13" t="s">
        <v>77</v>
      </c>
      <c r="AY115" s="162" t="s">
        <v>177</v>
      </c>
    </row>
    <row r="116" spans="1:65" s="13" customFormat="1">
      <c r="B116" s="161"/>
      <c r="D116" s="153" t="s">
        <v>193</v>
      </c>
      <c r="E116" s="162" t="s">
        <v>3</v>
      </c>
      <c r="F116" s="163" t="s">
        <v>944</v>
      </c>
      <c r="H116" s="164">
        <v>22.164999999999999</v>
      </c>
      <c r="I116" s="165"/>
      <c r="L116" s="161"/>
      <c r="M116" s="166"/>
      <c r="N116" s="167"/>
      <c r="O116" s="167"/>
      <c r="P116" s="167"/>
      <c r="Q116" s="167"/>
      <c r="R116" s="167"/>
      <c r="S116" s="167"/>
      <c r="T116" s="168"/>
      <c r="AT116" s="162" t="s">
        <v>193</v>
      </c>
      <c r="AU116" s="162" t="s">
        <v>87</v>
      </c>
      <c r="AV116" s="13" t="s">
        <v>87</v>
      </c>
      <c r="AW116" s="13" t="s">
        <v>36</v>
      </c>
      <c r="AX116" s="13" t="s">
        <v>77</v>
      </c>
      <c r="AY116" s="162" t="s">
        <v>177</v>
      </c>
    </row>
    <row r="117" spans="1:65" s="16" customFormat="1">
      <c r="B117" s="184"/>
      <c r="D117" s="153" t="s">
        <v>193</v>
      </c>
      <c r="E117" s="185" t="s">
        <v>3</v>
      </c>
      <c r="F117" s="186" t="s">
        <v>201</v>
      </c>
      <c r="H117" s="187">
        <v>67.537000000000006</v>
      </c>
      <c r="I117" s="188"/>
      <c r="L117" s="184"/>
      <c r="M117" s="189"/>
      <c r="N117" s="190"/>
      <c r="O117" s="190"/>
      <c r="P117" s="190"/>
      <c r="Q117" s="190"/>
      <c r="R117" s="190"/>
      <c r="S117" s="190"/>
      <c r="T117" s="191"/>
      <c r="AT117" s="185" t="s">
        <v>193</v>
      </c>
      <c r="AU117" s="185" t="s">
        <v>87</v>
      </c>
      <c r="AV117" s="16" t="s">
        <v>185</v>
      </c>
      <c r="AW117" s="16" t="s">
        <v>36</v>
      </c>
      <c r="AX117" s="16" t="s">
        <v>85</v>
      </c>
      <c r="AY117" s="185" t="s">
        <v>177</v>
      </c>
    </row>
    <row r="118" spans="1:65" s="2" customFormat="1" ht="21.75" customHeight="1">
      <c r="A118" s="34"/>
      <c r="B118" s="139"/>
      <c r="C118" s="140" t="s">
        <v>185</v>
      </c>
      <c r="D118" s="140" t="s">
        <v>180</v>
      </c>
      <c r="E118" s="141" t="s">
        <v>586</v>
      </c>
      <c r="F118" s="142" t="s">
        <v>587</v>
      </c>
      <c r="G118" s="143" t="s">
        <v>183</v>
      </c>
      <c r="H118" s="144">
        <v>0.23699999999999999</v>
      </c>
      <c r="I118" s="145"/>
      <c r="J118" s="146">
        <f>ROUND(I118*H118,2)</f>
        <v>0</v>
      </c>
      <c r="K118" s="142" t="s">
        <v>184</v>
      </c>
      <c r="L118" s="35"/>
      <c r="M118" s="147" t="s">
        <v>3</v>
      </c>
      <c r="N118" s="148" t="s">
        <v>48</v>
      </c>
      <c r="O118" s="55"/>
      <c r="P118" s="149">
        <f>O118*H118</f>
        <v>0</v>
      </c>
      <c r="Q118" s="149">
        <v>1.9536000000000001E-2</v>
      </c>
      <c r="R118" s="149">
        <f>Q118*H118</f>
        <v>4.6300320000000001E-3</v>
      </c>
      <c r="S118" s="149">
        <v>0</v>
      </c>
      <c r="T118" s="150">
        <f>S118*H118</f>
        <v>0</v>
      </c>
      <c r="U118" s="34"/>
      <c r="V118" s="34"/>
      <c r="W118" s="34"/>
      <c r="X118" s="34"/>
      <c r="Y118" s="34"/>
      <c r="Z118" s="34"/>
      <c r="AA118" s="34"/>
      <c r="AB118" s="34"/>
      <c r="AC118" s="34"/>
      <c r="AD118" s="34"/>
      <c r="AE118" s="34"/>
      <c r="AR118" s="151" t="s">
        <v>185</v>
      </c>
      <c r="AT118" s="151" t="s">
        <v>180</v>
      </c>
      <c r="AU118" s="151" t="s">
        <v>87</v>
      </c>
      <c r="AY118" s="19" t="s">
        <v>177</v>
      </c>
      <c r="BE118" s="152">
        <f>IF(N118="základní",J118,0)</f>
        <v>0</v>
      </c>
      <c r="BF118" s="152">
        <f>IF(N118="snížená",J118,0)</f>
        <v>0</v>
      </c>
      <c r="BG118" s="152">
        <f>IF(N118="zákl. přenesená",J118,0)</f>
        <v>0</v>
      </c>
      <c r="BH118" s="152">
        <f>IF(N118="sníž. přenesená",J118,0)</f>
        <v>0</v>
      </c>
      <c r="BI118" s="152">
        <f>IF(N118="nulová",J118,0)</f>
        <v>0</v>
      </c>
      <c r="BJ118" s="19" t="s">
        <v>85</v>
      </c>
      <c r="BK118" s="152">
        <f>ROUND(I118*H118,2)</f>
        <v>0</v>
      </c>
      <c r="BL118" s="19" t="s">
        <v>185</v>
      </c>
      <c r="BM118" s="151" t="s">
        <v>945</v>
      </c>
    </row>
    <row r="119" spans="1:65" s="2" customFormat="1">
      <c r="A119" s="34"/>
      <c r="B119" s="35"/>
      <c r="C119" s="34"/>
      <c r="D119" s="153" t="s">
        <v>187</v>
      </c>
      <c r="E119" s="34"/>
      <c r="F119" s="154" t="s">
        <v>589</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187</v>
      </c>
      <c r="AU119" s="19" t="s">
        <v>87</v>
      </c>
    </row>
    <row r="120" spans="1:65" s="2" customFormat="1">
      <c r="A120" s="34"/>
      <c r="B120" s="35"/>
      <c r="C120" s="34"/>
      <c r="D120" s="158" t="s">
        <v>189</v>
      </c>
      <c r="E120" s="34"/>
      <c r="F120" s="159" t="s">
        <v>590</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189</v>
      </c>
      <c r="AU120" s="19" t="s">
        <v>87</v>
      </c>
    </row>
    <row r="121" spans="1:65" s="2" customFormat="1" ht="58.5">
      <c r="A121" s="34"/>
      <c r="B121" s="35"/>
      <c r="C121" s="34"/>
      <c r="D121" s="153" t="s">
        <v>191</v>
      </c>
      <c r="E121" s="34"/>
      <c r="F121" s="160" t="s">
        <v>591</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191</v>
      </c>
      <c r="AU121" s="19" t="s">
        <v>87</v>
      </c>
    </row>
    <row r="122" spans="1:65" s="2" customFormat="1" ht="16.5" customHeight="1">
      <c r="A122" s="34"/>
      <c r="B122" s="139"/>
      <c r="C122" s="195" t="s">
        <v>200</v>
      </c>
      <c r="D122" s="195" t="s">
        <v>484</v>
      </c>
      <c r="E122" s="196" t="s">
        <v>592</v>
      </c>
      <c r="F122" s="197" t="s">
        <v>593</v>
      </c>
      <c r="G122" s="198" t="s">
        <v>183</v>
      </c>
      <c r="H122" s="199">
        <v>0.249</v>
      </c>
      <c r="I122" s="200"/>
      <c r="J122" s="201">
        <f>ROUND(I122*H122,2)</f>
        <v>0</v>
      </c>
      <c r="K122" s="197" t="s">
        <v>184</v>
      </c>
      <c r="L122" s="202"/>
      <c r="M122" s="203" t="s">
        <v>3</v>
      </c>
      <c r="N122" s="204" t="s">
        <v>48</v>
      </c>
      <c r="O122" s="55"/>
      <c r="P122" s="149">
        <f>O122*H122</f>
        <v>0</v>
      </c>
      <c r="Q122" s="149">
        <v>1</v>
      </c>
      <c r="R122" s="149">
        <f>Q122*H122</f>
        <v>0.249</v>
      </c>
      <c r="S122" s="149">
        <v>0</v>
      </c>
      <c r="T122" s="150">
        <f>S122*H122</f>
        <v>0</v>
      </c>
      <c r="U122" s="34"/>
      <c r="V122" s="34"/>
      <c r="W122" s="34"/>
      <c r="X122" s="34"/>
      <c r="Y122" s="34"/>
      <c r="Z122" s="34"/>
      <c r="AA122" s="34"/>
      <c r="AB122" s="34"/>
      <c r="AC122" s="34"/>
      <c r="AD122" s="34"/>
      <c r="AE122" s="34"/>
      <c r="AR122" s="151" t="s">
        <v>248</v>
      </c>
      <c r="AT122" s="151" t="s">
        <v>484</v>
      </c>
      <c r="AU122" s="151" t="s">
        <v>87</v>
      </c>
      <c r="AY122" s="19" t="s">
        <v>177</v>
      </c>
      <c r="BE122" s="152">
        <f>IF(N122="základní",J122,0)</f>
        <v>0</v>
      </c>
      <c r="BF122" s="152">
        <f>IF(N122="snížená",J122,0)</f>
        <v>0</v>
      </c>
      <c r="BG122" s="152">
        <f>IF(N122="zákl. přenesená",J122,0)</f>
        <v>0</v>
      </c>
      <c r="BH122" s="152">
        <f>IF(N122="sníž. přenesená",J122,0)</f>
        <v>0</v>
      </c>
      <c r="BI122" s="152">
        <f>IF(N122="nulová",J122,0)</f>
        <v>0</v>
      </c>
      <c r="BJ122" s="19" t="s">
        <v>85</v>
      </c>
      <c r="BK122" s="152">
        <f>ROUND(I122*H122,2)</f>
        <v>0</v>
      </c>
      <c r="BL122" s="19" t="s">
        <v>185</v>
      </c>
      <c r="BM122" s="151" t="s">
        <v>946</v>
      </c>
    </row>
    <row r="123" spans="1:65" s="2" customFormat="1">
      <c r="A123" s="34"/>
      <c r="B123" s="35"/>
      <c r="C123" s="34"/>
      <c r="D123" s="153" t="s">
        <v>187</v>
      </c>
      <c r="E123" s="34"/>
      <c r="F123" s="154" t="s">
        <v>595</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187</v>
      </c>
      <c r="AU123" s="19" t="s">
        <v>87</v>
      </c>
    </row>
    <row r="124" spans="1:65" s="14" customFormat="1">
      <c r="B124" s="169"/>
      <c r="D124" s="153" t="s">
        <v>193</v>
      </c>
      <c r="E124" s="170" t="s">
        <v>3</v>
      </c>
      <c r="F124" s="171" t="s">
        <v>939</v>
      </c>
      <c r="H124" s="170" t="s">
        <v>3</v>
      </c>
      <c r="I124" s="172"/>
      <c r="L124" s="169"/>
      <c r="M124" s="173"/>
      <c r="N124" s="174"/>
      <c r="O124" s="174"/>
      <c r="P124" s="174"/>
      <c r="Q124" s="174"/>
      <c r="R124" s="174"/>
      <c r="S124" s="174"/>
      <c r="T124" s="175"/>
      <c r="AT124" s="170" t="s">
        <v>193</v>
      </c>
      <c r="AU124" s="170" t="s">
        <v>87</v>
      </c>
      <c r="AV124" s="14" t="s">
        <v>85</v>
      </c>
      <c r="AW124" s="14" t="s">
        <v>36</v>
      </c>
      <c r="AX124" s="14" t="s">
        <v>77</v>
      </c>
      <c r="AY124" s="170" t="s">
        <v>177</v>
      </c>
    </row>
    <row r="125" spans="1:65" s="14" customFormat="1">
      <c r="B125" s="169"/>
      <c r="D125" s="153" t="s">
        <v>193</v>
      </c>
      <c r="E125" s="170" t="s">
        <v>3</v>
      </c>
      <c r="F125" s="171" t="s">
        <v>596</v>
      </c>
      <c r="H125" s="170" t="s">
        <v>3</v>
      </c>
      <c r="I125" s="172"/>
      <c r="L125" s="169"/>
      <c r="M125" s="173"/>
      <c r="N125" s="174"/>
      <c r="O125" s="174"/>
      <c r="P125" s="174"/>
      <c r="Q125" s="174"/>
      <c r="R125" s="174"/>
      <c r="S125" s="174"/>
      <c r="T125" s="175"/>
      <c r="AT125" s="170" t="s">
        <v>193</v>
      </c>
      <c r="AU125" s="170" t="s">
        <v>87</v>
      </c>
      <c r="AV125" s="14" t="s">
        <v>85</v>
      </c>
      <c r="AW125" s="14" t="s">
        <v>36</v>
      </c>
      <c r="AX125" s="14" t="s">
        <v>77</v>
      </c>
      <c r="AY125" s="170" t="s">
        <v>177</v>
      </c>
    </row>
    <row r="126" spans="1:65" s="13" customFormat="1">
      <c r="B126" s="161"/>
      <c r="D126" s="153" t="s">
        <v>193</v>
      </c>
      <c r="E126" s="162" t="s">
        <v>3</v>
      </c>
      <c r="F126" s="163" t="s">
        <v>947</v>
      </c>
      <c r="H126" s="164">
        <v>0.23699999999999999</v>
      </c>
      <c r="I126" s="165"/>
      <c r="L126" s="161"/>
      <c r="M126" s="166"/>
      <c r="N126" s="167"/>
      <c r="O126" s="167"/>
      <c r="P126" s="167"/>
      <c r="Q126" s="167"/>
      <c r="R126" s="167"/>
      <c r="S126" s="167"/>
      <c r="T126" s="168"/>
      <c r="AT126" s="162" t="s">
        <v>193</v>
      </c>
      <c r="AU126" s="162" t="s">
        <v>87</v>
      </c>
      <c r="AV126" s="13" t="s">
        <v>87</v>
      </c>
      <c r="AW126" s="13" t="s">
        <v>36</v>
      </c>
      <c r="AX126" s="13" t="s">
        <v>77</v>
      </c>
      <c r="AY126" s="162" t="s">
        <v>177</v>
      </c>
    </row>
    <row r="127" spans="1:65" s="16" customFormat="1">
      <c r="B127" s="184"/>
      <c r="D127" s="153" t="s">
        <v>193</v>
      </c>
      <c r="E127" s="185" t="s">
        <v>3</v>
      </c>
      <c r="F127" s="186" t="s">
        <v>201</v>
      </c>
      <c r="H127" s="187">
        <v>0.23699999999999999</v>
      </c>
      <c r="I127" s="188"/>
      <c r="L127" s="184"/>
      <c r="M127" s="189"/>
      <c r="N127" s="190"/>
      <c r="O127" s="190"/>
      <c r="P127" s="190"/>
      <c r="Q127" s="190"/>
      <c r="R127" s="190"/>
      <c r="S127" s="190"/>
      <c r="T127" s="191"/>
      <c r="AT127" s="185" t="s">
        <v>193</v>
      </c>
      <c r="AU127" s="185" t="s">
        <v>87</v>
      </c>
      <c r="AV127" s="16" t="s">
        <v>185</v>
      </c>
      <c r="AW127" s="16" t="s">
        <v>36</v>
      </c>
      <c r="AX127" s="16" t="s">
        <v>85</v>
      </c>
      <c r="AY127" s="185" t="s">
        <v>177</v>
      </c>
    </row>
    <row r="128" spans="1:65" s="13" customFormat="1">
      <c r="B128" s="161"/>
      <c r="D128" s="153" t="s">
        <v>193</v>
      </c>
      <c r="F128" s="163" t="s">
        <v>948</v>
      </c>
      <c r="H128" s="164">
        <v>0.249</v>
      </c>
      <c r="I128" s="165"/>
      <c r="L128" s="161"/>
      <c r="M128" s="166"/>
      <c r="N128" s="167"/>
      <c r="O128" s="167"/>
      <c r="P128" s="167"/>
      <c r="Q128" s="167"/>
      <c r="R128" s="167"/>
      <c r="S128" s="167"/>
      <c r="T128" s="168"/>
      <c r="AT128" s="162" t="s">
        <v>193</v>
      </c>
      <c r="AU128" s="162" t="s">
        <v>87</v>
      </c>
      <c r="AV128" s="13" t="s">
        <v>87</v>
      </c>
      <c r="AW128" s="13" t="s">
        <v>4</v>
      </c>
      <c r="AX128" s="13" t="s">
        <v>85</v>
      </c>
      <c r="AY128" s="162" t="s">
        <v>177</v>
      </c>
    </row>
    <row r="129" spans="1:65" s="2" customFormat="1" ht="16.5" customHeight="1">
      <c r="A129" s="34"/>
      <c r="B129" s="139"/>
      <c r="C129" s="140" t="s">
        <v>233</v>
      </c>
      <c r="D129" s="140" t="s">
        <v>180</v>
      </c>
      <c r="E129" s="141" t="s">
        <v>949</v>
      </c>
      <c r="F129" s="142" t="s">
        <v>950</v>
      </c>
      <c r="G129" s="143" t="s">
        <v>183</v>
      </c>
      <c r="H129" s="144">
        <v>0.36199999999999999</v>
      </c>
      <c r="I129" s="145"/>
      <c r="J129" s="146">
        <f>ROUND(I129*H129,2)</f>
        <v>0</v>
      </c>
      <c r="K129" s="142" t="s">
        <v>184</v>
      </c>
      <c r="L129" s="35"/>
      <c r="M129" s="147" t="s">
        <v>3</v>
      </c>
      <c r="N129" s="148" t="s">
        <v>48</v>
      </c>
      <c r="O129" s="55"/>
      <c r="P129" s="149">
        <f>O129*H129</f>
        <v>0</v>
      </c>
      <c r="Q129" s="149">
        <v>1.0900000000000001</v>
      </c>
      <c r="R129" s="149">
        <f>Q129*H129</f>
        <v>0.39458000000000004</v>
      </c>
      <c r="S129" s="149">
        <v>0</v>
      </c>
      <c r="T129" s="150">
        <f>S129*H129</f>
        <v>0</v>
      </c>
      <c r="U129" s="34"/>
      <c r="V129" s="34"/>
      <c r="W129" s="34"/>
      <c r="X129" s="34"/>
      <c r="Y129" s="34"/>
      <c r="Z129" s="34"/>
      <c r="AA129" s="34"/>
      <c r="AB129" s="34"/>
      <c r="AC129" s="34"/>
      <c r="AD129" s="34"/>
      <c r="AE129" s="34"/>
      <c r="AR129" s="151" t="s">
        <v>185</v>
      </c>
      <c r="AT129" s="151" t="s">
        <v>180</v>
      </c>
      <c r="AU129" s="151" t="s">
        <v>87</v>
      </c>
      <c r="AY129" s="19" t="s">
        <v>177</v>
      </c>
      <c r="BE129" s="152">
        <f>IF(N129="základní",J129,0)</f>
        <v>0</v>
      </c>
      <c r="BF129" s="152">
        <f>IF(N129="snížená",J129,0)</f>
        <v>0</v>
      </c>
      <c r="BG129" s="152">
        <f>IF(N129="zákl. přenesená",J129,0)</f>
        <v>0</v>
      </c>
      <c r="BH129" s="152">
        <f>IF(N129="sníž. přenesená",J129,0)</f>
        <v>0</v>
      </c>
      <c r="BI129" s="152">
        <f>IF(N129="nulová",J129,0)</f>
        <v>0</v>
      </c>
      <c r="BJ129" s="19" t="s">
        <v>85</v>
      </c>
      <c r="BK129" s="152">
        <f>ROUND(I129*H129,2)</f>
        <v>0</v>
      </c>
      <c r="BL129" s="19" t="s">
        <v>185</v>
      </c>
      <c r="BM129" s="151" t="s">
        <v>951</v>
      </c>
    </row>
    <row r="130" spans="1:65" s="2" customFormat="1">
      <c r="A130" s="34"/>
      <c r="B130" s="35"/>
      <c r="C130" s="34"/>
      <c r="D130" s="153" t="s">
        <v>187</v>
      </c>
      <c r="E130" s="34"/>
      <c r="F130" s="154" t="s">
        <v>952</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187</v>
      </c>
      <c r="AU130" s="19" t="s">
        <v>87</v>
      </c>
    </row>
    <row r="131" spans="1:65" s="2" customFormat="1">
      <c r="A131" s="34"/>
      <c r="B131" s="35"/>
      <c r="C131" s="34"/>
      <c r="D131" s="158" t="s">
        <v>189</v>
      </c>
      <c r="E131" s="34"/>
      <c r="F131" s="159" t="s">
        <v>953</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189</v>
      </c>
      <c r="AU131" s="19" t="s">
        <v>87</v>
      </c>
    </row>
    <row r="132" spans="1:65" s="2" customFormat="1" ht="39">
      <c r="A132" s="34"/>
      <c r="B132" s="35"/>
      <c r="C132" s="34"/>
      <c r="D132" s="153" t="s">
        <v>191</v>
      </c>
      <c r="E132" s="34"/>
      <c r="F132" s="160" t="s">
        <v>954</v>
      </c>
      <c r="G132" s="34"/>
      <c r="H132" s="34"/>
      <c r="I132" s="155"/>
      <c r="J132" s="34"/>
      <c r="K132" s="34"/>
      <c r="L132" s="35"/>
      <c r="M132" s="156"/>
      <c r="N132" s="157"/>
      <c r="O132" s="55"/>
      <c r="P132" s="55"/>
      <c r="Q132" s="55"/>
      <c r="R132" s="55"/>
      <c r="S132" s="55"/>
      <c r="T132" s="56"/>
      <c r="U132" s="34"/>
      <c r="V132" s="34"/>
      <c r="W132" s="34"/>
      <c r="X132" s="34"/>
      <c r="Y132" s="34"/>
      <c r="Z132" s="34"/>
      <c r="AA132" s="34"/>
      <c r="AB132" s="34"/>
      <c r="AC132" s="34"/>
      <c r="AD132" s="34"/>
      <c r="AE132" s="34"/>
      <c r="AT132" s="19" t="s">
        <v>191</v>
      </c>
      <c r="AU132" s="19" t="s">
        <v>87</v>
      </c>
    </row>
    <row r="133" spans="1:65" s="14" customFormat="1">
      <c r="B133" s="169"/>
      <c r="D133" s="153" t="s">
        <v>193</v>
      </c>
      <c r="E133" s="170" t="s">
        <v>3</v>
      </c>
      <c r="F133" s="171" t="s">
        <v>931</v>
      </c>
      <c r="H133" s="170" t="s">
        <v>3</v>
      </c>
      <c r="I133" s="172"/>
      <c r="L133" s="169"/>
      <c r="M133" s="173"/>
      <c r="N133" s="174"/>
      <c r="O133" s="174"/>
      <c r="P133" s="174"/>
      <c r="Q133" s="174"/>
      <c r="R133" s="174"/>
      <c r="S133" s="174"/>
      <c r="T133" s="175"/>
      <c r="AT133" s="170" t="s">
        <v>193</v>
      </c>
      <c r="AU133" s="170" t="s">
        <v>87</v>
      </c>
      <c r="AV133" s="14" t="s">
        <v>85</v>
      </c>
      <c r="AW133" s="14" t="s">
        <v>36</v>
      </c>
      <c r="AX133" s="14" t="s">
        <v>77</v>
      </c>
      <c r="AY133" s="170" t="s">
        <v>177</v>
      </c>
    </row>
    <row r="134" spans="1:65" s="14" customFormat="1">
      <c r="B134" s="169"/>
      <c r="D134" s="153" t="s">
        <v>193</v>
      </c>
      <c r="E134" s="170" t="s">
        <v>3</v>
      </c>
      <c r="F134" s="171" t="s">
        <v>955</v>
      </c>
      <c r="H134" s="170" t="s">
        <v>3</v>
      </c>
      <c r="I134" s="172"/>
      <c r="L134" s="169"/>
      <c r="M134" s="173"/>
      <c r="N134" s="174"/>
      <c r="O134" s="174"/>
      <c r="P134" s="174"/>
      <c r="Q134" s="174"/>
      <c r="R134" s="174"/>
      <c r="S134" s="174"/>
      <c r="T134" s="175"/>
      <c r="AT134" s="170" t="s">
        <v>193</v>
      </c>
      <c r="AU134" s="170" t="s">
        <v>87</v>
      </c>
      <c r="AV134" s="14" t="s">
        <v>85</v>
      </c>
      <c r="AW134" s="14" t="s">
        <v>36</v>
      </c>
      <c r="AX134" s="14" t="s">
        <v>77</v>
      </c>
      <c r="AY134" s="170" t="s">
        <v>177</v>
      </c>
    </row>
    <row r="135" spans="1:65" s="13" customFormat="1">
      <c r="B135" s="161"/>
      <c r="D135" s="153" t="s">
        <v>193</v>
      </c>
      <c r="E135" s="162" t="s">
        <v>3</v>
      </c>
      <c r="F135" s="163" t="s">
        <v>956</v>
      </c>
      <c r="H135" s="164">
        <v>3.5000000000000003E-2</v>
      </c>
      <c r="I135" s="165"/>
      <c r="L135" s="161"/>
      <c r="M135" s="166"/>
      <c r="N135" s="167"/>
      <c r="O135" s="167"/>
      <c r="P135" s="167"/>
      <c r="Q135" s="167"/>
      <c r="R135" s="167"/>
      <c r="S135" s="167"/>
      <c r="T135" s="168"/>
      <c r="AT135" s="162" t="s">
        <v>193</v>
      </c>
      <c r="AU135" s="162" t="s">
        <v>87</v>
      </c>
      <c r="AV135" s="13" t="s">
        <v>87</v>
      </c>
      <c r="AW135" s="13" t="s">
        <v>36</v>
      </c>
      <c r="AX135" s="13" t="s">
        <v>77</v>
      </c>
      <c r="AY135" s="162" t="s">
        <v>177</v>
      </c>
    </row>
    <row r="136" spans="1:65" s="14" customFormat="1">
      <c r="B136" s="169"/>
      <c r="D136" s="153" t="s">
        <v>193</v>
      </c>
      <c r="E136" s="170" t="s">
        <v>3</v>
      </c>
      <c r="F136" s="171" t="s">
        <v>957</v>
      </c>
      <c r="H136" s="170" t="s">
        <v>3</v>
      </c>
      <c r="I136" s="172"/>
      <c r="L136" s="169"/>
      <c r="M136" s="173"/>
      <c r="N136" s="174"/>
      <c r="O136" s="174"/>
      <c r="P136" s="174"/>
      <c r="Q136" s="174"/>
      <c r="R136" s="174"/>
      <c r="S136" s="174"/>
      <c r="T136" s="175"/>
      <c r="AT136" s="170" t="s">
        <v>193</v>
      </c>
      <c r="AU136" s="170" t="s">
        <v>87</v>
      </c>
      <c r="AV136" s="14" t="s">
        <v>85</v>
      </c>
      <c r="AW136" s="14" t="s">
        <v>36</v>
      </c>
      <c r="AX136" s="14" t="s">
        <v>77</v>
      </c>
      <c r="AY136" s="170" t="s">
        <v>177</v>
      </c>
    </row>
    <row r="137" spans="1:65" s="13" customFormat="1">
      <c r="B137" s="161"/>
      <c r="D137" s="153" t="s">
        <v>193</v>
      </c>
      <c r="E137" s="162" t="s">
        <v>3</v>
      </c>
      <c r="F137" s="163" t="s">
        <v>958</v>
      </c>
      <c r="H137" s="164">
        <v>0.11700000000000001</v>
      </c>
      <c r="I137" s="165"/>
      <c r="L137" s="161"/>
      <c r="M137" s="166"/>
      <c r="N137" s="167"/>
      <c r="O137" s="167"/>
      <c r="P137" s="167"/>
      <c r="Q137" s="167"/>
      <c r="R137" s="167"/>
      <c r="S137" s="167"/>
      <c r="T137" s="168"/>
      <c r="AT137" s="162" t="s">
        <v>193</v>
      </c>
      <c r="AU137" s="162" t="s">
        <v>87</v>
      </c>
      <c r="AV137" s="13" t="s">
        <v>87</v>
      </c>
      <c r="AW137" s="13" t="s">
        <v>36</v>
      </c>
      <c r="AX137" s="13" t="s">
        <v>77</v>
      </c>
      <c r="AY137" s="162" t="s">
        <v>177</v>
      </c>
    </row>
    <row r="138" spans="1:65" s="13" customFormat="1">
      <c r="B138" s="161"/>
      <c r="D138" s="153" t="s">
        <v>193</v>
      </c>
      <c r="E138" s="162" t="s">
        <v>3</v>
      </c>
      <c r="F138" s="163" t="s">
        <v>959</v>
      </c>
      <c r="H138" s="164">
        <v>0.121</v>
      </c>
      <c r="I138" s="165"/>
      <c r="L138" s="161"/>
      <c r="M138" s="166"/>
      <c r="N138" s="167"/>
      <c r="O138" s="167"/>
      <c r="P138" s="167"/>
      <c r="Q138" s="167"/>
      <c r="R138" s="167"/>
      <c r="S138" s="167"/>
      <c r="T138" s="168"/>
      <c r="AT138" s="162" t="s">
        <v>193</v>
      </c>
      <c r="AU138" s="162" t="s">
        <v>87</v>
      </c>
      <c r="AV138" s="13" t="s">
        <v>87</v>
      </c>
      <c r="AW138" s="13" t="s">
        <v>36</v>
      </c>
      <c r="AX138" s="13" t="s">
        <v>77</v>
      </c>
      <c r="AY138" s="162" t="s">
        <v>177</v>
      </c>
    </row>
    <row r="139" spans="1:65" s="14" customFormat="1">
      <c r="B139" s="169"/>
      <c r="D139" s="153" t="s">
        <v>193</v>
      </c>
      <c r="E139" s="170" t="s">
        <v>3</v>
      </c>
      <c r="F139" s="171" t="s">
        <v>939</v>
      </c>
      <c r="H139" s="170" t="s">
        <v>3</v>
      </c>
      <c r="I139" s="172"/>
      <c r="L139" s="169"/>
      <c r="M139" s="173"/>
      <c r="N139" s="174"/>
      <c r="O139" s="174"/>
      <c r="P139" s="174"/>
      <c r="Q139" s="174"/>
      <c r="R139" s="174"/>
      <c r="S139" s="174"/>
      <c r="T139" s="175"/>
      <c r="AT139" s="170" t="s">
        <v>193</v>
      </c>
      <c r="AU139" s="170" t="s">
        <v>87</v>
      </c>
      <c r="AV139" s="14" t="s">
        <v>85</v>
      </c>
      <c r="AW139" s="14" t="s">
        <v>36</v>
      </c>
      <c r="AX139" s="14" t="s">
        <v>77</v>
      </c>
      <c r="AY139" s="170" t="s">
        <v>177</v>
      </c>
    </row>
    <row r="140" spans="1:65" s="14" customFormat="1">
      <c r="B140" s="169"/>
      <c r="D140" s="153" t="s">
        <v>193</v>
      </c>
      <c r="E140" s="170" t="s">
        <v>3</v>
      </c>
      <c r="F140" s="171" t="s">
        <v>957</v>
      </c>
      <c r="H140" s="170" t="s">
        <v>3</v>
      </c>
      <c r="I140" s="172"/>
      <c r="L140" s="169"/>
      <c r="M140" s="173"/>
      <c r="N140" s="174"/>
      <c r="O140" s="174"/>
      <c r="P140" s="174"/>
      <c r="Q140" s="174"/>
      <c r="R140" s="174"/>
      <c r="S140" s="174"/>
      <c r="T140" s="175"/>
      <c r="AT140" s="170" t="s">
        <v>193</v>
      </c>
      <c r="AU140" s="170" t="s">
        <v>87</v>
      </c>
      <c r="AV140" s="14" t="s">
        <v>85</v>
      </c>
      <c r="AW140" s="14" t="s">
        <v>36</v>
      </c>
      <c r="AX140" s="14" t="s">
        <v>77</v>
      </c>
      <c r="AY140" s="170" t="s">
        <v>177</v>
      </c>
    </row>
    <row r="141" spans="1:65" s="13" customFormat="1">
      <c r="B141" s="161"/>
      <c r="D141" s="153" t="s">
        <v>193</v>
      </c>
      <c r="E141" s="162" t="s">
        <v>3</v>
      </c>
      <c r="F141" s="163" t="s">
        <v>960</v>
      </c>
      <c r="H141" s="164">
        <v>8.8999999999999996E-2</v>
      </c>
      <c r="I141" s="165"/>
      <c r="L141" s="161"/>
      <c r="M141" s="166"/>
      <c r="N141" s="167"/>
      <c r="O141" s="167"/>
      <c r="P141" s="167"/>
      <c r="Q141" s="167"/>
      <c r="R141" s="167"/>
      <c r="S141" s="167"/>
      <c r="T141" s="168"/>
      <c r="AT141" s="162" t="s">
        <v>193</v>
      </c>
      <c r="AU141" s="162" t="s">
        <v>87</v>
      </c>
      <c r="AV141" s="13" t="s">
        <v>87</v>
      </c>
      <c r="AW141" s="13" t="s">
        <v>36</v>
      </c>
      <c r="AX141" s="13" t="s">
        <v>77</v>
      </c>
      <c r="AY141" s="162" t="s">
        <v>177</v>
      </c>
    </row>
    <row r="142" spans="1:65" s="16" customFormat="1">
      <c r="B142" s="184"/>
      <c r="D142" s="153" t="s">
        <v>193</v>
      </c>
      <c r="E142" s="185" t="s">
        <v>3</v>
      </c>
      <c r="F142" s="186" t="s">
        <v>201</v>
      </c>
      <c r="H142" s="187">
        <v>0.36199999999999999</v>
      </c>
      <c r="I142" s="188"/>
      <c r="L142" s="184"/>
      <c r="M142" s="189"/>
      <c r="N142" s="190"/>
      <c r="O142" s="190"/>
      <c r="P142" s="190"/>
      <c r="Q142" s="190"/>
      <c r="R142" s="190"/>
      <c r="S142" s="190"/>
      <c r="T142" s="191"/>
      <c r="AT142" s="185" t="s">
        <v>193</v>
      </c>
      <c r="AU142" s="185" t="s">
        <v>87</v>
      </c>
      <c r="AV142" s="16" t="s">
        <v>185</v>
      </c>
      <c r="AW142" s="16" t="s">
        <v>36</v>
      </c>
      <c r="AX142" s="16" t="s">
        <v>85</v>
      </c>
      <c r="AY142" s="185" t="s">
        <v>177</v>
      </c>
    </row>
    <row r="143" spans="1:65" s="2" customFormat="1" ht="16.5" customHeight="1">
      <c r="A143" s="34"/>
      <c r="B143" s="139"/>
      <c r="C143" s="140" t="s">
        <v>241</v>
      </c>
      <c r="D143" s="140" t="s">
        <v>180</v>
      </c>
      <c r="E143" s="141" t="s">
        <v>613</v>
      </c>
      <c r="F143" s="142" t="s">
        <v>961</v>
      </c>
      <c r="G143" s="143" t="s">
        <v>476</v>
      </c>
      <c r="H143" s="144">
        <v>86.9</v>
      </c>
      <c r="I143" s="145"/>
      <c r="J143" s="146">
        <f>ROUND(I143*H143,2)</f>
        <v>0</v>
      </c>
      <c r="K143" s="142" t="s">
        <v>244</v>
      </c>
      <c r="L143" s="35"/>
      <c r="M143" s="147" t="s">
        <v>3</v>
      </c>
      <c r="N143" s="148" t="s">
        <v>48</v>
      </c>
      <c r="O143" s="55"/>
      <c r="P143" s="149">
        <f>O143*H143</f>
        <v>0</v>
      </c>
      <c r="Q143" s="149">
        <v>2.0000000000000001E-4</v>
      </c>
      <c r="R143" s="149">
        <f>Q143*H143</f>
        <v>1.7380000000000003E-2</v>
      </c>
      <c r="S143" s="149">
        <v>0</v>
      </c>
      <c r="T143" s="150">
        <f>S143*H143</f>
        <v>0</v>
      </c>
      <c r="U143" s="34"/>
      <c r="V143" s="34"/>
      <c r="W143" s="34"/>
      <c r="X143" s="34"/>
      <c r="Y143" s="34"/>
      <c r="Z143" s="34"/>
      <c r="AA143" s="34"/>
      <c r="AB143" s="34"/>
      <c r="AC143" s="34"/>
      <c r="AD143" s="34"/>
      <c r="AE143" s="34"/>
      <c r="AR143" s="151" t="s">
        <v>185</v>
      </c>
      <c r="AT143" s="151" t="s">
        <v>180</v>
      </c>
      <c r="AU143" s="151" t="s">
        <v>87</v>
      </c>
      <c r="AY143" s="19" t="s">
        <v>177</v>
      </c>
      <c r="BE143" s="152">
        <f>IF(N143="základní",J143,0)</f>
        <v>0</v>
      </c>
      <c r="BF143" s="152">
        <f>IF(N143="snížená",J143,0)</f>
        <v>0</v>
      </c>
      <c r="BG143" s="152">
        <f>IF(N143="zákl. přenesená",J143,0)</f>
        <v>0</v>
      </c>
      <c r="BH143" s="152">
        <f>IF(N143="sníž. přenesená",J143,0)</f>
        <v>0</v>
      </c>
      <c r="BI143" s="152">
        <f>IF(N143="nulová",J143,0)</f>
        <v>0</v>
      </c>
      <c r="BJ143" s="19" t="s">
        <v>85</v>
      </c>
      <c r="BK143" s="152">
        <f>ROUND(I143*H143,2)</f>
        <v>0</v>
      </c>
      <c r="BL143" s="19" t="s">
        <v>185</v>
      </c>
      <c r="BM143" s="151" t="s">
        <v>962</v>
      </c>
    </row>
    <row r="144" spans="1:65" s="2" customFormat="1">
      <c r="A144" s="34"/>
      <c r="B144" s="35"/>
      <c r="C144" s="34"/>
      <c r="D144" s="153" t="s">
        <v>187</v>
      </c>
      <c r="E144" s="34"/>
      <c r="F144" s="154" t="s">
        <v>616</v>
      </c>
      <c r="G144" s="34"/>
      <c r="H144" s="34"/>
      <c r="I144" s="155"/>
      <c r="J144" s="34"/>
      <c r="K144" s="34"/>
      <c r="L144" s="35"/>
      <c r="M144" s="156"/>
      <c r="N144" s="157"/>
      <c r="O144" s="55"/>
      <c r="P144" s="55"/>
      <c r="Q144" s="55"/>
      <c r="R144" s="55"/>
      <c r="S144" s="55"/>
      <c r="T144" s="56"/>
      <c r="U144" s="34"/>
      <c r="V144" s="34"/>
      <c r="W144" s="34"/>
      <c r="X144" s="34"/>
      <c r="Y144" s="34"/>
      <c r="Z144" s="34"/>
      <c r="AA144" s="34"/>
      <c r="AB144" s="34"/>
      <c r="AC144" s="34"/>
      <c r="AD144" s="34"/>
      <c r="AE144" s="34"/>
      <c r="AT144" s="19" t="s">
        <v>187</v>
      </c>
      <c r="AU144" s="19" t="s">
        <v>87</v>
      </c>
    </row>
    <row r="145" spans="1:65" s="2" customFormat="1" ht="68.25">
      <c r="A145" s="34"/>
      <c r="B145" s="35"/>
      <c r="C145" s="34"/>
      <c r="D145" s="153" t="s">
        <v>191</v>
      </c>
      <c r="E145" s="34"/>
      <c r="F145" s="160" t="s">
        <v>604</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191</v>
      </c>
      <c r="AU145" s="19" t="s">
        <v>87</v>
      </c>
    </row>
    <row r="146" spans="1:65" s="14" customFormat="1">
      <c r="B146" s="169"/>
      <c r="D146" s="153" t="s">
        <v>193</v>
      </c>
      <c r="E146" s="170" t="s">
        <v>3</v>
      </c>
      <c r="F146" s="171" t="s">
        <v>963</v>
      </c>
      <c r="H146" s="170" t="s">
        <v>3</v>
      </c>
      <c r="I146" s="172"/>
      <c r="L146" s="169"/>
      <c r="M146" s="173"/>
      <c r="N146" s="174"/>
      <c r="O146" s="174"/>
      <c r="P146" s="174"/>
      <c r="Q146" s="174"/>
      <c r="R146" s="174"/>
      <c r="S146" s="174"/>
      <c r="T146" s="175"/>
      <c r="AT146" s="170" t="s">
        <v>193</v>
      </c>
      <c r="AU146" s="170" t="s">
        <v>87</v>
      </c>
      <c r="AV146" s="14" t="s">
        <v>85</v>
      </c>
      <c r="AW146" s="14" t="s">
        <v>36</v>
      </c>
      <c r="AX146" s="14" t="s">
        <v>77</v>
      </c>
      <c r="AY146" s="170" t="s">
        <v>177</v>
      </c>
    </row>
    <row r="147" spans="1:65" s="13" customFormat="1">
      <c r="B147" s="161"/>
      <c r="D147" s="153" t="s">
        <v>193</v>
      </c>
      <c r="E147" s="162" t="s">
        <v>3</v>
      </c>
      <c r="F147" s="163" t="s">
        <v>964</v>
      </c>
      <c r="H147" s="164">
        <v>55.3</v>
      </c>
      <c r="I147" s="165"/>
      <c r="L147" s="161"/>
      <c r="M147" s="166"/>
      <c r="N147" s="167"/>
      <c r="O147" s="167"/>
      <c r="P147" s="167"/>
      <c r="Q147" s="167"/>
      <c r="R147" s="167"/>
      <c r="S147" s="167"/>
      <c r="T147" s="168"/>
      <c r="AT147" s="162" t="s">
        <v>193</v>
      </c>
      <c r="AU147" s="162" t="s">
        <v>87</v>
      </c>
      <c r="AV147" s="13" t="s">
        <v>87</v>
      </c>
      <c r="AW147" s="13" t="s">
        <v>36</v>
      </c>
      <c r="AX147" s="13" t="s">
        <v>77</v>
      </c>
      <c r="AY147" s="162" t="s">
        <v>177</v>
      </c>
    </row>
    <row r="148" spans="1:65" s="13" customFormat="1">
      <c r="B148" s="161"/>
      <c r="D148" s="153" t="s">
        <v>193</v>
      </c>
      <c r="E148" s="162" t="s">
        <v>3</v>
      </c>
      <c r="F148" s="163" t="s">
        <v>965</v>
      </c>
      <c r="H148" s="164">
        <v>31.6</v>
      </c>
      <c r="I148" s="165"/>
      <c r="L148" s="161"/>
      <c r="M148" s="166"/>
      <c r="N148" s="167"/>
      <c r="O148" s="167"/>
      <c r="P148" s="167"/>
      <c r="Q148" s="167"/>
      <c r="R148" s="167"/>
      <c r="S148" s="167"/>
      <c r="T148" s="168"/>
      <c r="AT148" s="162" t="s">
        <v>193</v>
      </c>
      <c r="AU148" s="162" t="s">
        <v>87</v>
      </c>
      <c r="AV148" s="13" t="s">
        <v>87</v>
      </c>
      <c r="AW148" s="13" t="s">
        <v>36</v>
      </c>
      <c r="AX148" s="13" t="s">
        <v>77</v>
      </c>
      <c r="AY148" s="162" t="s">
        <v>177</v>
      </c>
    </row>
    <row r="149" spans="1:65" s="16" customFormat="1">
      <c r="B149" s="184"/>
      <c r="D149" s="153" t="s">
        <v>193</v>
      </c>
      <c r="E149" s="185" t="s">
        <v>3</v>
      </c>
      <c r="F149" s="186" t="s">
        <v>201</v>
      </c>
      <c r="H149" s="187">
        <v>86.9</v>
      </c>
      <c r="I149" s="188"/>
      <c r="L149" s="184"/>
      <c r="M149" s="189"/>
      <c r="N149" s="190"/>
      <c r="O149" s="190"/>
      <c r="P149" s="190"/>
      <c r="Q149" s="190"/>
      <c r="R149" s="190"/>
      <c r="S149" s="190"/>
      <c r="T149" s="191"/>
      <c r="AT149" s="185" t="s">
        <v>193</v>
      </c>
      <c r="AU149" s="185" t="s">
        <v>87</v>
      </c>
      <c r="AV149" s="16" t="s">
        <v>185</v>
      </c>
      <c r="AW149" s="16" t="s">
        <v>36</v>
      </c>
      <c r="AX149" s="16" t="s">
        <v>85</v>
      </c>
      <c r="AY149" s="185" t="s">
        <v>177</v>
      </c>
    </row>
    <row r="150" spans="1:65" s="2" customFormat="1" ht="16.5" customHeight="1">
      <c r="A150" s="34"/>
      <c r="B150" s="139"/>
      <c r="C150" s="140" t="s">
        <v>248</v>
      </c>
      <c r="D150" s="140" t="s">
        <v>180</v>
      </c>
      <c r="E150" s="141" t="s">
        <v>619</v>
      </c>
      <c r="F150" s="142" t="s">
        <v>620</v>
      </c>
      <c r="G150" s="143" t="s">
        <v>476</v>
      </c>
      <c r="H150" s="144">
        <v>28.48</v>
      </c>
      <c r="I150" s="145"/>
      <c r="J150" s="146">
        <f>ROUND(I150*H150,2)</f>
        <v>0</v>
      </c>
      <c r="K150" s="142" t="s">
        <v>184</v>
      </c>
      <c r="L150" s="35"/>
      <c r="M150" s="147" t="s">
        <v>3</v>
      </c>
      <c r="N150" s="148" t="s">
        <v>48</v>
      </c>
      <c r="O150" s="55"/>
      <c r="P150" s="149">
        <f>O150*H150</f>
        <v>0</v>
      </c>
      <c r="Q150" s="149">
        <v>3.0599999999999998E-3</v>
      </c>
      <c r="R150" s="149">
        <f>Q150*H150</f>
        <v>8.7148799999999998E-2</v>
      </c>
      <c r="S150" s="149">
        <v>0</v>
      </c>
      <c r="T150" s="150">
        <f>S150*H150</f>
        <v>0</v>
      </c>
      <c r="U150" s="34"/>
      <c r="V150" s="34"/>
      <c r="W150" s="34"/>
      <c r="X150" s="34"/>
      <c r="Y150" s="34"/>
      <c r="Z150" s="34"/>
      <c r="AA150" s="34"/>
      <c r="AB150" s="34"/>
      <c r="AC150" s="34"/>
      <c r="AD150" s="34"/>
      <c r="AE150" s="34"/>
      <c r="AR150" s="151" t="s">
        <v>185</v>
      </c>
      <c r="AT150" s="151" t="s">
        <v>180</v>
      </c>
      <c r="AU150" s="151" t="s">
        <v>87</v>
      </c>
      <c r="AY150" s="19" t="s">
        <v>177</v>
      </c>
      <c r="BE150" s="152">
        <f>IF(N150="základní",J150,0)</f>
        <v>0</v>
      </c>
      <c r="BF150" s="152">
        <f>IF(N150="snížená",J150,0)</f>
        <v>0</v>
      </c>
      <c r="BG150" s="152">
        <f>IF(N150="zákl. přenesená",J150,0)</f>
        <v>0</v>
      </c>
      <c r="BH150" s="152">
        <f>IF(N150="sníž. přenesená",J150,0)</f>
        <v>0</v>
      </c>
      <c r="BI150" s="152">
        <f>IF(N150="nulová",J150,0)</f>
        <v>0</v>
      </c>
      <c r="BJ150" s="19" t="s">
        <v>85</v>
      </c>
      <c r="BK150" s="152">
        <f>ROUND(I150*H150,2)</f>
        <v>0</v>
      </c>
      <c r="BL150" s="19" t="s">
        <v>185</v>
      </c>
      <c r="BM150" s="151" t="s">
        <v>966</v>
      </c>
    </row>
    <row r="151" spans="1:65" s="2" customFormat="1">
      <c r="A151" s="34"/>
      <c r="B151" s="35"/>
      <c r="C151" s="34"/>
      <c r="D151" s="153" t="s">
        <v>187</v>
      </c>
      <c r="E151" s="34"/>
      <c r="F151" s="154" t="s">
        <v>622</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187</v>
      </c>
      <c r="AU151" s="19" t="s">
        <v>87</v>
      </c>
    </row>
    <row r="152" spans="1:65" s="2" customFormat="1">
      <c r="A152" s="34"/>
      <c r="B152" s="35"/>
      <c r="C152" s="34"/>
      <c r="D152" s="158" t="s">
        <v>189</v>
      </c>
      <c r="E152" s="34"/>
      <c r="F152" s="159" t="s">
        <v>623</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189</v>
      </c>
      <c r="AU152" s="19" t="s">
        <v>87</v>
      </c>
    </row>
    <row r="153" spans="1:65" s="2" customFormat="1" ht="68.25">
      <c r="A153" s="34"/>
      <c r="B153" s="35"/>
      <c r="C153" s="34"/>
      <c r="D153" s="153" t="s">
        <v>191</v>
      </c>
      <c r="E153" s="34"/>
      <c r="F153" s="160" t="s">
        <v>604</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191</v>
      </c>
      <c r="AU153" s="19" t="s">
        <v>87</v>
      </c>
    </row>
    <row r="154" spans="1:65" s="14" customFormat="1">
      <c r="B154" s="169"/>
      <c r="D154" s="153" t="s">
        <v>193</v>
      </c>
      <c r="E154" s="170" t="s">
        <v>3</v>
      </c>
      <c r="F154" s="171" t="s">
        <v>939</v>
      </c>
      <c r="H154" s="170" t="s">
        <v>3</v>
      </c>
      <c r="I154" s="172"/>
      <c r="L154" s="169"/>
      <c r="M154" s="173"/>
      <c r="N154" s="174"/>
      <c r="O154" s="174"/>
      <c r="P154" s="174"/>
      <c r="Q154" s="174"/>
      <c r="R154" s="174"/>
      <c r="S154" s="174"/>
      <c r="T154" s="175"/>
      <c r="AT154" s="170" t="s">
        <v>193</v>
      </c>
      <c r="AU154" s="170" t="s">
        <v>87</v>
      </c>
      <c r="AV154" s="14" t="s">
        <v>85</v>
      </c>
      <c r="AW154" s="14" t="s">
        <v>36</v>
      </c>
      <c r="AX154" s="14" t="s">
        <v>77</v>
      </c>
      <c r="AY154" s="170" t="s">
        <v>177</v>
      </c>
    </row>
    <row r="155" spans="1:65" s="13" customFormat="1">
      <c r="B155" s="161"/>
      <c r="D155" s="153" t="s">
        <v>193</v>
      </c>
      <c r="E155" s="162" t="s">
        <v>3</v>
      </c>
      <c r="F155" s="163" t="s">
        <v>967</v>
      </c>
      <c r="H155" s="164">
        <v>28.48</v>
      </c>
      <c r="I155" s="165"/>
      <c r="L155" s="161"/>
      <c r="M155" s="166"/>
      <c r="N155" s="167"/>
      <c r="O155" s="167"/>
      <c r="P155" s="167"/>
      <c r="Q155" s="167"/>
      <c r="R155" s="167"/>
      <c r="S155" s="167"/>
      <c r="T155" s="168"/>
      <c r="AT155" s="162" t="s">
        <v>193</v>
      </c>
      <c r="AU155" s="162" t="s">
        <v>87</v>
      </c>
      <c r="AV155" s="13" t="s">
        <v>87</v>
      </c>
      <c r="AW155" s="13" t="s">
        <v>36</v>
      </c>
      <c r="AX155" s="13" t="s">
        <v>85</v>
      </c>
      <c r="AY155" s="162" t="s">
        <v>177</v>
      </c>
    </row>
    <row r="156" spans="1:65" s="2" customFormat="1" ht="16.5" customHeight="1">
      <c r="A156" s="34"/>
      <c r="B156" s="139"/>
      <c r="C156" s="140" t="s">
        <v>252</v>
      </c>
      <c r="D156" s="140" t="s">
        <v>180</v>
      </c>
      <c r="E156" s="141" t="s">
        <v>968</v>
      </c>
      <c r="F156" s="142" t="s">
        <v>969</v>
      </c>
      <c r="G156" s="143" t="s">
        <v>332</v>
      </c>
      <c r="H156" s="144">
        <v>1.5049999999999999</v>
      </c>
      <c r="I156" s="145"/>
      <c r="J156" s="146">
        <f>ROUND(I156*H156,2)</f>
        <v>0</v>
      </c>
      <c r="K156" s="142" t="s">
        <v>184</v>
      </c>
      <c r="L156" s="35"/>
      <c r="M156" s="147" t="s">
        <v>3</v>
      </c>
      <c r="N156" s="148" t="s">
        <v>48</v>
      </c>
      <c r="O156" s="55"/>
      <c r="P156" s="149">
        <f>O156*H156</f>
        <v>0</v>
      </c>
      <c r="Q156" s="149">
        <v>0.26723000000000002</v>
      </c>
      <c r="R156" s="149">
        <f>Q156*H156</f>
        <v>0.40218114999999999</v>
      </c>
      <c r="S156" s="149">
        <v>0</v>
      </c>
      <c r="T156" s="150">
        <f>S156*H156</f>
        <v>0</v>
      </c>
      <c r="U156" s="34"/>
      <c r="V156" s="34"/>
      <c r="W156" s="34"/>
      <c r="X156" s="34"/>
      <c r="Y156" s="34"/>
      <c r="Z156" s="34"/>
      <c r="AA156" s="34"/>
      <c r="AB156" s="34"/>
      <c r="AC156" s="34"/>
      <c r="AD156" s="34"/>
      <c r="AE156" s="34"/>
      <c r="AR156" s="151" t="s">
        <v>185</v>
      </c>
      <c r="AT156" s="151" t="s">
        <v>180</v>
      </c>
      <c r="AU156" s="151" t="s">
        <v>87</v>
      </c>
      <c r="AY156" s="19" t="s">
        <v>177</v>
      </c>
      <c r="BE156" s="152">
        <f>IF(N156="základní",J156,0)</f>
        <v>0</v>
      </c>
      <c r="BF156" s="152">
        <f>IF(N156="snížená",J156,0)</f>
        <v>0</v>
      </c>
      <c r="BG156" s="152">
        <f>IF(N156="zákl. přenesená",J156,0)</f>
        <v>0</v>
      </c>
      <c r="BH156" s="152">
        <f>IF(N156="sníž. přenesená",J156,0)</f>
        <v>0</v>
      </c>
      <c r="BI156" s="152">
        <f>IF(N156="nulová",J156,0)</f>
        <v>0</v>
      </c>
      <c r="BJ156" s="19" t="s">
        <v>85</v>
      </c>
      <c r="BK156" s="152">
        <f>ROUND(I156*H156,2)</f>
        <v>0</v>
      </c>
      <c r="BL156" s="19" t="s">
        <v>185</v>
      </c>
      <c r="BM156" s="151" t="s">
        <v>970</v>
      </c>
    </row>
    <row r="157" spans="1:65" s="2" customFormat="1">
      <c r="A157" s="34"/>
      <c r="B157" s="35"/>
      <c r="C157" s="34"/>
      <c r="D157" s="153" t="s">
        <v>187</v>
      </c>
      <c r="E157" s="34"/>
      <c r="F157" s="154" t="s">
        <v>971</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187</v>
      </c>
      <c r="AU157" s="19" t="s">
        <v>87</v>
      </c>
    </row>
    <row r="158" spans="1:65" s="2" customFormat="1">
      <c r="A158" s="34"/>
      <c r="B158" s="35"/>
      <c r="C158" s="34"/>
      <c r="D158" s="158" t="s">
        <v>189</v>
      </c>
      <c r="E158" s="34"/>
      <c r="F158" s="159" t="s">
        <v>972</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189</v>
      </c>
      <c r="AU158" s="19" t="s">
        <v>87</v>
      </c>
    </row>
    <row r="159" spans="1:65" s="2" customFormat="1" ht="58.5">
      <c r="A159" s="34"/>
      <c r="B159" s="35"/>
      <c r="C159" s="34"/>
      <c r="D159" s="153" t="s">
        <v>191</v>
      </c>
      <c r="E159" s="34"/>
      <c r="F159" s="160" t="s">
        <v>973</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191</v>
      </c>
      <c r="AU159" s="19" t="s">
        <v>87</v>
      </c>
    </row>
    <row r="160" spans="1:65" s="14" customFormat="1">
      <c r="B160" s="169"/>
      <c r="D160" s="153" t="s">
        <v>193</v>
      </c>
      <c r="E160" s="170" t="s">
        <v>3</v>
      </c>
      <c r="F160" s="171" t="s">
        <v>931</v>
      </c>
      <c r="H160" s="170" t="s">
        <v>3</v>
      </c>
      <c r="I160" s="172"/>
      <c r="L160" s="169"/>
      <c r="M160" s="173"/>
      <c r="N160" s="174"/>
      <c r="O160" s="174"/>
      <c r="P160" s="174"/>
      <c r="Q160" s="174"/>
      <c r="R160" s="174"/>
      <c r="S160" s="174"/>
      <c r="T160" s="175"/>
      <c r="AT160" s="170" t="s">
        <v>193</v>
      </c>
      <c r="AU160" s="170" t="s">
        <v>87</v>
      </c>
      <c r="AV160" s="14" t="s">
        <v>85</v>
      </c>
      <c r="AW160" s="14" t="s">
        <v>36</v>
      </c>
      <c r="AX160" s="14" t="s">
        <v>77</v>
      </c>
      <c r="AY160" s="170" t="s">
        <v>177</v>
      </c>
    </row>
    <row r="161" spans="1:65" s="13" customFormat="1">
      <c r="B161" s="161"/>
      <c r="D161" s="153" t="s">
        <v>193</v>
      </c>
      <c r="E161" s="162" t="s">
        <v>3</v>
      </c>
      <c r="F161" s="163" t="s">
        <v>974</v>
      </c>
      <c r="H161" s="164">
        <v>1.5049999999999999</v>
      </c>
      <c r="I161" s="165"/>
      <c r="L161" s="161"/>
      <c r="M161" s="166"/>
      <c r="N161" s="167"/>
      <c r="O161" s="167"/>
      <c r="P161" s="167"/>
      <c r="Q161" s="167"/>
      <c r="R161" s="167"/>
      <c r="S161" s="167"/>
      <c r="T161" s="168"/>
      <c r="AT161" s="162" t="s">
        <v>193</v>
      </c>
      <c r="AU161" s="162" t="s">
        <v>87</v>
      </c>
      <c r="AV161" s="13" t="s">
        <v>87</v>
      </c>
      <c r="AW161" s="13" t="s">
        <v>36</v>
      </c>
      <c r="AX161" s="13" t="s">
        <v>85</v>
      </c>
      <c r="AY161" s="162" t="s">
        <v>177</v>
      </c>
    </row>
    <row r="162" spans="1:65" s="12" customFormat="1" ht="22.9" customHeight="1">
      <c r="B162" s="126"/>
      <c r="D162" s="127" t="s">
        <v>76</v>
      </c>
      <c r="E162" s="137" t="s">
        <v>233</v>
      </c>
      <c r="F162" s="137" t="s">
        <v>626</v>
      </c>
      <c r="I162" s="129"/>
      <c r="J162" s="138">
        <f>BK162</f>
        <v>0</v>
      </c>
      <c r="L162" s="126"/>
      <c r="M162" s="131"/>
      <c r="N162" s="132"/>
      <c r="O162" s="132"/>
      <c r="P162" s="133">
        <f>SUM(P163:P178)</f>
        <v>0</v>
      </c>
      <c r="Q162" s="132"/>
      <c r="R162" s="133">
        <f>SUM(R163:R178)</f>
        <v>1.0827086399999999</v>
      </c>
      <c r="S162" s="132"/>
      <c r="T162" s="134">
        <f>SUM(T163:T178)</f>
        <v>0</v>
      </c>
      <c r="AR162" s="127" t="s">
        <v>85</v>
      </c>
      <c r="AT162" s="135" t="s">
        <v>76</v>
      </c>
      <c r="AU162" s="135" t="s">
        <v>85</v>
      </c>
      <c r="AY162" s="127" t="s">
        <v>177</v>
      </c>
      <c r="BK162" s="136">
        <f>SUM(BK163:BK178)</f>
        <v>0</v>
      </c>
    </row>
    <row r="163" spans="1:65" s="2" customFormat="1" ht="16.5" customHeight="1">
      <c r="A163" s="34"/>
      <c r="B163" s="139"/>
      <c r="C163" s="140" t="s">
        <v>258</v>
      </c>
      <c r="D163" s="140" t="s">
        <v>180</v>
      </c>
      <c r="E163" s="141" t="s">
        <v>627</v>
      </c>
      <c r="F163" s="142" t="s">
        <v>628</v>
      </c>
      <c r="G163" s="143" t="s">
        <v>332</v>
      </c>
      <c r="H163" s="144">
        <v>17.22</v>
      </c>
      <c r="I163" s="145"/>
      <c r="J163" s="146">
        <f>ROUND(I163*H163,2)</f>
        <v>0</v>
      </c>
      <c r="K163" s="142" t="s">
        <v>184</v>
      </c>
      <c r="L163" s="35"/>
      <c r="M163" s="147" t="s">
        <v>3</v>
      </c>
      <c r="N163" s="148" t="s">
        <v>48</v>
      </c>
      <c r="O163" s="55"/>
      <c r="P163" s="149">
        <f>O163*H163</f>
        <v>0</v>
      </c>
      <c r="Q163" s="149">
        <v>4.2599999999999999E-2</v>
      </c>
      <c r="R163" s="149">
        <f>Q163*H163</f>
        <v>0.73357199999999989</v>
      </c>
      <c r="S163" s="149">
        <v>0</v>
      </c>
      <c r="T163" s="150">
        <f>S163*H163</f>
        <v>0</v>
      </c>
      <c r="U163" s="34"/>
      <c r="V163" s="34"/>
      <c r="W163" s="34"/>
      <c r="X163" s="34"/>
      <c r="Y163" s="34"/>
      <c r="Z163" s="34"/>
      <c r="AA163" s="34"/>
      <c r="AB163" s="34"/>
      <c r="AC163" s="34"/>
      <c r="AD163" s="34"/>
      <c r="AE163" s="34"/>
      <c r="AR163" s="151" t="s">
        <v>185</v>
      </c>
      <c r="AT163" s="151" t="s">
        <v>180</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975</v>
      </c>
    </row>
    <row r="164" spans="1:65" s="2" customFormat="1">
      <c r="A164" s="34"/>
      <c r="B164" s="35"/>
      <c r="C164" s="34"/>
      <c r="D164" s="153" t="s">
        <v>187</v>
      </c>
      <c r="E164" s="34"/>
      <c r="F164" s="154" t="s">
        <v>630</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c r="A165" s="34"/>
      <c r="B165" s="35"/>
      <c r="C165" s="34"/>
      <c r="D165" s="158" t="s">
        <v>189</v>
      </c>
      <c r="E165" s="34"/>
      <c r="F165" s="159" t="s">
        <v>631</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87</v>
      </c>
    </row>
    <row r="166" spans="1:65" s="2" customFormat="1" ht="39">
      <c r="A166" s="34"/>
      <c r="B166" s="35"/>
      <c r="C166" s="34"/>
      <c r="D166" s="153" t="s">
        <v>191</v>
      </c>
      <c r="E166" s="34"/>
      <c r="F166" s="160" t="s">
        <v>632</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191</v>
      </c>
      <c r="AU166" s="19" t="s">
        <v>87</v>
      </c>
    </row>
    <row r="167" spans="1:65" s="13" customFormat="1">
      <c r="B167" s="161"/>
      <c r="D167" s="153" t="s">
        <v>193</v>
      </c>
      <c r="E167" s="162" t="s">
        <v>3</v>
      </c>
      <c r="F167" s="163" t="s">
        <v>976</v>
      </c>
      <c r="H167" s="164">
        <v>5.7</v>
      </c>
      <c r="I167" s="165"/>
      <c r="L167" s="161"/>
      <c r="M167" s="166"/>
      <c r="N167" s="167"/>
      <c r="O167" s="167"/>
      <c r="P167" s="167"/>
      <c r="Q167" s="167"/>
      <c r="R167" s="167"/>
      <c r="S167" s="167"/>
      <c r="T167" s="168"/>
      <c r="AT167" s="162" t="s">
        <v>193</v>
      </c>
      <c r="AU167" s="162" t="s">
        <v>87</v>
      </c>
      <c r="AV167" s="13" t="s">
        <v>87</v>
      </c>
      <c r="AW167" s="13" t="s">
        <v>36</v>
      </c>
      <c r="AX167" s="13" t="s">
        <v>77</v>
      </c>
      <c r="AY167" s="162" t="s">
        <v>177</v>
      </c>
    </row>
    <row r="168" spans="1:65" s="13" customFormat="1">
      <c r="B168" s="161"/>
      <c r="D168" s="153" t="s">
        <v>193</v>
      </c>
      <c r="E168" s="162" t="s">
        <v>3</v>
      </c>
      <c r="F168" s="163" t="s">
        <v>977</v>
      </c>
      <c r="H168" s="164">
        <v>11.52</v>
      </c>
      <c r="I168" s="165"/>
      <c r="L168" s="161"/>
      <c r="M168" s="166"/>
      <c r="N168" s="167"/>
      <c r="O168" s="167"/>
      <c r="P168" s="167"/>
      <c r="Q168" s="167"/>
      <c r="R168" s="167"/>
      <c r="S168" s="167"/>
      <c r="T168" s="168"/>
      <c r="AT168" s="162" t="s">
        <v>193</v>
      </c>
      <c r="AU168" s="162" t="s">
        <v>87</v>
      </c>
      <c r="AV168" s="13" t="s">
        <v>87</v>
      </c>
      <c r="AW168" s="13" t="s">
        <v>36</v>
      </c>
      <c r="AX168" s="13" t="s">
        <v>77</v>
      </c>
      <c r="AY168" s="162" t="s">
        <v>177</v>
      </c>
    </row>
    <row r="169" spans="1:65" s="16" customFormat="1">
      <c r="B169" s="184"/>
      <c r="D169" s="153" t="s">
        <v>193</v>
      </c>
      <c r="E169" s="185" t="s">
        <v>3</v>
      </c>
      <c r="F169" s="186" t="s">
        <v>201</v>
      </c>
      <c r="H169" s="187">
        <v>17.22</v>
      </c>
      <c r="I169" s="188"/>
      <c r="L169" s="184"/>
      <c r="M169" s="189"/>
      <c r="N169" s="190"/>
      <c r="O169" s="190"/>
      <c r="P169" s="190"/>
      <c r="Q169" s="190"/>
      <c r="R169" s="190"/>
      <c r="S169" s="190"/>
      <c r="T169" s="191"/>
      <c r="AT169" s="185" t="s">
        <v>193</v>
      </c>
      <c r="AU169" s="185" t="s">
        <v>87</v>
      </c>
      <c r="AV169" s="16" t="s">
        <v>185</v>
      </c>
      <c r="AW169" s="16" t="s">
        <v>36</v>
      </c>
      <c r="AX169" s="16" t="s">
        <v>85</v>
      </c>
      <c r="AY169" s="185" t="s">
        <v>177</v>
      </c>
    </row>
    <row r="170" spans="1:65" s="2" customFormat="1" ht="16.5" customHeight="1">
      <c r="A170" s="34"/>
      <c r="B170" s="139"/>
      <c r="C170" s="140" t="s">
        <v>265</v>
      </c>
      <c r="D170" s="140" t="s">
        <v>180</v>
      </c>
      <c r="E170" s="141" t="s">
        <v>634</v>
      </c>
      <c r="F170" s="142" t="s">
        <v>635</v>
      </c>
      <c r="G170" s="143" t="s">
        <v>332</v>
      </c>
      <c r="H170" s="144">
        <v>17.22</v>
      </c>
      <c r="I170" s="145"/>
      <c r="J170" s="146">
        <f>ROUND(I170*H170,2)</f>
        <v>0</v>
      </c>
      <c r="K170" s="142" t="s">
        <v>184</v>
      </c>
      <c r="L170" s="35"/>
      <c r="M170" s="147" t="s">
        <v>3</v>
      </c>
      <c r="N170" s="148" t="s">
        <v>48</v>
      </c>
      <c r="O170" s="55"/>
      <c r="P170" s="149">
        <f>O170*H170</f>
        <v>0</v>
      </c>
      <c r="Q170" s="149">
        <v>8.52E-4</v>
      </c>
      <c r="R170" s="149">
        <f>Q170*H170</f>
        <v>1.4671439999999999E-2</v>
      </c>
      <c r="S170" s="149">
        <v>0</v>
      </c>
      <c r="T170" s="150">
        <f>S170*H170</f>
        <v>0</v>
      </c>
      <c r="U170" s="34"/>
      <c r="V170" s="34"/>
      <c r="W170" s="34"/>
      <c r="X170" s="34"/>
      <c r="Y170" s="34"/>
      <c r="Z170" s="34"/>
      <c r="AA170" s="34"/>
      <c r="AB170" s="34"/>
      <c r="AC170" s="34"/>
      <c r="AD170" s="34"/>
      <c r="AE170" s="34"/>
      <c r="AR170" s="151" t="s">
        <v>185</v>
      </c>
      <c r="AT170" s="151" t="s">
        <v>180</v>
      </c>
      <c r="AU170" s="151" t="s">
        <v>87</v>
      </c>
      <c r="AY170" s="19" t="s">
        <v>177</v>
      </c>
      <c r="BE170" s="152">
        <f>IF(N170="základní",J170,0)</f>
        <v>0</v>
      </c>
      <c r="BF170" s="152">
        <f>IF(N170="snížená",J170,0)</f>
        <v>0</v>
      </c>
      <c r="BG170" s="152">
        <f>IF(N170="zákl. přenesená",J170,0)</f>
        <v>0</v>
      </c>
      <c r="BH170" s="152">
        <f>IF(N170="sníž. přenesená",J170,0)</f>
        <v>0</v>
      </c>
      <c r="BI170" s="152">
        <f>IF(N170="nulová",J170,0)</f>
        <v>0</v>
      </c>
      <c r="BJ170" s="19" t="s">
        <v>85</v>
      </c>
      <c r="BK170" s="152">
        <f>ROUND(I170*H170,2)</f>
        <v>0</v>
      </c>
      <c r="BL170" s="19" t="s">
        <v>185</v>
      </c>
      <c r="BM170" s="151" t="s">
        <v>978</v>
      </c>
    </row>
    <row r="171" spans="1:65" s="2" customFormat="1">
      <c r="A171" s="34"/>
      <c r="B171" s="35"/>
      <c r="C171" s="34"/>
      <c r="D171" s="153" t="s">
        <v>187</v>
      </c>
      <c r="E171" s="34"/>
      <c r="F171" s="154" t="s">
        <v>637</v>
      </c>
      <c r="G171" s="34"/>
      <c r="H171" s="34"/>
      <c r="I171" s="155"/>
      <c r="J171" s="34"/>
      <c r="K171" s="34"/>
      <c r="L171" s="35"/>
      <c r="M171" s="156"/>
      <c r="N171" s="157"/>
      <c r="O171" s="55"/>
      <c r="P171" s="55"/>
      <c r="Q171" s="55"/>
      <c r="R171" s="55"/>
      <c r="S171" s="55"/>
      <c r="T171" s="56"/>
      <c r="U171" s="34"/>
      <c r="V171" s="34"/>
      <c r="W171" s="34"/>
      <c r="X171" s="34"/>
      <c r="Y171" s="34"/>
      <c r="Z171" s="34"/>
      <c r="AA171" s="34"/>
      <c r="AB171" s="34"/>
      <c r="AC171" s="34"/>
      <c r="AD171" s="34"/>
      <c r="AE171" s="34"/>
      <c r="AT171" s="19" t="s">
        <v>187</v>
      </c>
      <c r="AU171" s="19" t="s">
        <v>87</v>
      </c>
    </row>
    <row r="172" spans="1:65" s="2" customFormat="1">
      <c r="A172" s="34"/>
      <c r="B172" s="35"/>
      <c r="C172" s="34"/>
      <c r="D172" s="158" t="s">
        <v>189</v>
      </c>
      <c r="E172" s="34"/>
      <c r="F172" s="159" t="s">
        <v>638</v>
      </c>
      <c r="G172" s="34"/>
      <c r="H172" s="34"/>
      <c r="I172" s="155"/>
      <c r="J172" s="34"/>
      <c r="K172" s="34"/>
      <c r="L172" s="35"/>
      <c r="M172" s="156"/>
      <c r="N172" s="157"/>
      <c r="O172" s="55"/>
      <c r="P172" s="55"/>
      <c r="Q172" s="55"/>
      <c r="R172" s="55"/>
      <c r="S172" s="55"/>
      <c r="T172" s="56"/>
      <c r="U172" s="34"/>
      <c r="V172" s="34"/>
      <c r="W172" s="34"/>
      <c r="X172" s="34"/>
      <c r="Y172" s="34"/>
      <c r="Z172" s="34"/>
      <c r="AA172" s="34"/>
      <c r="AB172" s="34"/>
      <c r="AC172" s="34"/>
      <c r="AD172" s="34"/>
      <c r="AE172" s="34"/>
      <c r="AT172" s="19" t="s">
        <v>189</v>
      </c>
      <c r="AU172" s="19" t="s">
        <v>87</v>
      </c>
    </row>
    <row r="173" spans="1:65" s="2" customFormat="1" ht="29.25">
      <c r="A173" s="34"/>
      <c r="B173" s="35"/>
      <c r="C173" s="34"/>
      <c r="D173" s="153" t="s">
        <v>191</v>
      </c>
      <c r="E173" s="34"/>
      <c r="F173" s="160" t="s">
        <v>639</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191</v>
      </c>
      <c r="AU173" s="19" t="s">
        <v>87</v>
      </c>
    </row>
    <row r="174" spans="1:65" s="2" customFormat="1" ht="16.5" customHeight="1">
      <c r="A174" s="34"/>
      <c r="B174" s="139"/>
      <c r="C174" s="140" t="s">
        <v>271</v>
      </c>
      <c r="D174" s="140" t="s">
        <v>180</v>
      </c>
      <c r="E174" s="141" t="s">
        <v>979</v>
      </c>
      <c r="F174" s="142" t="s">
        <v>980</v>
      </c>
      <c r="G174" s="143" t="s">
        <v>476</v>
      </c>
      <c r="H174" s="144">
        <v>16.2</v>
      </c>
      <c r="I174" s="145"/>
      <c r="J174" s="146">
        <f>ROUND(I174*H174,2)</f>
        <v>0</v>
      </c>
      <c r="K174" s="142" t="s">
        <v>184</v>
      </c>
      <c r="L174" s="35"/>
      <c r="M174" s="147" t="s">
        <v>3</v>
      </c>
      <c r="N174" s="148" t="s">
        <v>48</v>
      </c>
      <c r="O174" s="55"/>
      <c r="P174" s="149">
        <f>O174*H174</f>
        <v>0</v>
      </c>
      <c r="Q174" s="149">
        <v>2.0646000000000001E-2</v>
      </c>
      <c r="R174" s="149">
        <f>Q174*H174</f>
        <v>0.33446520000000002</v>
      </c>
      <c r="S174" s="149">
        <v>0</v>
      </c>
      <c r="T174" s="150">
        <f>S174*H174</f>
        <v>0</v>
      </c>
      <c r="U174" s="34"/>
      <c r="V174" s="34"/>
      <c r="W174" s="34"/>
      <c r="X174" s="34"/>
      <c r="Y174" s="34"/>
      <c r="Z174" s="34"/>
      <c r="AA174" s="34"/>
      <c r="AB174" s="34"/>
      <c r="AC174" s="34"/>
      <c r="AD174" s="34"/>
      <c r="AE174" s="34"/>
      <c r="AR174" s="151" t="s">
        <v>185</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981</v>
      </c>
    </row>
    <row r="175" spans="1:65" s="2" customFormat="1">
      <c r="A175" s="34"/>
      <c r="B175" s="35"/>
      <c r="C175" s="34"/>
      <c r="D175" s="153" t="s">
        <v>187</v>
      </c>
      <c r="E175" s="34"/>
      <c r="F175" s="154" t="s">
        <v>982</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983</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14" customFormat="1">
      <c r="B177" s="169"/>
      <c r="D177" s="153" t="s">
        <v>193</v>
      </c>
      <c r="E177" s="170" t="s">
        <v>3</v>
      </c>
      <c r="F177" s="171" t="s">
        <v>984</v>
      </c>
      <c r="H177" s="170" t="s">
        <v>3</v>
      </c>
      <c r="I177" s="172"/>
      <c r="L177" s="169"/>
      <c r="M177" s="173"/>
      <c r="N177" s="174"/>
      <c r="O177" s="174"/>
      <c r="P177" s="174"/>
      <c r="Q177" s="174"/>
      <c r="R177" s="174"/>
      <c r="S177" s="174"/>
      <c r="T177" s="175"/>
      <c r="AT177" s="170" t="s">
        <v>193</v>
      </c>
      <c r="AU177" s="170" t="s">
        <v>87</v>
      </c>
      <c r="AV177" s="14" t="s">
        <v>85</v>
      </c>
      <c r="AW177" s="14" t="s">
        <v>36</v>
      </c>
      <c r="AX177" s="14" t="s">
        <v>77</v>
      </c>
      <c r="AY177" s="170" t="s">
        <v>177</v>
      </c>
    </row>
    <row r="178" spans="1:65" s="13" customFormat="1">
      <c r="B178" s="161"/>
      <c r="D178" s="153" t="s">
        <v>193</v>
      </c>
      <c r="E178" s="162" t="s">
        <v>3</v>
      </c>
      <c r="F178" s="163" t="s">
        <v>985</v>
      </c>
      <c r="H178" s="164">
        <v>16.2</v>
      </c>
      <c r="I178" s="165"/>
      <c r="L178" s="161"/>
      <c r="M178" s="166"/>
      <c r="N178" s="167"/>
      <c r="O178" s="167"/>
      <c r="P178" s="167"/>
      <c r="Q178" s="167"/>
      <c r="R178" s="167"/>
      <c r="S178" s="167"/>
      <c r="T178" s="168"/>
      <c r="AT178" s="162" t="s">
        <v>193</v>
      </c>
      <c r="AU178" s="162" t="s">
        <v>87</v>
      </c>
      <c r="AV178" s="13" t="s">
        <v>87</v>
      </c>
      <c r="AW178" s="13" t="s">
        <v>36</v>
      </c>
      <c r="AX178" s="13" t="s">
        <v>85</v>
      </c>
      <c r="AY178" s="162" t="s">
        <v>177</v>
      </c>
    </row>
    <row r="179" spans="1:65" s="12" customFormat="1" ht="22.9" customHeight="1">
      <c r="B179" s="126"/>
      <c r="D179" s="127" t="s">
        <v>76</v>
      </c>
      <c r="E179" s="137" t="s">
        <v>252</v>
      </c>
      <c r="F179" s="137" t="s">
        <v>329</v>
      </c>
      <c r="I179" s="129"/>
      <c r="J179" s="138">
        <f>BK179</f>
        <v>0</v>
      </c>
      <c r="L179" s="126"/>
      <c r="M179" s="131"/>
      <c r="N179" s="132"/>
      <c r="O179" s="132"/>
      <c r="P179" s="133">
        <f>SUM(P180:P404)</f>
        <v>0</v>
      </c>
      <c r="Q179" s="132"/>
      <c r="R179" s="133">
        <f>SUM(R180:R404)</f>
        <v>10.7230398594</v>
      </c>
      <c r="S179" s="132"/>
      <c r="T179" s="134">
        <f>SUM(T180:T404)</f>
        <v>157.63397000000003</v>
      </c>
      <c r="AR179" s="127" t="s">
        <v>85</v>
      </c>
      <c r="AT179" s="135" t="s">
        <v>76</v>
      </c>
      <c r="AU179" s="135" t="s">
        <v>85</v>
      </c>
      <c r="AY179" s="127" t="s">
        <v>177</v>
      </c>
      <c r="BK179" s="136">
        <f>SUM(BK180:BK404)</f>
        <v>0</v>
      </c>
    </row>
    <row r="180" spans="1:65" s="2" customFormat="1" ht="21.75" customHeight="1">
      <c r="A180" s="34"/>
      <c r="B180" s="139"/>
      <c r="C180" s="140" t="s">
        <v>277</v>
      </c>
      <c r="D180" s="140" t="s">
        <v>180</v>
      </c>
      <c r="E180" s="141" t="s">
        <v>648</v>
      </c>
      <c r="F180" s="142" t="s">
        <v>649</v>
      </c>
      <c r="G180" s="143" t="s">
        <v>332</v>
      </c>
      <c r="H180" s="144">
        <v>380</v>
      </c>
      <c r="I180" s="145"/>
      <c r="J180" s="146">
        <f>ROUND(I180*H180,2)</f>
        <v>0</v>
      </c>
      <c r="K180" s="142" t="s">
        <v>184</v>
      </c>
      <c r="L180" s="35"/>
      <c r="M180" s="147" t="s">
        <v>3</v>
      </c>
      <c r="N180" s="148" t="s">
        <v>48</v>
      </c>
      <c r="O180" s="55"/>
      <c r="P180" s="149">
        <f>O180*H180</f>
        <v>0</v>
      </c>
      <c r="Q180" s="149">
        <v>0</v>
      </c>
      <c r="R180" s="149">
        <f>Q180*H180</f>
        <v>0</v>
      </c>
      <c r="S180" s="149">
        <v>0</v>
      </c>
      <c r="T180" s="150">
        <f>S180*H180</f>
        <v>0</v>
      </c>
      <c r="U180" s="34"/>
      <c r="V180" s="34"/>
      <c r="W180" s="34"/>
      <c r="X180" s="34"/>
      <c r="Y180" s="34"/>
      <c r="Z180" s="34"/>
      <c r="AA180" s="34"/>
      <c r="AB180" s="34"/>
      <c r="AC180" s="34"/>
      <c r="AD180" s="34"/>
      <c r="AE180" s="34"/>
      <c r="AR180" s="151" t="s">
        <v>185</v>
      </c>
      <c r="AT180" s="151" t="s">
        <v>180</v>
      </c>
      <c r="AU180" s="151" t="s">
        <v>87</v>
      </c>
      <c r="AY180" s="19" t="s">
        <v>177</v>
      </c>
      <c r="BE180" s="152">
        <f>IF(N180="základní",J180,0)</f>
        <v>0</v>
      </c>
      <c r="BF180" s="152">
        <f>IF(N180="snížená",J180,0)</f>
        <v>0</v>
      </c>
      <c r="BG180" s="152">
        <f>IF(N180="zákl. přenesená",J180,0)</f>
        <v>0</v>
      </c>
      <c r="BH180" s="152">
        <f>IF(N180="sníž. přenesená",J180,0)</f>
        <v>0</v>
      </c>
      <c r="BI180" s="152">
        <f>IF(N180="nulová",J180,0)</f>
        <v>0</v>
      </c>
      <c r="BJ180" s="19" t="s">
        <v>85</v>
      </c>
      <c r="BK180" s="152">
        <f>ROUND(I180*H180,2)</f>
        <v>0</v>
      </c>
      <c r="BL180" s="19" t="s">
        <v>185</v>
      </c>
      <c r="BM180" s="151" t="s">
        <v>986</v>
      </c>
    </row>
    <row r="181" spans="1:65" s="2" customFormat="1" ht="19.5">
      <c r="A181" s="34"/>
      <c r="B181" s="35"/>
      <c r="C181" s="34"/>
      <c r="D181" s="153" t="s">
        <v>187</v>
      </c>
      <c r="E181" s="34"/>
      <c r="F181" s="154" t="s">
        <v>651</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187</v>
      </c>
      <c r="AU181" s="19" t="s">
        <v>87</v>
      </c>
    </row>
    <row r="182" spans="1:65" s="2" customFormat="1">
      <c r="A182" s="34"/>
      <c r="B182" s="35"/>
      <c r="C182" s="34"/>
      <c r="D182" s="158" t="s">
        <v>189</v>
      </c>
      <c r="E182" s="34"/>
      <c r="F182" s="159" t="s">
        <v>652</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189</v>
      </c>
      <c r="AU182" s="19" t="s">
        <v>87</v>
      </c>
    </row>
    <row r="183" spans="1:65" s="2" customFormat="1" ht="58.5">
      <c r="A183" s="34"/>
      <c r="B183" s="35"/>
      <c r="C183" s="34"/>
      <c r="D183" s="153" t="s">
        <v>191</v>
      </c>
      <c r="E183" s="34"/>
      <c r="F183" s="160" t="s">
        <v>653</v>
      </c>
      <c r="G183" s="34"/>
      <c r="H183" s="34"/>
      <c r="I183" s="155"/>
      <c r="J183" s="34"/>
      <c r="K183" s="34"/>
      <c r="L183" s="35"/>
      <c r="M183" s="156"/>
      <c r="N183" s="157"/>
      <c r="O183" s="55"/>
      <c r="P183" s="55"/>
      <c r="Q183" s="55"/>
      <c r="R183" s="55"/>
      <c r="S183" s="55"/>
      <c r="T183" s="56"/>
      <c r="U183" s="34"/>
      <c r="V183" s="34"/>
      <c r="W183" s="34"/>
      <c r="X183" s="34"/>
      <c r="Y183" s="34"/>
      <c r="Z183" s="34"/>
      <c r="AA183" s="34"/>
      <c r="AB183" s="34"/>
      <c r="AC183" s="34"/>
      <c r="AD183" s="34"/>
      <c r="AE183" s="34"/>
      <c r="AT183" s="19" t="s">
        <v>191</v>
      </c>
      <c r="AU183" s="19" t="s">
        <v>87</v>
      </c>
    </row>
    <row r="184" spans="1:65" s="13" customFormat="1">
      <c r="B184" s="161"/>
      <c r="D184" s="153" t="s">
        <v>193</v>
      </c>
      <c r="E184" s="162" t="s">
        <v>3</v>
      </c>
      <c r="F184" s="163" t="s">
        <v>987</v>
      </c>
      <c r="H184" s="164">
        <v>380</v>
      </c>
      <c r="I184" s="165"/>
      <c r="L184" s="161"/>
      <c r="M184" s="166"/>
      <c r="N184" s="167"/>
      <c r="O184" s="167"/>
      <c r="P184" s="167"/>
      <c r="Q184" s="167"/>
      <c r="R184" s="167"/>
      <c r="S184" s="167"/>
      <c r="T184" s="168"/>
      <c r="AT184" s="162" t="s">
        <v>193</v>
      </c>
      <c r="AU184" s="162" t="s">
        <v>87</v>
      </c>
      <c r="AV184" s="13" t="s">
        <v>87</v>
      </c>
      <c r="AW184" s="13" t="s">
        <v>36</v>
      </c>
      <c r="AX184" s="13" t="s">
        <v>85</v>
      </c>
      <c r="AY184" s="162" t="s">
        <v>177</v>
      </c>
    </row>
    <row r="185" spans="1:65" s="2" customFormat="1" ht="21.75" customHeight="1">
      <c r="A185" s="34"/>
      <c r="B185" s="139"/>
      <c r="C185" s="140" t="s">
        <v>283</v>
      </c>
      <c r="D185" s="140" t="s">
        <v>180</v>
      </c>
      <c r="E185" s="141" t="s">
        <v>654</v>
      </c>
      <c r="F185" s="142" t="s">
        <v>655</v>
      </c>
      <c r="G185" s="143" t="s">
        <v>332</v>
      </c>
      <c r="H185" s="144">
        <v>11400</v>
      </c>
      <c r="I185" s="145"/>
      <c r="J185" s="146">
        <f>ROUND(I185*H185,2)</f>
        <v>0</v>
      </c>
      <c r="K185" s="142" t="s">
        <v>184</v>
      </c>
      <c r="L185" s="35"/>
      <c r="M185" s="147" t="s">
        <v>3</v>
      </c>
      <c r="N185" s="148" t="s">
        <v>48</v>
      </c>
      <c r="O185" s="55"/>
      <c r="P185" s="149">
        <f>O185*H185</f>
        <v>0</v>
      </c>
      <c r="Q185" s="149">
        <v>0</v>
      </c>
      <c r="R185" s="149">
        <f>Q185*H185</f>
        <v>0</v>
      </c>
      <c r="S185" s="149">
        <v>0</v>
      </c>
      <c r="T185" s="150">
        <f>S185*H185</f>
        <v>0</v>
      </c>
      <c r="U185" s="34"/>
      <c r="V185" s="34"/>
      <c r="W185" s="34"/>
      <c r="X185" s="34"/>
      <c r="Y185" s="34"/>
      <c r="Z185" s="34"/>
      <c r="AA185" s="34"/>
      <c r="AB185" s="34"/>
      <c r="AC185" s="34"/>
      <c r="AD185" s="34"/>
      <c r="AE185" s="34"/>
      <c r="AR185" s="151" t="s">
        <v>185</v>
      </c>
      <c r="AT185" s="151" t="s">
        <v>180</v>
      </c>
      <c r="AU185" s="151" t="s">
        <v>87</v>
      </c>
      <c r="AY185" s="19" t="s">
        <v>177</v>
      </c>
      <c r="BE185" s="152">
        <f>IF(N185="základní",J185,0)</f>
        <v>0</v>
      </c>
      <c r="BF185" s="152">
        <f>IF(N185="snížená",J185,0)</f>
        <v>0</v>
      </c>
      <c r="BG185" s="152">
        <f>IF(N185="zákl. přenesená",J185,0)</f>
        <v>0</v>
      </c>
      <c r="BH185" s="152">
        <f>IF(N185="sníž. přenesená",J185,0)</f>
        <v>0</v>
      </c>
      <c r="BI185" s="152">
        <f>IF(N185="nulová",J185,0)</f>
        <v>0</v>
      </c>
      <c r="BJ185" s="19" t="s">
        <v>85</v>
      </c>
      <c r="BK185" s="152">
        <f>ROUND(I185*H185,2)</f>
        <v>0</v>
      </c>
      <c r="BL185" s="19" t="s">
        <v>185</v>
      </c>
      <c r="BM185" s="151" t="s">
        <v>988</v>
      </c>
    </row>
    <row r="186" spans="1:65" s="2" customFormat="1" ht="19.5">
      <c r="A186" s="34"/>
      <c r="B186" s="35"/>
      <c r="C186" s="34"/>
      <c r="D186" s="153" t="s">
        <v>187</v>
      </c>
      <c r="E186" s="34"/>
      <c r="F186" s="154" t="s">
        <v>657</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187</v>
      </c>
      <c r="AU186" s="19" t="s">
        <v>87</v>
      </c>
    </row>
    <row r="187" spans="1:65" s="2" customFormat="1">
      <c r="A187" s="34"/>
      <c r="B187" s="35"/>
      <c r="C187" s="34"/>
      <c r="D187" s="158" t="s">
        <v>189</v>
      </c>
      <c r="E187" s="34"/>
      <c r="F187" s="159" t="s">
        <v>658</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189</v>
      </c>
      <c r="AU187" s="19" t="s">
        <v>87</v>
      </c>
    </row>
    <row r="188" spans="1:65" s="2" customFormat="1" ht="58.5">
      <c r="A188" s="34"/>
      <c r="B188" s="35"/>
      <c r="C188" s="34"/>
      <c r="D188" s="153" t="s">
        <v>191</v>
      </c>
      <c r="E188" s="34"/>
      <c r="F188" s="160" t="s">
        <v>653</v>
      </c>
      <c r="G188" s="34"/>
      <c r="H188" s="34"/>
      <c r="I188" s="155"/>
      <c r="J188" s="34"/>
      <c r="K188" s="34"/>
      <c r="L188" s="35"/>
      <c r="M188" s="156"/>
      <c r="N188" s="157"/>
      <c r="O188" s="55"/>
      <c r="P188" s="55"/>
      <c r="Q188" s="55"/>
      <c r="R188" s="55"/>
      <c r="S188" s="55"/>
      <c r="T188" s="56"/>
      <c r="U188" s="34"/>
      <c r="V188" s="34"/>
      <c r="W188" s="34"/>
      <c r="X188" s="34"/>
      <c r="Y188" s="34"/>
      <c r="Z188" s="34"/>
      <c r="AA188" s="34"/>
      <c r="AB188" s="34"/>
      <c r="AC188" s="34"/>
      <c r="AD188" s="34"/>
      <c r="AE188" s="34"/>
      <c r="AT188" s="19" t="s">
        <v>191</v>
      </c>
      <c r="AU188" s="19" t="s">
        <v>87</v>
      </c>
    </row>
    <row r="189" spans="1:65" s="13" customFormat="1">
      <c r="B189" s="161"/>
      <c r="D189" s="153" t="s">
        <v>193</v>
      </c>
      <c r="E189" s="162" t="s">
        <v>3</v>
      </c>
      <c r="F189" s="163" t="s">
        <v>989</v>
      </c>
      <c r="H189" s="164">
        <v>11400</v>
      </c>
      <c r="I189" s="165"/>
      <c r="L189" s="161"/>
      <c r="M189" s="166"/>
      <c r="N189" s="167"/>
      <c r="O189" s="167"/>
      <c r="P189" s="167"/>
      <c r="Q189" s="167"/>
      <c r="R189" s="167"/>
      <c r="S189" s="167"/>
      <c r="T189" s="168"/>
      <c r="AT189" s="162" t="s">
        <v>193</v>
      </c>
      <c r="AU189" s="162" t="s">
        <v>87</v>
      </c>
      <c r="AV189" s="13" t="s">
        <v>87</v>
      </c>
      <c r="AW189" s="13" t="s">
        <v>36</v>
      </c>
      <c r="AX189" s="13" t="s">
        <v>85</v>
      </c>
      <c r="AY189" s="162" t="s">
        <v>177</v>
      </c>
    </row>
    <row r="190" spans="1:65" s="2" customFormat="1" ht="21.75" customHeight="1">
      <c r="A190" s="34"/>
      <c r="B190" s="139"/>
      <c r="C190" s="140" t="s">
        <v>9</v>
      </c>
      <c r="D190" s="140" t="s">
        <v>180</v>
      </c>
      <c r="E190" s="141" t="s">
        <v>660</v>
      </c>
      <c r="F190" s="142" t="s">
        <v>661</v>
      </c>
      <c r="G190" s="143" t="s">
        <v>332</v>
      </c>
      <c r="H190" s="144">
        <v>380</v>
      </c>
      <c r="I190" s="145"/>
      <c r="J190" s="146">
        <f>ROUND(I190*H190,2)</f>
        <v>0</v>
      </c>
      <c r="K190" s="142" t="s">
        <v>184</v>
      </c>
      <c r="L190" s="35"/>
      <c r="M190" s="147" t="s">
        <v>3</v>
      </c>
      <c r="N190" s="148" t="s">
        <v>48</v>
      </c>
      <c r="O190" s="55"/>
      <c r="P190" s="149">
        <f>O190*H190</f>
        <v>0</v>
      </c>
      <c r="Q190" s="149">
        <v>0</v>
      </c>
      <c r="R190" s="149">
        <f>Q190*H190</f>
        <v>0</v>
      </c>
      <c r="S190" s="149">
        <v>0</v>
      </c>
      <c r="T190" s="150">
        <f>S190*H190</f>
        <v>0</v>
      </c>
      <c r="U190" s="34"/>
      <c r="V190" s="34"/>
      <c r="W190" s="34"/>
      <c r="X190" s="34"/>
      <c r="Y190" s="34"/>
      <c r="Z190" s="34"/>
      <c r="AA190" s="34"/>
      <c r="AB190" s="34"/>
      <c r="AC190" s="34"/>
      <c r="AD190" s="34"/>
      <c r="AE190" s="34"/>
      <c r="AR190" s="151" t="s">
        <v>185</v>
      </c>
      <c r="AT190" s="151" t="s">
        <v>180</v>
      </c>
      <c r="AU190" s="151" t="s">
        <v>87</v>
      </c>
      <c r="AY190" s="19" t="s">
        <v>177</v>
      </c>
      <c r="BE190" s="152">
        <f>IF(N190="základní",J190,0)</f>
        <v>0</v>
      </c>
      <c r="BF190" s="152">
        <f>IF(N190="snížená",J190,0)</f>
        <v>0</v>
      </c>
      <c r="BG190" s="152">
        <f>IF(N190="zákl. přenesená",J190,0)</f>
        <v>0</v>
      </c>
      <c r="BH190" s="152">
        <f>IF(N190="sníž. přenesená",J190,0)</f>
        <v>0</v>
      </c>
      <c r="BI190" s="152">
        <f>IF(N190="nulová",J190,0)</f>
        <v>0</v>
      </c>
      <c r="BJ190" s="19" t="s">
        <v>85</v>
      </c>
      <c r="BK190" s="152">
        <f>ROUND(I190*H190,2)</f>
        <v>0</v>
      </c>
      <c r="BL190" s="19" t="s">
        <v>185</v>
      </c>
      <c r="BM190" s="151" t="s">
        <v>990</v>
      </c>
    </row>
    <row r="191" spans="1:65" s="2" customFormat="1" ht="19.5">
      <c r="A191" s="34"/>
      <c r="B191" s="35"/>
      <c r="C191" s="34"/>
      <c r="D191" s="153" t="s">
        <v>187</v>
      </c>
      <c r="E191" s="34"/>
      <c r="F191" s="154" t="s">
        <v>663</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187</v>
      </c>
      <c r="AU191" s="19" t="s">
        <v>87</v>
      </c>
    </row>
    <row r="192" spans="1:65" s="2" customFormat="1">
      <c r="A192" s="34"/>
      <c r="B192" s="35"/>
      <c r="C192" s="34"/>
      <c r="D192" s="158" t="s">
        <v>189</v>
      </c>
      <c r="E192" s="34"/>
      <c r="F192" s="159" t="s">
        <v>664</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189</v>
      </c>
      <c r="AU192" s="19" t="s">
        <v>87</v>
      </c>
    </row>
    <row r="193" spans="1:65" s="2" customFormat="1" ht="29.25">
      <c r="A193" s="34"/>
      <c r="B193" s="35"/>
      <c r="C193" s="34"/>
      <c r="D193" s="153" t="s">
        <v>191</v>
      </c>
      <c r="E193" s="34"/>
      <c r="F193" s="160" t="s">
        <v>665</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191</v>
      </c>
      <c r="AU193" s="19" t="s">
        <v>87</v>
      </c>
    </row>
    <row r="194" spans="1:65" s="2" customFormat="1" ht="16.5" customHeight="1">
      <c r="A194" s="34"/>
      <c r="B194" s="139"/>
      <c r="C194" s="140" t="s">
        <v>237</v>
      </c>
      <c r="D194" s="140" t="s">
        <v>180</v>
      </c>
      <c r="E194" s="141" t="s">
        <v>666</v>
      </c>
      <c r="F194" s="142" t="s">
        <v>667</v>
      </c>
      <c r="G194" s="143" t="s">
        <v>332</v>
      </c>
      <c r="H194" s="144">
        <v>380</v>
      </c>
      <c r="I194" s="145"/>
      <c r="J194" s="146">
        <f>ROUND(I194*H194,2)</f>
        <v>0</v>
      </c>
      <c r="K194" s="142" t="s">
        <v>184</v>
      </c>
      <c r="L194" s="35"/>
      <c r="M194" s="147" t="s">
        <v>3</v>
      </c>
      <c r="N194" s="148" t="s">
        <v>48</v>
      </c>
      <c r="O194" s="55"/>
      <c r="P194" s="149">
        <f>O194*H194</f>
        <v>0</v>
      </c>
      <c r="Q194" s="149">
        <v>0</v>
      </c>
      <c r="R194" s="149">
        <f>Q194*H194</f>
        <v>0</v>
      </c>
      <c r="S194" s="149">
        <v>0</v>
      </c>
      <c r="T194" s="150">
        <f>S194*H194</f>
        <v>0</v>
      </c>
      <c r="U194" s="34"/>
      <c r="V194" s="34"/>
      <c r="W194" s="34"/>
      <c r="X194" s="34"/>
      <c r="Y194" s="34"/>
      <c r="Z194" s="34"/>
      <c r="AA194" s="34"/>
      <c r="AB194" s="34"/>
      <c r="AC194" s="34"/>
      <c r="AD194" s="34"/>
      <c r="AE194" s="34"/>
      <c r="AR194" s="151" t="s">
        <v>185</v>
      </c>
      <c r="AT194" s="151" t="s">
        <v>180</v>
      </c>
      <c r="AU194" s="151" t="s">
        <v>87</v>
      </c>
      <c r="AY194" s="19" t="s">
        <v>177</v>
      </c>
      <c r="BE194" s="152">
        <f>IF(N194="základní",J194,0)</f>
        <v>0</v>
      </c>
      <c r="BF194" s="152">
        <f>IF(N194="snížená",J194,0)</f>
        <v>0</v>
      </c>
      <c r="BG194" s="152">
        <f>IF(N194="zákl. přenesená",J194,0)</f>
        <v>0</v>
      </c>
      <c r="BH194" s="152">
        <f>IF(N194="sníž. přenesená",J194,0)</f>
        <v>0</v>
      </c>
      <c r="BI194" s="152">
        <f>IF(N194="nulová",J194,0)</f>
        <v>0</v>
      </c>
      <c r="BJ194" s="19" t="s">
        <v>85</v>
      </c>
      <c r="BK194" s="152">
        <f>ROUND(I194*H194,2)</f>
        <v>0</v>
      </c>
      <c r="BL194" s="19" t="s">
        <v>185</v>
      </c>
      <c r="BM194" s="151" t="s">
        <v>991</v>
      </c>
    </row>
    <row r="195" spans="1:65" s="2" customFormat="1">
      <c r="A195" s="34"/>
      <c r="B195" s="35"/>
      <c r="C195" s="34"/>
      <c r="D195" s="153" t="s">
        <v>187</v>
      </c>
      <c r="E195" s="34"/>
      <c r="F195" s="154" t="s">
        <v>669</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187</v>
      </c>
      <c r="AU195" s="19" t="s">
        <v>87</v>
      </c>
    </row>
    <row r="196" spans="1:65" s="2" customFormat="1">
      <c r="A196" s="34"/>
      <c r="B196" s="35"/>
      <c r="C196" s="34"/>
      <c r="D196" s="158" t="s">
        <v>189</v>
      </c>
      <c r="E196" s="34"/>
      <c r="F196" s="159" t="s">
        <v>670</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189</v>
      </c>
      <c r="AU196" s="19" t="s">
        <v>87</v>
      </c>
    </row>
    <row r="197" spans="1:65" s="2" customFormat="1" ht="29.25">
      <c r="A197" s="34"/>
      <c r="B197" s="35"/>
      <c r="C197" s="34"/>
      <c r="D197" s="153" t="s">
        <v>191</v>
      </c>
      <c r="E197" s="34"/>
      <c r="F197" s="160" t="s">
        <v>671</v>
      </c>
      <c r="G197" s="34"/>
      <c r="H197" s="34"/>
      <c r="I197" s="155"/>
      <c r="J197" s="34"/>
      <c r="K197" s="34"/>
      <c r="L197" s="35"/>
      <c r="M197" s="156"/>
      <c r="N197" s="157"/>
      <c r="O197" s="55"/>
      <c r="P197" s="55"/>
      <c r="Q197" s="55"/>
      <c r="R197" s="55"/>
      <c r="S197" s="55"/>
      <c r="T197" s="56"/>
      <c r="U197" s="34"/>
      <c r="V197" s="34"/>
      <c r="W197" s="34"/>
      <c r="X197" s="34"/>
      <c r="Y197" s="34"/>
      <c r="Z197" s="34"/>
      <c r="AA197" s="34"/>
      <c r="AB197" s="34"/>
      <c r="AC197" s="34"/>
      <c r="AD197" s="34"/>
      <c r="AE197" s="34"/>
      <c r="AT197" s="19" t="s">
        <v>191</v>
      </c>
      <c r="AU197" s="19" t="s">
        <v>87</v>
      </c>
    </row>
    <row r="198" spans="1:65" s="2" customFormat="1" ht="16.5" customHeight="1">
      <c r="A198" s="34"/>
      <c r="B198" s="139"/>
      <c r="C198" s="140" t="s">
        <v>302</v>
      </c>
      <c r="D198" s="140" t="s">
        <v>180</v>
      </c>
      <c r="E198" s="141" t="s">
        <v>672</v>
      </c>
      <c r="F198" s="142" t="s">
        <v>673</v>
      </c>
      <c r="G198" s="143" t="s">
        <v>332</v>
      </c>
      <c r="H198" s="144">
        <v>11400</v>
      </c>
      <c r="I198" s="145"/>
      <c r="J198" s="146">
        <f>ROUND(I198*H198,2)</f>
        <v>0</v>
      </c>
      <c r="K198" s="142" t="s">
        <v>184</v>
      </c>
      <c r="L198" s="35"/>
      <c r="M198" s="147" t="s">
        <v>3</v>
      </c>
      <c r="N198" s="148" t="s">
        <v>48</v>
      </c>
      <c r="O198" s="55"/>
      <c r="P198" s="149">
        <f>O198*H198</f>
        <v>0</v>
      </c>
      <c r="Q198" s="149">
        <v>0</v>
      </c>
      <c r="R198" s="149">
        <f>Q198*H198</f>
        <v>0</v>
      </c>
      <c r="S198" s="149">
        <v>0</v>
      </c>
      <c r="T198" s="150">
        <f>S198*H198</f>
        <v>0</v>
      </c>
      <c r="U198" s="34"/>
      <c r="V198" s="34"/>
      <c r="W198" s="34"/>
      <c r="X198" s="34"/>
      <c r="Y198" s="34"/>
      <c r="Z198" s="34"/>
      <c r="AA198" s="34"/>
      <c r="AB198" s="34"/>
      <c r="AC198" s="34"/>
      <c r="AD198" s="34"/>
      <c r="AE198" s="34"/>
      <c r="AR198" s="151" t="s">
        <v>185</v>
      </c>
      <c r="AT198" s="151" t="s">
        <v>180</v>
      </c>
      <c r="AU198" s="151" t="s">
        <v>87</v>
      </c>
      <c r="AY198" s="19" t="s">
        <v>177</v>
      </c>
      <c r="BE198" s="152">
        <f>IF(N198="základní",J198,0)</f>
        <v>0</v>
      </c>
      <c r="BF198" s="152">
        <f>IF(N198="snížená",J198,0)</f>
        <v>0</v>
      </c>
      <c r="BG198" s="152">
        <f>IF(N198="zákl. přenesená",J198,0)</f>
        <v>0</v>
      </c>
      <c r="BH198" s="152">
        <f>IF(N198="sníž. přenesená",J198,0)</f>
        <v>0</v>
      </c>
      <c r="BI198" s="152">
        <f>IF(N198="nulová",J198,0)</f>
        <v>0</v>
      </c>
      <c r="BJ198" s="19" t="s">
        <v>85</v>
      </c>
      <c r="BK198" s="152">
        <f>ROUND(I198*H198,2)</f>
        <v>0</v>
      </c>
      <c r="BL198" s="19" t="s">
        <v>185</v>
      </c>
      <c r="BM198" s="151" t="s">
        <v>992</v>
      </c>
    </row>
    <row r="199" spans="1:65" s="2" customFormat="1">
      <c r="A199" s="34"/>
      <c r="B199" s="35"/>
      <c r="C199" s="34"/>
      <c r="D199" s="153" t="s">
        <v>187</v>
      </c>
      <c r="E199" s="34"/>
      <c r="F199" s="154" t="s">
        <v>675</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187</v>
      </c>
      <c r="AU199" s="19" t="s">
        <v>87</v>
      </c>
    </row>
    <row r="200" spans="1:65" s="2" customFormat="1">
      <c r="A200" s="34"/>
      <c r="B200" s="35"/>
      <c r="C200" s="34"/>
      <c r="D200" s="158" t="s">
        <v>189</v>
      </c>
      <c r="E200" s="34"/>
      <c r="F200" s="159" t="s">
        <v>676</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189</v>
      </c>
      <c r="AU200" s="19" t="s">
        <v>87</v>
      </c>
    </row>
    <row r="201" spans="1:65" s="2" customFormat="1" ht="29.25">
      <c r="A201" s="34"/>
      <c r="B201" s="35"/>
      <c r="C201" s="34"/>
      <c r="D201" s="153" t="s">
        <v>191</v>
      </c>
      <c r="E201" s="34"/>
      <c r="F201" s="160" t="s">
        <v>671</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191</v>
      </c>
      <c r="AU201" s="19" t="s">
        <v>87</v>
      </c>
    </row>
    <row r="202" spans="1:65" s="2" customFormat="1" ht="16.5" customHeight="1">
      <c r="A202" s="34"/>
      <c r="B202" s="139"/>
      <c r="C202" s="140" t="s">
        <v>315</v>
      </c>
      <c r="D202" s="140" t="s">
        <v>180</v>
      </c>
      <c r="E202" s="141" t="s">
        <v>677</v>
      </c>
      <c r="F202" s="142" t="s">
        <v>678</v>
      </c>
      <c r="G202" s="143" t="s">
        <v>332</v>
      </c>
      <c r="H202" s="144">
        <v>380</v>
      </c>
      <c r="I202" s="145"/>
      <c r="J202" s="146">
        <f>ROUND(I202*H202,2)</f>
        <v>0</v>
      </c>
      <c r="K202" s="142" t="s">
        <v>184</v>
      </c>
      <c r="L202" s="35"/>
      <c r="M202" s="147" t="s">
        <v>3</v>
      </c>
      <c r="N202" s="148" t="s">
        <v>48</v>
      </c>
      <c r="O202" s="55"/>
      <c r="P202" s="149">
        <f>O202*H202</f>
        <v>0</v>
      </c>
      <c r="Q202" s="149">
        <v>0</v>
      </c>
      <c r="R202" s="149">
        <f>Q202*H202</f>
        <v>0</v>
      </c>
      <c r="S202" s="149">
        <v>0</v>
      </c>
      <c r="T202" s="150">
        <f>S202*H202</f>
        <v>0</v>
      </c>
      <c r="U202" s="34"/>
      <c r="V202" s="34"/>
      <c r="W202" s="34"/>
      <c r="X202" s="34"/>
      <c r="Y202" s="34"/>
      <c r="Z202" s="34"/>
      <c r="AA202" s="34"/>
      <c r="AB202" s="34"/>
      <c r="AC202" s="34"/>
      <c r="AD202" s="34"/>
      <c r="AE202" s="34"/>
      <c r="AR202" s="151" t="s">
        <v>185</v>
      </c>
      <c r="AT202" s="151" t="s">
        <v>180</v>
      </c>
      <c r="AU202" s="151" t="s">
        <v>87</v>
      </c>
      <c r="AY202" s="19" t="s">
        <v>177</v>
      </c>
      <c r="BE202" s="152">
        <f>IF(N202="základní",J202,0)</f>
        <v>0</v>
      </c>
      <c r="BF202" s="152">
        <f>IF(N202="snížená",J202,0)</f>
        <v>0</v>
      </c>
      <c r="BG202" s="152">
        <f>IF(N202="zákl. přenesená",J202,0)</f>
        <v>0</v>
      </c>
      <c r="BH202" s="152">
        <f>IF(N202="sníž. přenesená",J202,0)</f>
        <v>0</v>
      </c>
      <c r="BI202" s="152">
        <f>IF(N202="nulová",J202,0)</f>
        <v>0</v>
      </c>
      <c r="BJ202" s="19" t="s">
        <v>85</v>
      </c>
      <c r="BK202" s="152">
        <f>ROUND(I202*H202,2)</f>
        <v>0</v>
      </c>
      <c r="BL202" s="19" t="s">
        <v>185</v>
      </c>
      <c r="BM202" s="151" t="s">
        <v>993</v>
      </c>
    </row>
    <row r="203" spans="1:65" s="2" customFormat="1">
      <c r="A203" s="34"/>
      <c r="B203" s="35"/>
      <c r="C203" s="34"/>
      <c r="D203" s="153" t="s">
        <v>187</v>
      </c>
      <c r="E203" s="34"/>
      <c r="F203" s="154" t="s">
        <v>680</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187</v>
      </c>
      <c r="AU203" s="19" t="s">
        <v>87</v>
      </c>
    </row>
    <row r="204" spans="1:65" s="2" customFormat="1">
      <c r="A204" s="34"/>
      <c r="B204" s="35"/>
      <c r="C204" s="34"/>
      <c r="D204" s="158" t="s">
        <v>189</v>
      </c>
      <c r="E204" s="34"/>
      <c r="F204" s="159" t="s">
        <v>681</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189</v>
      </c>
      <c r="AU204" s="19" t="s">
        <v>87</v>
      </c>
    </row>
    <row r="205" spans="1:65" s="2" customFormat="1" ht="24.2" customHeight="1">
      <c r="A205" s="34"/>
      <c r="B205" s="139"/>
      <c r="C205" s="140" t="s">
        <v>461</v>
      </c>
      <c r="D205" s="140" t="s">
        <v>180</v>
      </c>
      <c r="E205" s="141" t="s">
        <v>330</v>
      </c>
      <c r="F205" s="142" t="s">
        <v>331</v>
      </c>
      <c r="G205" s="143" t="s">
        <v>332</v>
      </c>
      <c r="H205" s="144">
        <v>328.8</v>
      </c>
      <c r="I205" s="145"/>
      <c r="J205" s="146">
        <f>ROUND(I205*H205,2)</f>
        <v>0</v>
      </c>
      <c r="K205" s="142" t="s">
        <v>184</v>
      </c>
      <c r="L205" s="35"/>
      <c r="M205" s="147" t="s">
        <v>3</v>
      </c>
      <c r="N205" s="148" t="s">
        <v>48</v>
      </c>
      <c r="O205" s="55"/>
      <c r="P205" s="149">
        <f>O205*H205</f>
        <v>0</v>
      </c>
      <c r="Q205" s="149">
        <v>2.1000000000000001E-4</v>
      </c>
      <c r="R205" s="149">
        <f>Q205*H205</f>
        <v>6.9048000000000012E-2</v>
      </c>
      <c r="S205" s="149">
        <v>0</v>
      </c>
      <c r="T205" s="150">
        <f>S205*H205</f>
        <v>0</v>
      </c>
      <c r="U205" s="34"/>
      <c r="V205" s="34"/>
      <c r="W205" s="34"/>
      <c r="X205" s="34"/>
      <c r="Y205" s="34"/>
      <c r="Z205" s="34"/>
      <c r="AA205" s="34"/>
      <c r="AB205" s="34"/>
      <c r="AC205" s="34"/>
      <c r="AD205" s="34"/>
      <c r="AE205" s="34"/>
      <c r="AR205" s="151" t="s">
        <v>185</v>
      </c>
      <c r="AT205" s="151" t="s">
        <v>180</v>
      </c>
      <c r="AU205" s="151" t="s">
        <v>87</v>
      </c>
      <c r="AY205" s="19" t="s">
        <v>177</v>
      </c>
      <c r="BE205" s="152">
        <f>IF(N205="základní",J205,0)</f>
        <v>0</v>
      </c>
      <c r="BF205" s="152">
        <f>IF(N205="snížená",J205,0)</f>
        <v>0</v>
      </c>
      <c r="BG205" s="152">
        <f>IF(N205="zákl. přenesená",J205,0)</f>
        <v>0</v>
      </c>
      <c r="BH205" s="152">
        <f>IF(N205="sníž. přenesená",J205,0)</f>
        <v>0</v>
      </c>
      <c r="BI205" s="152">
        <f>IF(N205="nulová",J205,0)</f>
        <v>0</v>
      </c>
      <c r="BJ205" s="19" t="s">
        <v>85</v>
      </c>
      <c r="BK205" s="152">
        <f>ROUND(I205*H205,2)</f>
        <v>0</v>
      </c>
      <c r="BL205" s="19" t="s">
        <v>185</v>
      </c>
      <c r="BM205" s="151" t="s">
        <v>994</v>
      </c>
    </row>
    <row r="206" spans="1:65" s="2" customFormat="1">
      <c r="A206" s="34"/>
      <c r="B206" s="35"/>
      <c r="C206" s="34"/>
      <c r="D206" s="153" t="s">
        <v>187</v>
      </c>
      <c r="E206" s="34"/>
      <c r="F206" s="154" t="s">
        <v>334</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187</v>
      </c>
      <c r="AU206" s="19" t="s">
        <v>87</v>
      </c>
    </row>
    <row r="207" spans="1:65" s="2" customFormat="1">
      <c r="A207" s="34"/>
      <c r="B207" s="35"/>
      <c r="C207" s="34"/>
      <c r="D207" s="158" t="s">
        <v>189</v>
      </c>
      <c r="E207" s="34"/>
      <c r="F207" s="159" t="s">
        <v>335</v>
      </c>
      <c r="G207" s="34"/>
      <c r="H207" s="34"/>
      <c r="I207" s="155"/>
      <c r="J207" s="34"/>
      <c r="K207" s="34"/>
      <c r="L207" s="35"/>
      <c r="M207" s="156"/>
      <c r="N207" s="157"/>
      <c r="O207" s="55"/>
      <c r="P207" s="55"/>
      <c r="Q207" s="55"/>
      <c r="R207" s="55"/>
      <c r="S207" s="55"/>
      <c r="T207" s="56"/>
      <c r="U207" s="34"/>
      <c r="V207" s="34"/>
      <c r="W207" s="34"/>
      <c r="X207" s="34"/>
      <c r="Y207" s="34"/>
      <c r="Z207" s="34"/>
      <c r="AA207" s="34"/>
      <c r="AB207" s="34"/>
      <c r="AC207" s="34"/>
      <c r="AD207" s="34"/>
      <c r="AE207" s="34"/>
      <c r="AT207" s="19" t="s">
        <v>189</v>
      </c>
      <c r="AU207" s="19" t="s">
        <v>87</v>
      </c>
    </row>
    <row r="208" spans="1:65" s="2" customFormat="1" ht="48.75">
      <c r="A208" s="34"/>
      <c r="B208" s="35"/>
      <c r="C208" s="34"/>
      <c r="D208" s="153" t="s">
        <v>191</v>
      </c>
      <c r="E208" s="34"/>
      <c r="F208" s="160" t="s">
        <v>336</v>
      </c>
      <c r="G208" s="34"/>
      <c r="H208" s="34"/>
      <c r="I208" s="155"/>
      <c r="J208" s="34"/>
      <c r="K208" s="34"/>
      <c r="L208" s="35"/>
      <c r="M208" s="156"/>
      <c r="N208" s="157"/>
      <c r="O208" s="55"/>
      <c r="P208" s="55"/>
      <c r="Q208" s="55"/>
      <c r="R208" s="55"/>
      <c r="S208" s="55"/>
      <c r="T208" s="56"/>
      <c r="U208" s="34"/>
      <c r="V208" s="34"/>
      <c r="W208" s="34"/>
      <c r="X208" s="34"/>
      <c r="Y208" s="34"/>
      <c r="Z208" s="34"/>
      <c r="AA208" s="34"/>
      <c r="AB208" s="34"/>
      <c r="AC208" s="34"/>
      <c r="AD208" s="34"/>
      <c r="AE208" s="34"/>
      <c r="AT208" s="19" t="s">
        <v>191</v>
      </c>
      <c r="AU208" s="19" t="s">
        <v>87</v>
      </c>
    </row>
    <row r="209" spans="1:65" s="13" customFormat="1">
      <c r="B209" s="161"/>
      <c r="D209" s="153" t="s">
        <v>193</v>
      </c>
      <c r="E209" s="162" t="s">
        <v>3</v>
      </c>
      <c r="F209" s="163" t="s">
        <v>995</v>
      </c>
      <c r="H209" s="164">
        <v>328.8</v>
      </c>
      <c r="I209" s="165"/>
      <c r="L209" s="161"/>
      <c r="M209" s="166"/>
      <c r="N209" s="167"/>
      <c r="O209" s="167"/>
      <c r="P209" s="167"/>
      <c r="Q209" s="167"/>
      <c r="R209" s="167"/>
      <c r="S209" s="167"/>
      <c r="T209" s="168"/>
      <c r="AT209" s="162" t="s">
        <v>193</v>
      </c>
      <c r="AU209" s="162" t="s">
        <v>87</v>
      </c>
      <c r="AV209" s="13" t="s">
        <v>87</v>
      </c>
      <c r="AW209" s="13" t="s">
        <v>36</v>
      </c>
      <c r="AX209" s="13" t="s">
        <v>85</v>
      </c>
      <c r="AY209" s="162" t="s">
        <v>177</v>
      </c>
    </row>
    <row r="210" spans="1:65" s="2" customFormat="1" ht="16.5" customHeight="1">
      <c r="A210" s="34"/>
      <c r="B210" s="139"/>
      <c r="C210" s="140" t="s">
        <v>467</v>
      </c>
      <c r="D210" s="140" t="s">
        <v>180</v>
      </c>
      <c r="E210" s="141" t="s">
        <v>339</v>
      </c>
      <c r="F210" s="142" t="s">
        <v>340</v>
      </c>
      <c r="G210" s="143" t="s">
        <v>332</v>
      </c>
      <c r="H210" s="144">
        <v>328.8</v>
      </c>
      <c r="I210" s="145"/>
      <c r="J210" s="146">
        <f>ROUND(I210*H210,2)</f>
        <v>0</v>
      </c>
      <c r="K210" s="142" t="s">
        <v>184</v>
      </c>
      <c r="L210" s="35"/>
      <c r="M210" s="147" t="s">
        <v>3</v>
      </c>
      <c r="N210" s="148" t="s">
        <v>48</v>
      </c>
      <c r="O210" s="55"/>
      <c r="P210" s="149">
        <f>O210*H210</f>
        <v>0</v>
      </c>
      <c r="Q210" s="149">
        <v>3.4999999999999997E-5</v>
      </c>
      <c r="R210" s="149">
        <f>Q210*H210</f>
        <v>1.1507999999999999E-2</v>
      </c>
      <c r="S210" s="149">
        <v>0</v>
      </c>
      <c r="T210" s="150">
        <f>S210*H210</f>
        <v>0</v>
      </c>
      <c r="U210" s="34"/>
      <c r="V210" s="34"/>
      <c r="W210" s="34"/>
      <c r="X210" s="34"/>
      <c r="Y210" s="34"/>
      <c r="Z210" s="34"/>
      <c r="AA210" s="34"/>
      <c r="AB210" s="34"/>
      <c r="AC210" s="34"/>
      <c r="AD210" s="34"/>
      <c r="AE210" s="34"/>
      <c r="AR210" s="151" t="s">
        <v>185</v>
      </c>
      <c r="AT210" s="151" t="s">
        <v>180</v>
      </c>
      <c r="AU210" s="151" t="s">
        <v>87</v>
      </c>
      <c r="AY210" s="19" t="s">
        <v>177</v>
      </c>
      <c r="BE210" s="152">
        <f>IF(N210="základní",J210,0)</f>
        <v>0</v>
      </c>
      <c r="BF210" s="152">
        <f>IF(N210="snížená",J210,0)</f>
        <v>0</v>
      </c>
      <c r="BG210" s="152">
        <f>IF(N210="zákl. přenesená",J210,0)</f>
        <v>0</v>
      </c>
      <c r="BH210" s="152">
        <f>IF(N210="sníž. přenesená",J210,0)</f>
        <v>0</v>
      </c>
      <c r="BI210" s="152">
        <f>IF(N210="nulová",J210,0)</f>
        <v>0</v>
      </c>
      <c r="BJ210" s="19" t="s">
        <v>85</v>
      </c>
      <c r="BK210" s="152">
        <f>ROUND(I210*H210,2)</f>
        <v>0</v>
      </c>
      <c r="BL210" s="19" t="s">
        <v>185</v>
      </c>
      <c r="BM210" s="151" t="s">
        <v>996</v>
      </c>
    </row>
    <row r="211" spans="1:65" s="2" customFormat="1">
      <c r="A211" s="34"/>
      <c r="B211" s="35"/>
      <c r="C211" s="34"/>
      <c r="D211" s="153" t="s">
        <v>187</v>
      </c>
      <c r="E211" s="34"/>
      <c r="F211" s="154" t="s">
        <v>342</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187</v>
      </c>
      <c r="AU211" s="19" t="s">
        <v>87</v>
      </c>
    </row>
    <row r="212" spans="1:65" s="2" customFormat="1">
      <c r="A212" s="34"/>
      <c r="B212" s="35"/>
      <c r="C212" s="34"/>
      <c r="D212" s="158" t="s">
        <v>189</v>
      </c>
      <c r="E212" s="34"/>
      <c r="F212" s="159" t="s">
        <v>343</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189</v>
      </c>
      <c r="AU212" s="19" t="s">
        <v>87</v>
      </c>
    </row>
    <row r="213" spans="1:65" s="2" customFormat="1" ht="165.75">
      <c r="A213" s="34"/>
      <c r="B213" s="35"/>
      <c r="C213" s="34"/>
      <c r="D213" s="153" t="s">
        <v>191</v>
      </c>
      <c r="E213" s="34"/>
      <c r="F213" s="160" t="s">
        <v>344</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191</v>
      </c>
      <c r="AU213" s="19" t="s">
        <v>87</v>
      </c>
    </row>
    <row r="214" spans="1:65" s="2" customFormat="1" ht="16.5" customHeight="1">
      <c r="A214" s="34"/>
      <c r="B214" s="139"/>
      <c r="C214" s="140" t="s">
        <v>8</v>
      </c>
      <c r="D214" s="140" t="s">
        <v>180</v>
      </c>
      <c r="E214" s="141" t="s">
        <v>997</v>
      </c>
      <c r="F214" s="142" t="s">
        <v>998</v>
      </c>
      <c r="G214" s="143" t="s">
        <v>808</v>
      </c>
      <c r="H214" s="144">
        <v>2</v>
      </c>
      <c r="I214" s="145"/>
      <c r="J214" s="146">
        <f>ROUND(I214*H214,2)</f>
        <v>0</v>
      </c>
      <c r="K214" s="142" t="s">
        <v>184</v>
      </c>
      <c r="L214" s="35"/>
      <c r="M214" s="147" t="s">
        <v>3</v>
      </c>
      <c r="N214" s="148" t="s">
        <v>48</v>
      </c>
      <c r="O214" s="55"/>
      <c r="P214" s="149">
        <f>O214*H214</f>
        <v>0</v>
      </c>
      <c r="Q214" s="149">
        <v>0</v>
      </c>
      <c r="R214" s="149">
        <f>Q214*H214</f>
        <v>0</v>
      </c>
      <c r="S214" s="149">
        <v>2</v>
      </c>
      <c r="T214" s="150">
        <f>S214*H214</f>
        <v>4</v>
      </c>
      <c r="U214" s="34"/>
      <c r="V214" s="34"/>
      <c r="W214" s="34"/>
      <c r="X214" s="34"/>
      <c r="Y214" s="34"/>
      <c r="Z214" s="34"/>
      <c r="AA214" s="34"/>
      <c r="AB214" s="34"/>
      <c r="AC214" s="34"/>
      <c r="AD214" s="34"/>
      <c r="AE214" s="34"/>
      <c r="AR214" s="151" t="s">
        <v>185</v>
      </c>
      <c r="AT214" s="151" t="s">
        <v>180</v>
      </c>
      <c r="AU214" s="151" t="s">
        <v>87</v>
      </c>
      <c r="AY214" s="19" t="s">
        <v>177</v>
      </c>
      <c r="BE214" s="152">
        <f>IF(N214="základní",J214,0)</f>
        <v>0</v>
      </c>
      <c r="BF214" s="152">
        <f>IF(N214="snížená",J214,0)</f>
        <v>0</v>
      </c>
      <c r="BG214" s="152">
        <f>IF(N214="zákl. přenesená",J214,0)</f>
        <v>0</v>
      </c>
      <c r="BH214" s="152">
        <f>IF(N214="sníž. přenesená",J214,0)</f>
        <v>0</v>
      </c>
      <c r="BI214" s="152">
        <f>IF(N214="nulová",J214,0)</f>
        <v>0</v>
      </c>
      <c r="BJ214" s="19" t="s">
        <v>85</v>
      </c>
      <c r="BK214" s="152">
        <f>ROUND(I214*H214,2)</f>
        <v>0</v>
      </c>
      <c r="BL214" s="19" t="s">
        <v>185</v>
      </c>
      <c r="BM214" s="151" t="s">
        <v>999</v>
      </c>
    </row>
    <row r="215" spans="1:65" s="2" customFormat="1">
      <c r="A215" s="34"/>
      <c r="B215" s="35"/>
      <c r="C215" s="34"/>
      <c r="D215" s="153" t="s">
        <v>187</v>
      </c>
      <c r="E215" s="34"/>
      <c r="F215" s="154" t="s">
        <v>1000</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187</v>
      </c>
      <c r="AU215" s="19" t="s">
        <v>87</v>
      </c>
    </row>
    <row r="216" spans="1:65" s="2" customFormat="1">
      <c r="A216" s="34"/>
      <c r="B216" s="35"/>
      <c r="C216" s="34"/>
      <c r="D216" s="158" t="s">
        <v>189</v>
      </c>
      <c r="E216" s="34"/>
      <c r="F216" s="159" t="s">
        <v>1001</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189</v>
      </c>
      <c r="AU216" s="19" t="s">
        <v>87</v>
      </c>
    </row>
    <row r="217" spans="1:65" s="14" customFormat="1">
      <c r="B217" s="169"/>
      <c r="D217" s="153" t="s">
        <v>193</v>
      </c>
      <c r="E217" s="170" t="s">
        <v>3</v>
      </c>
      <c r="F217" s="171" t="s">
        <v>1002</v>
      </c>
      <c r="H217" s="170" t="s">
        <v>3</v>
      </c>
      <c r="I217" s="172"/>
      <c r="L217" s="169"/>
      <c r="M217" s="173"/>
      <c r="N217" s="174"/>
      <c r="O217" s="174"/>
      <c r="P217" s="174"/>
      <c r="Q217" s="174"/>
      <c r="R217" s="174"/>
      <c r="S217" s="174"/>
      <c r="T217" s="175"/>
      <c r="AT217" s="170" t="s">
        <v>193</v>
      </c>
      <c r="AU217" s="170" t="s">
        <v>87</v>
      </c>
      <c r="AV217" s="14" t="s">
        <v>85</v>
      </c>
      <c r="AW217" s="14" t="s">
        <v>36</v>
      </c>
      <c r="AX217" s="14" t="s">
        <v>77</v>
      </c>
      <c r="AY217" s="170" t="s">
        <v>177</v>
      </c>
    </row>
    <row r="218" spans="1:65" s="13" customFormat="1">
      <c r="B218" s="161"/>
      <c r="D218" s="153" t="s">
        <v>193</v>
      </c>
      <c r="E218" s="162" t="s">
        <v>3</v>
      </c>
      <c r="F218" s="163" t="s">
        <v>87</v>
      </c>
      <c r="H218" s="164">
        <v>2</v>
      </c>
      <c r="I218" s="165"/>
      <c r="L218" s="161"/>
      <c r="M218" s="166"/>
      <c r="N218" s="167"/>
      <c r="O218" s="167"/>
      <c r="P218" s="167"/>
      <c r="Q218" s="167"/>
      <c r="R218" s="167"/>
      <c r="S218" s="167"/>
      <c r="T218" s="168"/>
      <c r="AT218" s="162" t="s">
        <v>193</v>
      </c>
      <c r="AU218" s="162" t="s">
        <v>87</v>
      </c>
      <c r="AV218" s="13" t="s">
        <v>87</v>
      </c>
      <c r="AW218" s="13" t="s">
        <v>36</v>
      </c>
      <c r="AX218" s="13" t="s">
        <v>85</v>
      </c>
      <c r="AY218" s="162" t="s">
        <v>177</v>
      </c>
    </row>
    <row r="219" spans="1:65" s="2" customFormat="1" ht="16.5" customHeight="1">
      <c r="A219" s="34"/>
      <c r="B219" s="139"/>
      <c r="C219" s="140" t="s">
        <v>483</v>
      </c>
      <c r="D219" s="140" t="s">
        <v>180</v>
      </c>
      <c r="E219" s="141" t="s">
        <v>1003</v>
      </c>
      <c r="F219" s="142" t="s">
        <v>1004</v>
      </c>
      <c r="G219" s="143" t="s">
        <v>808</v>
      </c>
      <c r="H219" s="144">
        <v>28.785</v>
      </c>
      <c r="I219" s="145"/>
      <c r="J219" s="146">
        <f>ROUND(I219*H219,2)</f>
        <v>0</v>
      </c>
      <c r="K219" s="142" t="s">
        <v>184</v>
      </c>
      <c r="L219" s="35"/>
      <c r="M219" s="147" t="s">
        <v>3</v>
      </c>
      <c r="N219" s="148" t="s">
        <v>48</v>
      </c>
      <c r="O219" s="55"/>
      <c r="P219" s="149">
        <f>O219*H219</f>
        <v>0</v>
      </c>
      <c r="Q219" s="149">
        <v>0</v>
      </c>
      <c r="R219" s="149">
        <f>Q219*H219</f>
        <v>0</v>
      </c>
      <c r="S219" s="149">
        <v>1.6</v>
      </c>
      <c r="T219" s="150">
        <f>S219*H219</f>
        <v>46.056000000000004</v>
      </c>
      <c r="U219" s="34"/>
      <c r="V219" s="34"/>
      <c r="W219" s="34"/>
      <c r="X219" s="34"/>
      <c r="Y219" s="34"/>
      <c r="Z219" s="34"/>
      <c r="AA219" s="34"/>
      <c r="AB219" s="34"/>
      <c r="AC219" s="34"/>
      <c r="AD219" s="34"/>
      <c r="AE219" s="34"/>
      <c r="AR219" s="151" t="s">
        <v>185</v>
      </c>
      <c r="AT219" s="151" t="s">
        <v>180</v>
      </c>
      <c r="AU219" s="151" t="s">
        <v>87</v>
      </c>
      <c r="AY219" s="19" t="s">
        <v>177</v>
      </c>
      <c r="BE219" s="152">
        <f>IF(N219="základní",J219,0)</f>
        <v>0</v>
      </c>
      <c r="BF219" s="152">
        <f>IF(N219="snížená",J219,0)</f>
        <v>0</v>
      </c>
      <c r="BG219" s="152">
        <f>IF(N219="zákl. přenesená",J219,0)</f>
        <v>0</v>
      </c>
      <c r="BH219" s="152">
        <f>IF(N219="sníž. přenesená",J219,0)</f>
        <v>0</v>
      </c>
      <c r="BI219" s="152">
        <f>IF(N219="nulová",J219,0)</f>
        <v>0</v>
      </c>
      <c r="BJ219" s="19" t="s">
        <v>85</v>
      </c>
      <c r="BK219" s="152">
        <f>ROUND(I219*H219,2)</f>
        <v>0</v>
      </c>
      <c r="BL219" s="19" t="s">
        <v>185</v>
      </c>
      <c r="BM219" s="151" t="s">
        <v>1005</v>
      </c>
    </row>
    <row r="220" spans="1:65" s="2" customFormat="1">
      <c r="A220" s="34"/>
      <c r="B220" s="35"/>
      <c r="C220" s="34"/>
      <c r="D220" s="153" t="s">
        <v>187</v>
      </c>
      <c r="E220" s="34"/>
      <c r="F220" s="154" t="s">
        <v>1006</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187</v>
      </c>
      <c r="AU220" s="19" t="s">
        <v>87</v>
      </c>
    </row>
    <row r="221" spans="1:65" s="2" customFormat="1">
      <c r="A221" s="34"/>
      <c r="B221" s="35"/>
      <c r="C221" s="34"/>
      <c r="D221" s="158" t="s">
        <v>189</v>
      </c>
      <c r="E221" s="34"/>
      <c r="F221" s="159" t="s">
        <v>1007</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189</v>
      </c>
      <c r="AU221" s="19" t="s">
        <v>87</v>
      </c>
    </row>
    <row r="222" spans="1:65" s="14" customFormat="1">
      <c r="B222" s="169"/>
      <c r="D222" s="153" t="s">
        <v>193</v>
      </c>
      <c r="E222" s="170" t="s">
        <v>3</v>
      </c>
      <c r="F222" s="171" t="s">
        <v>1008</v>
      </c>
      <c r="H222" s="170" t="s">
        <v>3</v>
      </c>
      <c r="I222" s="172"/>
      <c r="L222" s="169"/>
      <c r="M222" s="173"/>
      <c r="N222" s="174"/>
      <c r="O222" s="174"/>
      <c r="P222" s="174"/>
      <c r="Q222" s="174"/>
      <c r="R222" s="174"/>
      <c r="S222" s="174"/>
      <c r="T222" s="175"/>
      <c r="AT222" s="170" t="s">
        <v>193</v>
      </c>
      <c r="AU222" s="170" t="s">
        <v>87</v>
      </c>
      <c r="AV222" s="14" t="s">
        <v>85</v>
      </c>
      <c r="AW222" s="14" t="s">
        <v>36</v>
      </c>
      <c r="AX222" s="14" t="s">
        <v>77</v>
      </c>
      <c r="AY222" s="170" t="s">
        <v>177</v>
      </c>
    </row>
    <row r="223" spans="1:65" s="13" customFormat="1">
      <c r="B223" s="161"/>
      <c r="D223" s="153" t="s">
        <v>193</v>
      </c>
      <c r="E223" s="162" t="s">
        <v>3</v>
      </c>
      <c r="F223" s="163" t="s">
        <v>1009</v>
      </c>
      <c r="H223" s="164">
        <v>1.31</v>
      </c>
      <c r="I223" s="165"/>
      <c r="L223" s="161"/>
      <c r="M223" s="166"/>
      <c r="N223" s="167"/>
      <c r="O223" s="167"/>
      <c r="P223" s="167"/>
      <c r="Q223" s="167"/>
      <c r="R223" s="167"/>
      <c r="S223" s="167"/>
      <c r="T223" s="168"/>
      <c r="AT223" s="162" t="s">
        <v>193</v>
      </c>
      <c r="AU223" s="162" t="s">
        <v>87</v>
      </c>
      <c r="AV223" s="13" t="s">
        <v>87</v>
      </c>
      <c r="AW223" s="13" t="s">
        <v>36</v>
      </c>
      <c r="AX223" s="13" t="s">
        <v>77</v>
      </c>
      <c r="AY223" s="162" t="s">
        <v>177</v>
      </c>
    </row>
    <row r="224" spans="1:65" s="13" customFormat="1">
      <c r="B224" s="161"/>
      <c r="D224" s="153" t="s">
        <v>193</v>
      </c>
      <c r="E224" s="162" t="s">
        <v>3</v>
      </c>
      <c r="F224" s="163" t="s">
        <v>1010</v>
      </c>
      <c r="H224" s="164">
        <v>27.475000000000001</v>
      </c>
      <c r="I224" s="165"/>
      <c r="L224" s="161"/>
      <c r="M224" s="166"/>
      <c r="N224" s="167"/>
      <c r="O224" s="167"/>
      <c r="P224" s="167"/>
      <c r="Q224" s="167"/>
      <c r="R224" s="167"/>
      <c r="S224" s="167"/>
      <c r="T224" s="168"/>
      <c r="AT224" s="162" t="s">
        <v>193</v>
      </c>
      <c r="AU224" s="162" t="s">
        <v>87</v>
      </c>
      <c r="AV224" s="13" t="s">
        <v>87</v>
      </c>
      <c r="AW224" s="13" t="s">
        <v>36</v>
      </c>
      <c r="AX224" s="13" t="s">
        <v>77</v>
      </c>
      <c r="AY224" s="162" t="s">
        <v>177</v>
      </c>
    </row>
    <row r="225" spans="1:65" s="16" customFormat="1">
      <c r="B225" s="184"/>
      <c r="D225" s="153" t="s">
        <v>193</v>
      </c>
      <c r="E225" s="185" t="s">
        <v>3</v>
      </c>
      <c r="F225" s="186" t="s">
        <v>201</v>
      </c>
      <c r="H225" s="187">
        <v>28.785</v>
      </c>
      <c r="I225" s="188"/>
      <c r="L225" s="184"/>
      <c r="M225" s="189"/>
      <c r="N225" s="190"/>
      <c r="O225" s="190"/>
      <c r="P225" s="190"/>
      <c r="Q225" s="190"/>
      <c r="R225" s="190"/>
      <c r="S225" s="190"/>
      <c r="T225" s="191"/>
      <c r="AT225" s="185" t="s">
        <v>193</v>
      </c>
      <c r="AU225" s="185" t="s">
        <v>87</v>
      </c>
      <c r="AV225" s="16" t="s">
        <v>185</v>
      </c>
      <c r="AW225" s="16" t="s">
        <v>36</v>
      </c>
      <c r="AX225" s="16" t="s">
        <v>85</v>
      </c>
      <c r="AY225" s="185" t="s">
        <v>177</v>
      </c>
    </row>
    <row r="226" spans="1:65" s="2" customFormat="1" ht="16.5" customHeight="1">
      <c r="A226" s="34"/>
      <c r="B226" s="139"/>
      <c r="C226" s="140" t="s">
        <v>490</v>
      </c>
      <c r="D226" s="140" t="s">
        <v>180</v>
      </c>
      <c r="E226" s="141" t="s">
        <v>1011</v>
      </c>
      <c r="F226" s="142" t="s">
        <v>1012</v>
      </c>
      <c r="G226" s="143" t="s">
        <v>808</v>
      </c>
      <c r="H226" s="144">
        <v>22.030999999999999</v>
      </c>
      <c r="I226" s="145"/>
      <c r="J226" s="146">
        <f>ROUND(I226*H226,2)</f>
        <v>0</v>
      </c>
      <c r="K226" s="142" t="s">
        <v>184</v>
      </c>
      <c r="L226" s="35"/>
      <c r="M226" s="147" t="s">
        <v>3</v>
      </c>
      <c r="N226" s="148" t="s">
        <v>48</v>
      </c>
      <c r="O226" s="55"/>
      <c r="P226" s="149">
        <f>O226*H226</f>
        <v>0</v>
      </c>
      <c r="Q226" s="149">
        <v>0</v>
      </c>
      <c r="R226" s="149">
        <f>Q226*H226</f>
        <v>0</v>
      </c>
      <c r="S226" s="149">
        <v>2.4</v>
      </c>
      <c r="T226" s="150">
        <f>S226*H226</f>
        <v>52.874399999999994</v>
      </c>
      <c r="U226" s="34"/>
      <c r="V226" s="34"/>
      <c r="W226" s="34"/>
      <c r="X226" s="34"/>
      <c r="Y226" s="34"/>
      <c r="Z226" s="34"/>
      <c r="AA226" s="34"/>
      <c r="AB226" s="34"/>
      <c r="AC226" s="34"/>
      <c r="AD226" s="34"/>
      <c r="AE226" s="34"/>
      <c r="AR226" s="151" t="s">
        <v>185</v>
      </c>
      <c r="AT226" s="151" t="s">
        <v>180</v>
      </c>
      <c r="AU226" s="151" t="s">
        <v>87</v>
      </c>
      <c r="AY226" s="19" t="s">
        <v>177</v>
      </c>
      <c r="BE226" s="152">
        <f>IF(N226="základní",J226,0)</f>
        <v>0</v>
      </c>
      <c r="BF226" s="152">
        <f>IF(N226="snížená",J226,0)</f>
        <v>0</v>
      </c>
      <c r="BG226" s="152">
        <f>IF(N226="zákl. přenesená",J226,0)</f>
        <v>0</v>
      </c>
      <c r="BH226" s="152">
        <f>IF(N226="sníž. přenesená",J226,0)</f>
        <v>0</v>
      </c>
      <c r="BI226" s="152">
        <f>IF(N226="nulová",J226,0)</f>
        <v>0</v>
      </c>
      <c r="BJ226" s="19" t="s">
        <v>85</v>
      </c>
      <c r="BK226" s="152">
        <f>ROUND(I226*H226,2)</f>
        <v>0</v>
      </c>
      <c r="BL226" s="19" t="s">
        <v>185</v>
      </c>
      <c r="BM226" s="151" t="s">
        <v>1013</v>
      </c>
    </row>
    <row r="227" spans="1:65" s="2" customFormat="1">
      <c r="A227" s="34"/>
      <c r="B227" s="35"/>
      <c r="C227" s="34"/>
      <c r="D227" s="153" t="s">
        <v>187</v>
      </c>
      <c r="E227" s="34"/>
      <c r="F227" s="154" t="s">
        <v>1014</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187</v>
      </c>
      <c r="AU227" s="19" t="s">
        <v>87</v>
      </c>
    </row>
    <row r="228" spans="1:65" s="2" customFormat="1">
      <c r="A228" s="34"/>
      <c r="B228" s="35"/>
      <c r="C228" s="34"/>
      <c r="D228" s="158" t="s">
        <v>189</v>
      </c>
      <c r="E228" s="34"/>
      <c r="F228" s="159" t="s">
        <v>1015</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189</v>
      </c>
      <c r="AU228" s="19" t="s">
        <v>87</v>
      </c>
    </row>
    <row r="229" spans="1:65" s="2" customFormat="1" ht="29.25">
      <c r="A229" s="34"/>
      <c r="B229" s="35"/>
      <c r="C229" s="34"/>
      <c r="D229" s="153" t="s">
        <v>191</v>
      </c>
      <c r="E229" s="34"/>
      <c r="F229" s="160" t="s">
        <v>1016</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191</v>
      </c>
      <c r="AU229" s="19" t="s">
        <v>87</v>
      </c>
    </row>
    <row r="230" spans="1:65" s="14" customFormat="1">
      <c r="B230" s="169"/>
      <c r="D230" s="153" t="s">
        <v>193</v>
      </c>
      <c r="E230" s="170" t="s">
        <v>3</v>
      </c>
      <c r="F230" s="171" t="s">
        <v>1017</v>
      </c>
      <c r="H230" s="170" t="s">
        <v>3</v>
      </c>
      <c r="I230" s="172"/>
      <c r="L230" s="169"/>
      <c r="M230" s="173"/>
      <c r="N230" s="174"/>
      <c r="O230" s="174"/>
      <c r="P230" s="174"/>
      <c r="Q230" s="174"/>
      <c r="R230" s="174"/>
      <c r="S230" s="174"/>
      <c r="T230" s="175"/>
      <c r="AT230" s="170" t="s">
        <v>193</v>
      </c>
      <c r="AU230" s="170" t="s">
        <v>87</v>
      </c>
      <c r="AV230" s="14" t="s">
        <v>85</v>
      </c>
      <c r="AW230" s="14" t="s">
        <v>36</v>
      </c>
      <c r="AX230" s="14" t="s">
        <v>77</v>
      </c>
      <c r="AY230" s="170" t="s">
        <v>177</v>
      </c>
    </row>
    <row r="231" spans="1:65" s="13" customFormat="1">
      <c r="B231" s="161"/>
      <c r="D231" s="153" t="s">
        <v>193</v>
      </c>
      <c r="E231" s="162" t="s">
        <v>3</v>
      </c>
      <c r="F231" s="163" t="s">
        <v>1018</v>
      </c>
      <c r="H231" s="164">
        <v>10.018000000000001</v>
      </c>
      <c r="I231" s="165"/>
      <c r="L231" s="161"/>
      <c r="M231" s="166"/>
      <c r="N231" s="167"/>
      <c r="O231" s="167"/>
      <c r="P231" s="167"/>
      <c r="Q231" s="167"/>
      <c r="R231" s="167"/>
      <c r="S231" s="167"/>
      <c r="T231" s="168"/>
      <c r="AT231" s="162" t="s">
        <v>193</v>
      </c>
      <c r="AU231" s="162" t="s">
        <v>87</v>
      </c>
      <c r="AV231" s="13" t="s">
        <v>87</v>
      </c>
      <c r="AW231" s="13" t="s">
        <v>36</v>
      </c>
      <c r="AX231" s="13" t="s">
        <v>77</v>
      </c>
      <c r="AY231" s="162" t="s">
        <v>177</v>
      </c>
    </row>
    <row r="232" spans="1:65" s="13" customFormat="1">
      <c r="B232" s="161"/>
      <c r="D232" s="153" t="s">
        <v>193</v>
      </c>
      <c r="E232" s="162" t="s">
        <v>3</v>
      </c>
      <c r="F232" s="163" t="s">
        <v>1019</v>
      </c>
      <c r="H232" s="164">
        <v>8.61</v>
      </c>
      <c r="I232" s="165"/>
      <c r="L232" s="161"/>
      <c r="M232" s="166"/>
      <c r="N232" s="167"/>
      <c r="O232" s="167"/>
      <c r="P232" s="167"/>
      <c r="Q232" s="167"/>
      <c r="R232" s="167"/>
      <c r="S232" s="167"/>
      <c r="T232" s="168"/>
      <c r="AT232" s="162" t="s">
        <v>193</v>
      </c>
      <c r="AU232" s="162" t="s">
        <v>87</v>
      </c>
      <c r="AV232" s="13" t="s">
        <v>87</v>
      </c>
      <c r="AW232" s="13" t="s">
        <v>36</v>
      </c>
      <c r="AX232" s="13" t="s">
        <v>77</v>
      </c>
      <c r="AY232" s="162" t="s">
        <v>177</v>
      </c>
    </row>
    <row r="233" spans="1:65" s="14" customFormat="1">
      <c r="B233" s="169"/>
      <c r="D233" s="153" t="s">
        <v>193</v>
      </c>
      <c r="E233" s="170" t="s">
        <v>3</v>
      </c>
      <c r="F233" s="171" t="s">
        <v>1020</v>
      </c>
      <c r="H233" s="170" t="s">
        <v>3</v>
      </c>
      <c r="I233" s="172"/>
      <c r="L233" s="169"/>
      <c r="M233" s="173"/>
      <c r="N233" s="174"/>
      <c r="O233" s="174"/>
      <c r="P233" s="174"/>
      <c r="Q233" s="174"/>
      <c r="R233" s="174"/>
      <c r="S233" s="174"/>
      <c r="T233" s="175"/>
      <c r="AT233" s="170" t="s">
        <v>193</v>
      </c>
      <c r="AU233" s="170" t="s">
        <v>87</v>
      </c>
      <c r="AV233" s="14" t="s">
        <v>85</v>
      </c>
      <c r="AW233" s="14" t="s">
        <v>36</v>
      </c>
      <c r="AX233" s="14" t="s">
        <v>77</v>
      </c>
      <c r="AY233" s="170" t="s">
        <v>177</v>
      </c>
    </row>
    <row r="234" spans="1:65" s="13" customFormat="1">
      <c r="B234" s="161"/>
      <c r="D234" s="153" t="s">
        <v>193</v>
      </c>
      <c r="E234" s="162" t="s">
        <v>3</v>
      </c>
      <c r="F234" s="163" t="s">
        <v>1021</v>
      </c>
      <c r="H234" s="164">
        <v>2.0569999999999999</v>
      </c>
      <c r="I234" s="165"/>
      <c r="L234" s="161"/>
      <c r="M234" s="166"/>
      <c r="N234" s="167"/>
      <c r="O234" s="167"/>
      <c r="P234" s="167"/>
      <c r="Q234" s="167"/>
      <c r="R234" s="167"/>
      <c r="S234" s="167"/>
      <c r="T234" s="168"/>
      <c r="AT234" s="162" t="s">
        <v>193</v>
      </c>
      <c r="AU234" s="162" t="s">
        <v>87</v>
      </c>
      <c r="AV234" s="13" t="s">
        <v>87</v>
      </c>
      <c r="AW234" s="13" t="s">
        <v>36</v>
      </c>
      <c r="AX234" s="13" t="s">
        <v>77</v>
      </c>
      <c r="AY234" s="162" t="s">
        <v>177</v>
      </c>
    </row>
    <row r="235" spans="1:65" s="14" customFormat="1">
      <c r="B235" s="169"/>
      <c r="D235" s="153" t="s">
        <v>193</v>
      </c>
      <c r="E235" s="170" t="s">
        <v>3</v>
      </c>
      <c r="F235" s="171" t="s">
        <v>1022</v>
      </c>
      <c r="H235" s="170" t="s">
        <v>3</v>
      </c>
      <c r="I235" s="172"/>
      <c r="L235" s="169"/>
      <c r="M235" s="173"/>
      <c r="N235" s="174"/>
      <c r="O235" s="174"/>
      <c r="P235" s="174"/>
      <c r="Q235" s="174"/>
      <c r="R235" s="174"/>
      <c r="S235" s="174"/>
      <c r="T235" s="175"/>
      <c r="AT235" s="170" t="s">
        <v>193</v>
      </c>
      <c r="AU235" s="170" t="s">
        <v>87</v>
      </c>
      <c r="AV235" s="14" t="s">
        <v>85</v>
      </c>
      <c r="AW235" s="14" t="s">
        <v>36</v>
      </c>
      <c r="AX235" s="14" t="s">
        <v>77</v>
      </c>
      <c r="AY235" s="170" t="s">
        <v>177</v>
      </c>
    </row>
    <row r="236" spans="1:65" s="13" customFormat="1">
      <c r="B236" s="161"/>
      <c r="D236" s="153" t="s">
        <v>193</v>
      </c>
      <c r="E236" s="162" t="s">
        <v>3</v>
      </c>
      <c r="F236" s="163" t="s">
        <v>1023</v>
      </c>
      <c r="H236" s="164">
        <v>1.3460000000000001</v>
      </c>
      <c r="I236" s="165"/>
      <c r="L236" s="161"/>
      <c r="M236" s="166"/>
      <c r="N236" s="167"/>
      <c r="O236" s="167"/>
      <c r="P236" s="167"/>
      <c r="Q236" s="167"/>
      <c r="R236" s="167"/>
      <c r="S236" s="167"/>
      <c r="T236" s="168"/>
      <c r="AT236" s="162" t="s">
        <v>193</v>
      </c>
      <c r="AU236" s="162" t="s">
        <v>87</v>
      </c>
      <c r="AV236" s="13" t="s">
        <v>87</v>
      </c>
      <c r="AW236" s="13" t="s">
        <v>36</v>
      </c>
      <c r="AX236" s="13" t="s">
        <v>77</v>
      </c>
      <c r="AY236" s="162" t="s">
        <v>177</v>
      </c>
    </row>
    <row r="237" spans="1:65" s="16" customFormat="1">
      <c r="B237" s="184"/>
      <c r="D237" s="153" t="s">
        <v>193</v>
      </c>
      <c r="E237" s="185" t="s">
        <v>3</v>
      </c>
      <c r="F237" s="186" t="s">
        <v>201</v>
      </c>
      <c r="H237" s="187">
        <v>22.030999999999999</v>
      </c>
      <c r="I237" s="188"/>
      <c r="L237" s="184"/>
      <c r="M237" s="189"/>
      <c r="N237" s="190"/>
      <c r="O237" s="190"/>
      <c r="P237" s="190"/>
      <c r="Q237" s="190"/>
      <c r="R237" s="190"/>
      <c r="S237" s="190"/>
      <c r="T237" s="191"/>
      <c r="AT237" s="185" t="s">
        <v>193</v>
      </c>
      <c r="AU237" s="185" t="s">
        <v>87</v>
      </c>
      <c r="AV237" s="16" t="s">
        <v>185</v>
      </c>
      <c r="AW237" s="16" t="s">
        <v>36</v>
      </c>
      <c r="AX237" s="16" t="s">
        <v>85</v>
      </c>
      <c r="AY237" s="185" t="s">
        <v>177</v>
      </c>
    </row>
    <row r="238" spans="1:65" s="2" customFormat="1" ht="16.5" customHeight="1">
      <c r="A238" s="34"/>
      <c r="B238" s="139"/>
      <c r="C238" s="140" t="s">
        <v>496</v>
      </c>
      <c r="D238" s="140" t="s">
        <v>180</v>
      </c>
      <c r="E238" s="141" t="s">
        <v>1024</v>
      </c>
      <c r="F238" s="142" t="s">
        <v>1025</v>
      </c>
      <c r="G238" s="143" t="s">
        <v>808</v>
      </c>
      <c r="H238" s="144">
        <v>4.5</v>
      </c>
      <c r="I238" s="145"/>
      <c r="J238" s="146">
        <f>ROUND(I238*H238,2)</f>
        <v>0</v>
      </c>
      <c r="K238" s="142" t="s">
        <v>184</v>
      </c>
      <c r="L238" s="35"/>
      <c r="M238" s="147" t="s">
        <v>3</v>
      </c>
      <c r="N238" s="148" t="s">
        <v>48</v>
      </c>
      <c r="O238" s="55"/>
      <c r="P238" s="149">
        <f>O238*H238</f>
        <v>0</v>
      </c>
      <c r="Q238" s="149">
        <v>0</v>
      </c>
      <c r="R238" s="149">
        <f>Q238*H238</f>
        <v>0</v>
      </c>
      <c r="S238" s="149">
        <v>2.1</v>
      </c>
      <c r="T238" s="150">
        <f>S238*H238</f>
        <v>9.4500000000000011</v>
      </c>
      <c r="U238" s="34"/>
      <c r="V238" s="34"/>
      <c r="W238" s="34"/>
      <c r="X238" s="34"/>
      <c r="Y238" s="34"/>
      <c r="Z238" s="34"/>
      <c r="AA238" s="34"/>
      <c r="AB238" s="34"/>
      <c r="AC238" s="34"/>
      <c r="AD238" s="34"/>
      <c r="AE238" s="34"/>
      <c r="AR238" s="151" t="s">
        <v>185</v>
      </c>
      <c r="AT238" s="151" t="s">
        <v>180</v>
      </c>
      <c r="AU238" s="151" t="s">
        <v>87</v>
      </c>
      <c r="AY238" s="19" t="s">
        <v>177</v>
      </c>
      <c r="BE238" s="152">
        <f>IF(N238="základní",J238,0)</f>
        <v>0</v>
      </c>
      <c r="BF238" s="152">
        <f>IF(N238="snížená",J238,0)</f>
        <v>0</v>
      </c>
      <c r="BG238" s="152">
        <f>IF(N238="zákl. přenesená",J238,0)</f>
        <v>0</v>
      </c>
      <c r="BH238" s="152">
        <f>IF(N238="sníž. přenesená",J238,0)</f>
        <v>0</v>
      </c>
      <c r="BI238" s="152">
        <f>IF(N238="nulová",J238,0)</f>
        <v>0</v>
      </c>
      <c r="BJ238" s="19" t="s">
        <v>85</v>
      </c>
      <c r="BK238" s="152">
        <f>ROUND(I238*H238,2)</f>
        <v>0</v>
      </c>
      <c r="BL238" s="19" t="s">
        <v>185</v>
      </c>
      <c r="BM238" s="151" t="s">
        <v>1026</v>
      </c>
    </row>
    <row r="239" spans="1:65" s="2" customFormat="1">
      <c r="A239" s="34"/>
      <c r="B239" s="35"/>
      <c r="C239" s="34"/>
      <c r="D239" s="153" t="s">
        <v>187</v>
      </c>
      <c r="E239" s="34"/>
      <c r="F239" s="154" t="s">
        <v>1027</v>
      </c>
      <c r="G239" s="34"/>
      <c r="H239" s="34"/>
      <c r="I239" s="155"/>
      <c r="J239" s="34"/>
      <c r="K239" s="34"/>
      <c r="L239" s="35"/>
      <c r="M239" s="156"/>
      <c r="N239" s="157"/>
      <c r="O239" s="55"/>
      <c r="P239" s="55"/>
      <c r="Q239" s="55"/>
      <c r="R239" s="55"/>
      <c r="S239" s="55"/>
      <c r="T239" s="56"/>
      <c r="U239" s="34"/>
      <c r="V239" s="34"/>
      <c r="W239" s="34"/>
      <c r="X239" s="34"/>
      <c r="Y239" s="34"/>
      <c r="Z239" s="34"/>
      <c r="AA239" s="34"/>
      <c r="AB239" s="34"/>
      <c r="AC239" s="34"/>
      <c r="AD239" s="34"/>
      <c r="AE239" s="34"/>
      <c r="AT239" s="19" t="s">
        <v>187</v>
      </c>
      <c r="AU239" s="19" t="s">
        <v>87</v>
      </c>
    </row>
    <row r="240" spans="1:65" s="2" customFormat="1">
      <c r="A240" s="34"/>
      <c r="B240" s="35"/>
      <c r="C240" s="34"/>
      <c r="D240" s="158" t="s">
        <v>189</v>
      </c>
      <c r="E240" s="34"/>
      <c r="F240" s="159" t="s">
        <v>1028</v>
      </c>
      <c r="G240" s="34"/>
      <c r="H240" s="34"/>
      <c r="I240" s="155"/>
      <c r="J240" s="34"/>
      <c r="K240" s="34"/>
      <c r="L240" s="35"/>
      <c r="M240" s="156"/>
      <c r="N240" s="157"/>
      <c r="O240" s="55"/>
      <c r="P240" s="55"/>
      <c r="Q240" s="55"/>
      <c r="R240" s="55"/>
      <c r="S240" s="55"/>
      <c r="T240" s="56"/>
      <c r="U240" s="34"/>
      <c r="V240" s="34"/>
      <c r="W240" s="34"/>
      <c r="X240" s="34"/>
      <c r="Y240" s="34"/>
      <c r="Z240" s="34"/>
      <c r="AA240" s="34"/>
      <c r="AB240" s="34"/>
      <c r="AC240" s="34"/>
      <c r="AD240" s="34"/>
      <c r="AE240" s="34"/>
      <c r="AT240" s="19" t="s">
        <v>189</v>
      </c>
      <c r="AU240" s="19" t="s">
        <v>87</v>
      </c>
    </row>
    <row r="241" spans="1:65" s="2" customFormat="1" ht="29.25">
      <c r="A241" s="34"/>
      <c r="B241" s="35"/>
      <c r="C241" s="34"/>
      <c r="D241" s="153" t="s">
        <v>191</v>
      </c>
      <c r="E241" s="34"/>
      <c r="F241" s="160" t="s">
        <v>1029</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191</v>
      </c>
      <c r="AU241" s="19" t="s">
        <v>87</v>
      </c>
    </row>
    <row r="242" spans="1:65" s="14" customFormat="1">
      <c r="B242" s="169"/>
      <c r="D242" s="153" t="s">
        <v>193</v>
      </c>
      <c r="E242" s="170" t="s">
        <v>3</v>
      </c>
      <c r="F242" s="171" t="s">
        <v>1008</v>
      </c>
      <c r="H242" s="170" t="s">
        <v>3</v>
      </c>
      <c r="I242" s="172"/>
      <c r="L242" s="169"/>
      <c r="M242" s="173"/>
      <c r="N242" s="174"/>
      <c r="O242" s="174"/>
      <c r="P242" s="174"/>
      <c r="Q242" s="174"/>
      <c r="R242" s="174"/>
      <c r="S242" s="174"/>
      <c r="T242" s="175"/>
      <c r="AT242" s="170" t="s">
        <v>193</v>
      </c>
      <c r="AU242" s="170" t="s">
        <v>87</v>
      </c>
      <c r="AV242" s="14" t="s">
        <v>85</v>
      </c>
      <c r="AW242" s="14" t="s">
        <v>36</v>
      </c>
      <c r="AX242" s="14" t="s">
        <v>77</v>
      </c>
      <c r="AY242" s="170" t="s">
        <v>177</v>
      </c>
    </row>
    <row r="243" spans="1:65" s="13" customFormat="1">
      <c r="B243" s="161"/>
      <c r="D243" s="153" t="s">
        <v>193</v>
      </c>
      <c r="E243" s="162" t="s">
        <v>3</v>
      </c>
      <c r="F243" s="163" t="s">
        <v>1030</v>
      </c>
      <c r="H243" s="164">
        <v>4.5</v>
      </c>
      <c r="I243" s="165"/>
      <c r="L243" s="161"/>
      <c r="M243" s="166"/>
      <c r="N243" s="167"/>
      <c r="O243" s="167"/>
      <c r="P243" s="167"/>
      <c r="Q243" s="167"/>
      <c r="R243" s="167"/>
      <c r="S243" s="167"/>
      <c r="T243" s="168"/>
      <c r="AT243" s="162" t="s">
        <v>193</v>
      </c>
      <c r="AU243" s="162" t="s">
        <v>87</v>
      </c>
      <c r="AV243" s="13" t="s">
        <v>87</v>
      </c>
      <c r="AW243" s="13" t="s">
        <v>36</v>
      </c>
      <c r="AX243" s="13" t="s">
        <v>85</v>
      </c>
      <c r="AY243" s="162" t="s">
        <v>177</v>
      </c>
    </row>
    <row r="244" spans="1:65" s="2" customFormat="1" ht="16.5" customHeight="1">
      <c r="A244" s="34"/>
      <c r="B244" s="139"/>
      <c r="C244" s="140" t="s">
        <v>502</v>
      </c>
      <c r="D244" s="140" t="s">
        <v>180</v>
      </c>
      <c r="E244" s="141" t="s">
        <v>1031</v>
      </c>
      <c r="F244" s="142" t="s">
        <v>1032</v>
      </c>
      <c r="G244" s="143" t="s">
        <v>332</v>
      </c>
      <c r="H244" s="144">
        <v>41.76</v>
      </c>
      <c r="I244" s="145"/>
      <c r="J244" s="146">
        <f>ROUND(I244*H244,2)</f>
        <v>0</v>
      </c>
      <c r="K244" s="142" t="s">
        <v>184</v>
      </c>
      <c r="L244" s="35"/>
      <c r="M244" s="147" t="s">
        <v>3</v>
      </c>
      <c r="N244" s="148" t="s">
        <v>48</v>
      </c>
      <c r="O244" s="55"/>
      <c r="P244" s="149">
        <f>O244*H244</f>
        <v>0</v>
      </c>
      <c r="Q244" s="149">
        <v>0</v>
      </c>
      <c r="R244" s="149">
        <f>Q244*H244</f>
        <v>0</v>
      </c>
      <c r="S244" s="149">
        <v>0.09</v>
      </c>
      <c r="T244" s="150">
        <f>S244*H244</f>
        <v>3.7583999999999995</v>
      </c>
      <c r="U244" s="34"/>
      <c r="V244" s="34"/>
      <c r="W244" s="34"/>
      <c r="X244" s="34"/>
      <c r="Y244" s="34"/>
      <c r="Z244" s="34"/>
      <c r="AA244" s="34"/>
      <c r="AB244" s="34"/>
      <c r="AC244" s="34"/>
      <c r="AD244" s="34"/>
      <c r="AE244" s="34"/>
      <c r="AR244" s="151" t="s">
        <v>185</v>
      </c>
      <c r="AT244" s="151" t="s">
        <v>180</v>
      </c>
      <c r="AU244" s="151" t="s">
        <v>87</v>
      </c>
      <c r="AY244" s="19" t="s">
        <v>177</v>
      </c>
      <c r="BE244" s="152">
        <f>IF(N244="základní",J244,0)</f>
        <v>0</v>
      </c>
      <c r="BF244" s="152">
        <f>IF(N244="snížená",J244,0)</f>
        <v>0</v>
      </c>
      <c r="BG244" s="152">
        <f>IF(N244="zákl. přenesená",J244,0)</f>
        <v>0</v>
      </c>
      <c r="BH244" s="152">
        <f>IF(N244="sníž. přenesená",J244,0)</f>
        <v>0</v>
      </c>
      <c r="BI244" s="152">
        <f>IF(N244="nulová",J244,0)</f>
        <v>0</v>
      </c>
      <c r="BJ244" s="19" t="s">
        <v>85</v>
      </c>
      <c r="BK244" s="152">
        <f>ROUND(I244*H244,2)</f>
        <v>0</v>
      </c>
      <c r="BL244" s="19" t="s">
        <v>185</v>
      </c>
      <c r="BM244" s="151" t="s">
        <v>1033</v>
      </c>
    </row>
    <row r="245" spans="1:65" s="2" customFormat="1">
      <c r="A245" s="34"/>
      <c r="B245" s="35"/>
      <c r="C245" s="34"/>
      <c r="D245" s="153" t="s">
        <v>187</v>
      </c>
      <c r="E245" s="34"/>
      <c r="F245" s="154" t="s">
        <v>1034</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187</v>
      </c>
      <c r="AU245" s="19" t="s">
        <v>87</v>
      </c>
    </row>
    <row r="246" spans="1:65" s="2" customFormat="1">
      <c r="A246" s="34"/>
      <c r="B246" s="35"/>
      <c r="C246" s="34"/>
      <c r="D246" s="158" t="s">
        <v>189</v>
      </c>
      <c r="E246" s="34"/>
      <c r="F246" s="159" t="s">
        <v>1035</v>
      </c>
      <c r="G246" s="34"/>
      <c r="H246" s="34"/>
      <c r="I246" s="155"/>
      <c r="J246" s="34"/>
      <c r="K246" s="34"/>
      <c r="L246" s="35"/>
      <c r="M246" s="156"/>
      <c r="N246" s="157"/>
      <c r="O246" s="55"/>
      <c r="P246" s="55"/>
      <c r="Q246" s="55"/>
      <c r="R246" s="55"/>
      <c r="S246" s="55"/>
      <c r="T246" s="56"/>
      <c r="U246" s="34"/>
      <c r="V246" s="34"/>
      <c r="W246" s="34"/>
      <c r="X246" s="34"/>
      <c r="Y246" s="34"/>
      <c r="Z246" s="34"/>
      <c r="AA246" s="34"/>
      <c r="AB246" s="34"/>
      <c r="AC246" s="34"/>
      <c r="AD246" s="34"/>
      <c r="AE246" s="34"/>
      <c r="AT246" s="19" t="s">
        <v>189</v>
      </c>
      <c r="AU246" s="19" t="s">
        <v>87</v>
      </c>
    </row>
    <row r="247" spans="1:65" s="14" customFormat="1">
      <c r="B247" s="169"/>
      <c r="D247" s="153" t="s">
        <v>193</v>
      </c>
      <c r="E247" s="170" t="s">
        <v>3</v>
      </c>
      <c r="F247" s="171" t="s">
        <v>1008</v>
      </c>
      <c r="H247" s="170" t="s">
        <v>3</v>
      </c>
      <c r="I247" s="172"/>
      <c r="L247" s="169"/>
      <c r="M247" s="173"/>
      <c r="N247" s="174"/>
      <c r="O247" s="174"/>
      <c r="P247" s="174"/>
      <c r="Q247" s="174"/>
      <c r="R247" s="174"/>
      <c r="S247" s="174"/>
      <c r="T247" s="175"/>
      <c r="AT247" s="170" t="s">
        <v>193</v>
      </c>
      <c r="AU247" s="170" t="s">
        <v>87</v>
      </c>
      <c r="AV247" s="14" t="s">
        <v>85</v>
      </c>
      <c r="AW247" s="14" t="s">
        <v>36</v>
      </c>
      <c r="AX247" s="14" t="s">
        <v>77</v>
      </c>
      <c r="AY247" s="170" t="s">
        <v>177</v>
      </c>
    </row>
    <row r="248" spans="1:65" s="13" customFormat="1">
      <c r="B248" s="161"/>
      <c r="D248" s="153" t="s">
        <v>193</v>
      </c>
      <c r="E248" s="162" t="s">
        <v>3</v>
      </c>
      <c r="F248" s="163" t="s">
        <v>1036</v>
      </c>
      <c r="H248" s="164">
        <v>41.76</v>
      </c>
      <c r="I248" s="165"/>
      <c r="L248" s="161"/>
      <c r="M248" s="166"/>
      <c r="N248" s="167"/>
      <c r="O248" s="167"/>
      <c r="P248" s="167"/>
      <c r="Q248" s="167"/>
      <c r="R248" s="167"/>
      <c r="S248" s="167"/>
      <c r="T248" s="168"/>
      <c r="AT248" s="162" t="s">
        <v>193</v>
      </c>
      <c r="AU248" s="162" t="s">
        <v>87</v>
      </c>
      <c r="AV248" s="13" t="s">
        <v>87</v>
      </c>
      <c r="AW248" s="13" t="s">
        <v>36</v>
      </c>
      <c r="AX248" s="13" t="s">
        <v>85</v>
      </c>
      <c r="AY248" s="162" t="s">
        <v>177</v>
      </c>
    </row>
    <row r="249" spans="1:65" s="2" customFormat="1" ht="16.5" customHeight="1">
      <c r="A249" s="34"/>
      <c r="B249" s="139"/>
      <c r="C249" s="140" t="s">
        <v>504</v>
      </c>
      <c r="D249" s="140" t="s">
        <v>180</v>
      </c>
      <c r="E249" s="141" t="s">
        <v>1037</v>
      </c>
      <c r="F249" s="142" t="s">
        <v>1038</v>
      </c>
      <c r="G249" s="143" t="s">
        <v>332</v>
      </c>
      <c r="H249" s="144">
        <v>1.62</v>
      </c>
      <c r="I249" s="145"/>
      <c r="J249" s="146">
        <f>ROUND(I249*H249,2)</f>
        <v>0</v>
      </c>
      <c r="K249" s="142" t="s">
        <v>184</v>
      </c>
      <c r="L249" s="35"/>
      <c r="M249" s="147" t="s">
        <v>3</v>
      </c>
      <c r="N249" s="148" t="s">
        <v>48</v>
      </c>
      <c r="O249" s="55"/>
      <c r="P249" s="149">
        <f>O249*H249</f>
        <v>0</v>
      </c>
      <c r="Q249" s="149">
        <v>0</v>
      </c>
      <c r="R249" s="149">
        <f>Q249*H249</f>
        <v>0</v>
      </c>
      <c r="S249" s="149">
        <v>8.8999999999999996E-2</v>
      </c>
      <c r="T249" s="150">
        <f>S249*H249</f>
        <v>0.14418</v>
      </c>
      <c r="U249" s="34"/>
      <c r="V249" s="34"/>
      <c r="W249" s="34"/>
      <c r="X249" s="34"/>
      <c r="Y249" s="34"/>
      <c r="Z249" s="34"/>
      <c r="AA249" s="34"/>
      <c r="AB249" s="34"/>
      <c r="AC249" s="34"/>
      <c r="AD249" s="34"/>
      <c r="AE249" s="34"/>
      <c r="AR249" s="151" t="s">
        <v>185</v>
      </c>
      <c r="AT249" s="151" t="s">
        <v>180</v>
      </c>
      <c r="AU249" s="151" t="s">
        <v>87</v>
      </c>
      <c r="AY249" s="19" t="s">
        <v>177</v>
      </c>
      <c r="BE249" s="152">
        <f>IF(N249="základní",J249,0)</f>
        <v>0</v>
      </c>
      <c r="BF249" s="152">
        <f>IF(N249="snížená",J249,0)</f>
        <v>0</v>
      </c>
      <c r="BG249" s="152">
        <f>IF(N249="zákl. přenesená",J249,0)</f>
        <v>0</v>
      </c>
      <c r="BH249" s="152">
        <f>IF(N249="sníž. přenesená",J249,0)</f>
        <v>0</v>
      </c>
      <c r="BI249" s="152">
        <f>IF(N249="nulová",J249,0)</f>
        <v>0</v>
      </c>
      <c r="BJ249" s="19" t="s">
        <v>85</v>
      </c>
      <c r="BK249" s="152">
        <f>ROUND(I249*H249,2)</f>
        <v>0</v>
      </c>
      <c r="BL249" s="19" t="s">
        <v>185</v>
      </c>
      <c r="BM249" s="151" t="s">
        <v>1039</v>
      </c>
    </row>
    <row r="250" spans="1:65" s="2" customFormat="1" ht="19.5">
      <c r="A250" s="34"/>
      <c r="B250" s="35"/>
      <c r="C250" s="34"/>
      <c r="D250" s="153" t="s">
        <v>187</v>
      </c>
      <c r="E250" s="34"/>
      <c r="F250" s="154" t="s">
        <v>1040</v>
      </c>
      <c r="G250" s="34"/>
      <c r="H250" s="34"/>
      <c r="I250" s="155"/>
      <c r="J250" s="34"/>
      <c r="K250" s="34"/>
      <c r="L250" s="35"/>
      <c r="M250" s="156"/>
      <c r="N250" s="157"/>
      <c r="O250" s="55"/>
      <c r="P250" s="55"/>
      <c r="Q250" s="55"/>
      <c r="R250" s="55"/>
      <c r="S250" s="55"/>
      <c r="T250" s="56"/>
      <c r="U250" s="34"/>
      <c r="V250" s="34"/>
      <c r="W250" s="34"/>
      <c r="X250" s="34"/>
      <c r="Y250" s="34"/>
      <c r="Z250" s="34"/>
      <c r="AA250" s="34"/>
      <c r="AB250" s="34"/>
      <c r="AC250" s="34"/>
      <c r="AD250" s="34"/>
      <c r="AE250" s="34"/>
      <c r="AT250" s="19" t="s">
        <v>187</v>
      </c>
      <c r="AU250" s="19" t="s">
        <v>87</v>
      </c>
    </row>
    <row r="251" spans="1:65" s="2" customFormat="1">
      <c r="A251" s="34"/>
      <c r="B251" s="35"/>
      <c r="C251" s="34"/>
      <c r="D251" s="158" t="s">
        <v>189</v>
      </c>
      <c r="E251" s="34"/>
      <c r="F251" s="159" t="s">
        <v>1041</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189</v>
      </c>
      <c r="AU251" s="19" t="s">
        <v>87</v>
      </c>
    </row>
    <row r="252" spans="1:65" s="2" customFormat="1" ht="39">
      <c r="A252" s="34"/>
      <c r="B252" s="35"/>
      <c r="C252" s="34"/>
      <c r="D252" s="153" t="s">
        <v>191</v>
      </c>
      <c r="E252" s="34"/>
      <c r="F252" s="160" t="s">
        <v>1042</v>
      </c>
      <c r="G252" s="34"/>
      <c r="H252" s="34"/>
      <c r="I252" s="155"/>
      <c r="J252" s="34"/>
      <c r="K252" s="34"/>
      <c r="L252" s="35"/>
      <c r="M252" s="156"/>
      <c r="N252" s="157"/>
      <c r="O252" s="55"/>
      <c r="P252" s="55"/>
      <c r="Q252" s="55"/>
      <c r="R252" s="55"/>
      <c r="S252" s="55"/>
      <c r="T252" s="56"/>
      <c r="U252" s="34"/>
      <c r="V252" s="34"/>
      <c r="W252" s="34"/>
      <c r="X252" s="34"/>
      <c r="Y252" s="34"/>
      <c r="Z252" s="34"/>
      <c r="AA252" s="34"/>
      <c r="AB252" s="34"/>
      <c r="AC252" s="34"/>
      <c r="AD252" s="34"/>
      <c r="AE252" s="34"/>
      <c r="AT252" s="19" t="s">
        <v>191</v>
      </c>
      <c r="AU252" s="19" t="s">
        <v>87</v>
      </c>
    </row>
    <row r="253" spans="1:65" s="14" customFormat="1">
      <c r="B253" s="169"/>
      <c r="D253" s="153" t="s">
        <v>193</v>
      </c>
      <c r="E253" s="170" t="s">
        <v>3</v>
      </c>
      <c r="F253" s="171" t="s">
        <v>1008</v>
      </c>
      <c r="H253" s="170" t="s">
        <v>3</v>
      </c>
      <c r="I253" s="172"/>
      <c r="L253" s="169"/>
      <c r="M253" s="173"/>
      <c r="N253" s="174"/>
      <c r="O253" s="174"/>
      <c r="P253" s="174"/>
      <c r="Q253" s="174"/>
      <c r="R253" s="174"/>
      <c r="S253" s="174"/>
      <c r="T253" s="175"/>
      <c r="AT253" s="170" t="s">
        <v>193</v>
      </c>
      <c r="AU253" s="170" t="s">
        <v>87</v>
      </c>
      <c r="AV253" s="14" t="s">
        <v>85</v>
      </c>
      <c r="AW253" s="14" t="s">
        <v>36</v>
      </c>
      <c r="AX253" s="14" t="s">
        <v>77</v>
      </c>
      <c r="AY253" s="170" t="s">
        <v>177</v>
      </c>
    </row>
    <row r="254" spans="1:65" s="13" customFormat="1">
      <c r="B254" s="161"/>
      <c r="D254" s="153" t="s">
        <v>193</v>
      </c>
      <c r="E254" s="162" t="s">
        <v>3</v>
      </c>
      <c r="F254" s="163" t="s">
        <v>1043</v>
      </c>
      <c r="H254" s="164">
        <v>1.62</v>
      </c>
      <c r="I254" s="165"/>
      <c r="L254" s="161"/>
      <c r="M254" s="166"/>
      <c r="N254" s="167"/>
      <c r="O254" s="167"/>
      <c r="P254" s="167"/>
      <c r="Q254" s="167"/>
      <c r="R254" s="167"/>
      <c r="S254" s="167"/>
      <c r="T254" s="168"/>
      <c r="AT254" s="162" t="s">
        <v>193</v>
      </c>
      <c r="AU254" s="162" t="s">
        <v>87</v>
      </c>
      <c r="AV254" s="13" t="s">
        <v>87</v>
      </c>
      <c r="AW254" s="13" t="s">
        <v>36</v>
      </c>
      <c r="AX254" s="13" t="s">
        <v>85</v>
      </c>
      <c r="AY254" s="162" t="s">
        <v>177</v>
      </c>
    </row>
    <row r="255" spans="1:65" s="2" customFormat="1" ht="16.5" customHeight="1">
      <c r="A255" s="34"/>
      <c r="B255" s="139"/>
      <c r="C255" s="140" t="s">
        <v>507</v>
      </c>
      <c r="D255" s="140" t="s">
        <v>180</v>
      </c>
      <c r="E255" s="141" t="s">
        <v>1044</v>
      </c>
      <c r="F255" s="142" t="s">
        <v>1045</v>
      </c>
      <c r="G255" s="143" t="s">
        <v>332</v>
      </c>
      <c r="H255" s="144">
        <v>3.2</v>
      </c>
      <c r="I255" s="145"/>
      <c r="J255" s="146">
        <f>ROUND(I255*H255,2)</f>
        <v>0</v>
      </c>
      <c r="K255" s="142" t="s">
        <v>184</v>
      </c>
      <c r="L255" s="35"/>
      <c r="M255" s="147" t="s">
        <v>3</v>
      </c>
      <c r="N255" s="148" t="s">
        <v>48</v>
      </c>
      <c r="O255" s="55"/>
      <c r="P255" s="149">
        <f>O255*H255</f>
        <v>0</v>
      </c>
      <c r="Q255" s="149">
        <v>0</v>
      </c>
      <c r="R255" s="149">
        <f>Q255*H255</f>
        <v>0</v>
      </c>
      <c r="S255" s="149">
        <v>7.5999999999999998E-2</v>
      </c>
      <c r="T255" s="150">
        <f>S255*H255</f>
        <v>0.2432</v>
      </c>
      <c r="U255" s="34"/>
      <c r="V255" s="34"/>
      <c r="W255" s="34"/>
      <c r="X255" s="34"/>
      <c r="Y255" s="34"/>
      <c r="Z255" s="34"/>
      <c r="AA255" s="34"/>
      <c r="AB255" s="34"/>
      <c r="AC255" s="34"/>
      <c r="AD255" s="34"/>
      <c r="AE255" s="34"/>
      <c r="AR255" s="151" t="s">
        <v>185</v>
      </c>
      <c r="AT255" s="151" t="s">
        <v>180</v>
      </c>
      <c r="AU255" s="151" t="s">
        <v>87</v>
      </c>
      <c r="AY255" s="19" t="s">
        <v>177</v>
      </c>
      <c r="BE255" s="152">
        <f>IF(N255="základní",J255,0)</f>
        <v>0</v>
      </c>
      <c r="BF255" s="152">
        <f>IF(N255="snížená",J255,0)</f>
        <v>0</v>
      </c>
      <c r="BG255" s="152">
        <f>IF(N255="zákl. přenesená",J255,0)</f>
        <v>0</v>
      </c>
      <c r="BH255" s="152">
        <f>IF(N255="sníž. přenesená",J255,0)</f>
        <v>0</v>
      </c>
      <c r="BI255" s="152">
        <f>IF(N255="nulová",J255,0)</f>
        <v>0</v>
      </c>
      <c r="BJ255" s="19" t="s">
        <v>85</v>
      </c>
      <c r="BK255" s="152">
        <f>ROUND(I255*H255,2)</f>
        <v>0</v>
      </c>
      <c r="BL255" s="19" t="s">
        <v>185</v>
      </c>
      <c r="BM255" s="151" t="s">
        <v>1046</v>
      </c>
    </row>
    <row r="256" spans="1:65" s="2" customFormat="1">
      <c r="A256" s="34"/>
      <c r="B256" s="35"/>
      <c r="C256" s="34"/>
      <c r="D256" s="153" t="s">
        <v>187</v>
      </c>
      <c r="E256" s="34"/>
      <c r="F256" s="154" t="s">
        <v>1047</v>
      </c>
      <c r="G256" s="34"/>
      <c r="H256" s="34"/>
      <c r="I256" s="155"/>
      <c r="J256" s="34"/>
      <c r="K256" s="34"/>
      <c r="L256" s="35"/>
      <c r="M256" s="156"/>
      <c r="N256" s="157"/>
      <c r="O256" s="55"/>
      <c r="P256" s="55"/>
      <c r="Q256" s="55"/>
      <c r="R256" s="55"/>
      <c r="S256" s="55"/>
      <c r="T256" s="56"/>
      <c r="U256" s="34"/>
      <c r="V256" s="34"/>
      <c r="W256" s="34"/>
      <c r="X256" s="34"/>
      <c r="Y256" s="34"/>
      <c r="Z256" s="34"/>
      <c r="AA256" s="34"/>
      <c r="AB256" s="34"/>
      <c r="AC256" s="34"/>
      <c r="AD256" s="34"/>
      <c r="AE256" s="34"/>
      <c r="AT256" s="19" t="s">
        <v>187</v>
      </c>
      <c r="AU256" s="19" t="s">
        <v>87</v>
      </c>
    </row>
    <row r="257" spans="1:65" s="2" customFormat="1">
      <c r="A257" s="34"/>
      <c r="B257" s="35"/>
      <c r="C257" s="34"/>
      <c r="D257" s="158" t="s">
        <v>189</v>
      </c>
      <c r="E257" s="34"/>
      <c r="F257" s="159" t="s">
        <v>1048</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189</v>
      </c>
      <c r="AU257" s="19" t="s">
        <v>87</v>
      </c>
    </row>
    <row r="258" spans="1:65" s="2" customFormat="1" ht="39">
      <c r="A258" s="34"/>
      <c r="B258" s="35"/>
      <c r="C258" s="34"/>
      <c r="D258" s="153" t="s">
        <v>191</v>
      </c>
      <c r="E258" s="34"/>
      <c r="F258" s="160" t="s">
        <v>1042</v>
      </c>
      <c r="G258" s="34"/>
      <c r="H258" s="34"/>
      <c r="I258" s="155"/>
      <c r="J258" s="34"/>
      <c r="K258" s="34"/>
      <c r="L258" s="35"/>
      <c r="M258" s="156"/>
      <c r="N258" s="157"/>
      <c r="O258" s="55"/>
      <c r="P258" s="55"/>
      <c r="Q258" s="55"/>
      <c r="R258" s="55"/>
      <c r="S258" s="55"/>
      <c r="T258" s="56"/>
      <c r="U258" s="34"/>
      <c r="V258" s="34"/>
      <c r="W258" s="34"/>
      <c r="X258" s="34"/>
      <c r="Y258" s="34"/>
      <c r="Z258" s="34"/>
      <c r="AA258" s="34"/>
      <c r="AB258" s="34"/>
      <c r="AC258" s="34"/>
      <c r="AD258" s="34"/>
      <c r="AE258" s="34"/>
      <c r="AT258" s="19" t="s">
        <v>191</v>
      </c>
      <c r="AU258" s="19" t="s">
        <v>87</v>
      </c>
    </row>
    <row r="259" spans="1:65" s="14" customFormat="1">
      <c r="B259" s="169"/>
      <c r="D259" s="153" t="s">
        <v>193</v>
      </c>
      <c r="E259" s="170" t="s">
        <v>3</v>
      </c>
      <c r="F259" s="171" t="s">
        <v>931</v>
      </c>
      <c r="H259" s="170" t="s">
        <v>3</v>
      </c>
      <c r="I259" s="172"/>
      <c r="L259" s="169"/>
      <c r="M259" s="173"/>
      <c r="N259" s="174"/>
      <c r="O259" s="174"/>
      <c r="P259" s="174"/>
      <c r="Q259" s="174"/>
      <c r="R259" s="174"/>
      <c r="S259" s="174"/>
      <c r="T259" s="175"/>
      <c r="AT259" s="170" t="s">
        <v>193</v>
      </c>
      <c r="AU259" s="170" t="s">
        <v>87</v>
      </c>
      <c r="AV259" s="14" t="s">
        <v>85</v>
      </c>
      <c r="AW259" s="14" t="s">
        <v>36</v>
      </c>
      <c r="AX259" s="14" t="s">
        <v>77</v>
      </c>
      <c r="AY259" s="170" t="s">
        <v>177</v>
      </c>
    </row>
    <row r="260" spans="1:65" s="13" customFormat="1">
      <c r="B260" s="161"/>
      <c r="D260" s="153" t="s">
        <v>193</v>
      </c>
      <c r="E260" s="162" t="s">
        <v>3</v>
      </c>
      <c r="F260" s="163" t="s">
        <v>1049</v>
      </c>
      <c r="H260" s="164">
        <v>3.2</v>
      </c>
      <c r="I260" s="165"/>
      <c r="L260" s="161"/>
      <c r="M260" s="166"/>
      <c r="N260" s="167"/>
      <c r="O260" s="167"/>
      <c r="P260" s="167"/>
      <c r="Q260" s="167"/>
      <c r="R260" s="167"/>
      <c r="S260" s="167"/>
      <c r="T260" s="168"/>
      <c r="AT260" s="162" t="s">
        <v>193</v>
      </c>
      <c r="AU260" s="162" t="s">
        <v>87</v>
      </c>
      <c r="AV260" s="13" t="s">
        <v>87</v>
      </c>
      <c r="AW260" s="13" t="s">
        <v>36</v>
      </c>
      <c r="AX260" s="13" t="s">
        <v>85</v>
      </c>
      <c r="AY260" s="162" t="s">
        <v>177</v>
      </c>
    </row>
    <row r="261" spans="1:65" s="2" customFormat="1" ht="16.5" customHeight="1">
      <c r="A261" s="34"/>
      <c r="B261" s="139"/>
      <c r="C261" s="140" t="s">
        <v>509</v>
      </c>
      <c r="D261" s="140" t="s">
        <v>180</v>
      </c>
      <c r="E261" s="141" t="s">
        <v>1050</v>
      </c>
      <c r="F261" s="142" t="s">
        <v>1051</v>
      </c>
      <c r="G261" s="143" t="s">
        <v>332</v>
      </c>
      <c r="H261" s="144">
        <v>3.1779999999999999</v>
      </c>
      <c r="I261" s="145"/>
      <c r="J261" s="146">
        <f>ROUND(I261*H261,2)</f>
        <v>0</v>
      </c>
      <c r="K261" s="142" t="s">
        <v>184</v>
      </c>
      <c r="L261" s="35"/>
      <c r="M261" s="147" t="s">
        <v>3</v>
      </c>
      <c r="N261" s="148" t="s">
        <v>48</v>
      </c>
      <c r="O261" s="55"/>
      <c r="P261" s="149">
        <f>O261*H261</f>
        <v>0</v>
      </c>
      <c r="Q261" s="149">
        <v>0</v>
      </c>
      <c r="R261" s="149">
        <f>Q261*H261</f>
        <v>0</v>
      </c>
      <c r="S261" s="149">
        <v>6.3E-2</v>
      </c>
      <c r="T261" s="150">
        <f>S261*H261</f>
        <v>0.200214</v>
      </c>
      <c r="U261" s="34"/>
      <c r="V261" s="34"/>
      <c r="W261" s="34"/>
      <c r="X261" s="34"/>
      <c r="Y261" s="34"/>
      <c r="Z261" s="34"/>
      <c r="AA261" s="34"/>
      <c r="AB261" s="34"/>
      <c r="AC261" s="34"/>
      <c r="AD261" s="34"/>
      <c r="AE261" s="34"/>
      <c r="AR261" s="151" t="s">
        <v>185</v>
      </c>
      <c r="AT261" s="151" t="s">
        <v>180</v>
      </c>
      <c r="AU261" s="151" t="s">
        <v>87</v>
      </c>
      <c r="AY261" s="19" t="s">
        <v>177</v>
      </c>
      <c r="BE261" s="152">
        <f>IF(N261="základní",J261,0)</f>
        <v>0</v>
      </c>
      <c r="BF261" s="152">
        <f>IF(N261="snížená",J261,0)</f>
        <v>0</v>
      </c>
      <c r="BG261" s="152">
        <f>IF(N261="zákl. přenesená",J261,0)</f>
        <v>0</v>
      </c>
      <c r="BH261" s="152">
        <f>IF(N261="sníž. přenesená",J261,0)</f>
        <v>0</v>
      </c>
      <c r="BI261" s="152">
        <f>IF(N261="nulová",J261,0)</f>
        <v>0</v>
      </c>
      <c r="BJ261" s="19" t="s">
        <v>85</v>
      </c>
      <c r="BK261" s="152">
        <f>ROUND(I261*H261,2)</f>
        <v>0</v>
      </c>
      <c r="BL261" s="19" t="s">
        <v>185</v>
      </c>
      <c r="BM261" s="151" t="s">
        <v>1052</v>
      </c>
    </row>
    <row r="262" spans="1:65" s="2" customFormat="1">
      <c r="A262" s="34"/>
      <c r="B262" s="35"/>
      <c r="C262" s="34"/>
      <c r="D262" s="153" t="s">
        <v>187</v>
      </c>
      <c r="E262" s="34"/>
      <c r="F262" s="154" t="s">
        <v>1053</v>
      </c>
      <c r="G262" s="34"/>
      <c r="H262" s="34"/>
      <c r="I262" s="155"/>
      <c r="J262" s="34"/>
      <c r="K262" s="34"/>
      <c r="L262" s="35"/>
      <c r="M262" s="156"/>
      <c r="N262" s="157"/>
      <c r="O262" s="55"/>
      <c r="P262" s="55"/>
      <c r="Q262" s="55"/>
      <c r="R262" s="55"/>
      <c r="S262" s="55"/>
      <c r="T262" s="56"/>
      <c r="U262" s="34"/>
      <c r="V262" s="34"/>
      <c r="W262" s="34"/>
      <c r="X262" s="34"/>
      <c r="Y262" s="34"/>
      <c r="Z262" s="34"/>
      <c r="AA262" s="34"/>
      <c r="AB262" s="34"/>
      <c r="AC262" s="34"/>
      <c r="AD262" s="34"/>
      <c r="AE262" s="34"/>
      <c r="AT262" s="19" t="s">
        <v>187</v>
      </c>
      <c r="AU262" s="19" t="s">
        <v>87</v>
      </c>
    </row>
    <row r="263" spans="1:65" s="2" customFormat="1">
      <c r="A263" s="34"/>
      <c r="B263" s="35"/>
      <c r="C263" s="34"/>
      <c r="D263" s="158" t="s">
        <v>189</v>
      </c>
      <c r="E263" s="34"/>
      <c r="F263" s="159" t="s">
        <v>1054</v>
      </c>
      <c r="G263" s="34"/>
      <c r="H263" s="34"/>
      <c r="I263" s="155"/>
      <c r="J263" s="34"/>
      <c r="K263" s="34"/>
      <c r="L263" s="35"/>
      <c r="M263" s="156"/>
      <c r="N263" s="157"/>
      <c r="O263" s="55"/>
      <c r="P263" s="55"/>
      <c r="Q263" s="55"/>
      <c r="R263" s="55"/>
      <c r="S263" s="55"/>
      <c r="T263" s="56"/>
      <c r="U263" s="34"/>
      <c r="V263" s="34"/>
      <c r="W263" s="34"/>
      <c r="X263" s="34"/>
      <c r="Y263" s="34"/>
      <c r="Z263" s="34"/>
      <c r="AA263" s="34"/>
      <c r="AB263" s="34"/>
      <c r="AC263" s="34"/>
      <c r="AD263" s="34"/>
      <c r="AE263" s="34"/>
      <c r="AT263" s="19" t="s">
        <v>189</v>
      </c>
      <c r="AU263" s="19" t="s">
        <v>87</v>
      </c>
    </row>
    <row r="264" spans="1:65" s="2" customFormat="1" ht="39">
      <c r="A264" s="34"/>
      <c r="B264" s="35"/>
      <c r="C264" s="34"/>
      <c r="D264" s="153" t="s">
        <v>191</v>
      </c>
      <c r="E264" s="34"/>
      <c r="F264" s="160" t="s">
        <v>1042</v>
      </c>
      <c r="G264" s="34"/>
      <c r="H264" s="34"/>
      <c r="I264" s="155"/>
      <c r="J264" s="34"/>
      <c r="K264" s="34"/>
      <c r="L264" s="35"/>
      <c r="M264" s="156"/>
      <c r="N264" s="157"/>
      <c r="O264" s="55"/>
      <c r="P264" s="55"/>
      <c r="Q264" s="55"/>
      <c r="R264" s="55"/>
      <c r="S264" s="55"/>
      <c r="T264" s="56"/>
      <c r="U264" s="34"/>
      <c r="V264" s="34"/>
      <c r="W264" s="34"/>
      <c r="X264" s="34"/>
      <c r="Y264" s="34"/>
      <c r="Z264" s="34"/>
      <c r="AA264" s="34"/>
      <c r="AB264" s="34"/>
      <c r="AC264" s="34"/>
      <c r="AD264" s="34"/>
      <c r="AE264" s="34"/>
      <c r="AT264" s="19" t="s">
        <v>191</v>
      </c>
      <c r="AU264" s="19" t="s">
        <v>87</v>
      </c>
    </row>
    <row r="265" spans="1:65" s="14" customFormat="1">
      <c r="B265" s="169"/>
      <c r="D265" s="153" t="s">
        <v>193</v>
      </c>
      <c r="E265" s="170" t="s">
        <v>3</v>
      </c>
      <c r="F265" s="171" t="s">
        <v>1008</v>
      </c>
      <c r="H265" s="170" t="s">
        <v>3</v>
      </c>
      <c r="I265" s="172"/>
      <c r="L265" s="169"/>
      <c r="M265" s="173"/>
      <c r="N265" s="174"/>
      <c r="O265" s="174"/>
      <c r="P265" s="174"/>
      <c r="Q265" s="174"/>
      <c r="R265" s="174"/>
      <c r="S265" s="174"/>
      <c r="T265" s="175"/>
      <c r="AT265" s="170" t="s">
        <v>193</v>
      </c>
      <c r="AU265" s="170" t="s">
        <v>87</v>
      </c>
      <c r="AV265" s="14" t="s">
        <v>85</v>
      </c>
      <c r="AW265" s="14" t="s">
        <v>36</v>
      </c>
      <c r="AX265" s="14" t="s">
        <v>77</v>
      </c>
      <c r="AY265" s="170" t="s">
        <v>177</v>
      </c>
    </row>
    <row r="266" spans="1:65" s="13" customFormat="1">
      <c r="B266" s="161"/>
      <c r="D266" s="153" t="s">
        <v>193</v>
      </c>
      <c r="E266" s="162" t="s">
        <v>3</v>
      </c>
      <c r="F266" s="163" t="s">
        <v>1055</v>
      </c>
      <c r="H266" s="164">
        <v>3.1779999999999999</v>
      </c>
      <c r="I266" s="165"/>
      <c r="L266" s="161"/>
      <c r="M266" s="166"/>
      <c r="N266" s="167"/>
      <c r="O266" s="167"/>
      <c r="P266" s="167"/>
      <c r="Q266" s="167"/>
      <c r="R266" s="167"/>
      <c r="S266" s="167"/>
      <c r="T266" s="168"/>
      <c r="AT266" s="162" t="s">
        <v>193</v>
      </c>
      <c r="AU266" s="162" t="s">
        <v>87</v>
      </c>
      <c r="AV266" s="13" t="s">
        <v>87</v>
      </c>
      <c r="AW266" s="13" t="s">
        <v>36</v>
      </c>
      <c r="AX266" s="13" t="s">
        <v>85</v>
      </c>
      <c r="AY266" s="162" t="s">
        <v>177</v>
      </c>
    </row>
    <row r="267" spans="1:65" s="2" customFormat="1" ht="16.5" customHeight="1">
      <c r="A267" s="34"/>
      <c r="B267" s="139"/>
      <c r="C267" s="140" t="s">
        <v>512</v>
      </c>
      <c r="D267" s="140" t="s">
        <v>180</v>
      </c>
      <c r="E267" s="141" t="s">
        <v>1056</v>
      </c>
      <c r="F267" s="142" t="s">
        <v>1057</v>
      </c>
      <c r="G267" s="143" t="s">
        <v>332</v>
      </c>
      <c r="H267" s="144">
        <v>6.48</v>
      </c>
      <c r="I267" s="145"/>
      <c r="J267" s="146">
        <f>ROUND(I267*H267,2)</f>
        <v>0</v>
      </c>
      <c r="K267" s="142" t="s">
        <v>184</v>
      </c>
      <c r="L267" s="35"/>
      <c r="M267" s="147" t="s">
        <v>3</v>
      </c>
      <c r="N267" s="148" t="s">
        <v>48</v>
      </c>
      <c r="O267" s="55"/>
      <c r="P267" s="149">
        <f>O267*H267</f>
        <v>0</v>
      </c>
      <c r="Q267" s="149">
        <v>0</v>
      </c>
      <c r="R267" s="149">
        <f>Q267*H267</f>
        <v>0</v>
      </c>
      <c r="S267" s="149">
        <v>7.2999999999999995E-2</v>
      </c>
      <c r="T267" s="150">
        <f>S267*H267</f>
        <v>0.47304000000000002</v>
      </c>
      <c r="U267" s="34"/>
      <c r="V267" s="34"/>
      <c r="W267" s="34"/>
      <c r="X267" s="34"/>
      <c r="Y267" s="34"/>
      <c r="Z267" s="34"/>
      <c r="AA267" s="34"/>
      <c r="AB267" s="34"/>
      <c r="AC267" s="34"/>
      <c r="AD267" s="34"/>
      <c r="AE267" s="34"/>
      <c r="AR267" s="151" t="s">
        <v>185</v>
      </c>
      <c r="AT267" s="151" t="s">
        <v>180</v>
      </c>
      <c r="AU267" s="151" t="s">
        <v>87</v>
      </c>
      <c r="AY267" s="19" t="s">
        <v>177</v>
      </c>
      <c r="BE267" s="152">
        <f>IF(N267="základní",J267,0)</f>
        <v>0</v>
      </c>
      <c r="BF267" s="152">
        <f>IF(N267="snížená",J267,0)</f>
        <v>0</v>
      </c>
      <c r="BG267" s="152">
        <f>IF(N267="zákl. přenesená",J267,0)</f>
        <v>0</v>
      </c>
      <c r="BH267" s="152">
        <f>IF(N267="sníž. přenesená",J267,0)</f>
        <v>0</v>
      </c>
      <c r="BI267" s="152">
        <f>IF(N267="nulová",J267,0)</f>
        <v>0</v>
      </c>
      <c r="BJ267" s="19" t="s">
        <v>85</v>
      </c>
      <c r="BK267" s="152">
        <f>ROUND(I267*H267,2)</f>
        <v>0</v>
      </c>
      <c r="BL267" s="19" t="s">
        <v>185</v>
      </c>
      <c r="BM267" s="151" t="s">
        <v>1058</v>
      </c>
    </row>
    <row r="268" spans="1:65" s="2" customFormat="1">
      <c r="A268" s="34"/>
      <c r="B268" s="35"/>
      <c r="C268" s="34"/>
      <c r="D268" s="153" t="s">
        <v>187</v>
      </c>
      <c r="E268" s="34"/>
      <c r="F268" s="154" t="s">
        <v>1059</v>
      </c>
      <c r="G268" s="34"/>
      <c r="H268" s="34"/>
      <c r="I268" s="155"/>
      <c r="J268" s="34"/>
      <c r="K268" s="34"/>
      <c r="L268" s="35"/>
      <c r="M268" s="156"/>
      <c r="N268" s="157"/>
      <c r="O268" s="55"/>
      <c r="P268" s="55"/>
      <c r="Q268" s="55"/>
      <c r="R268" s="55"/>
      <c r="S268" s="55"/>
      <c r="T268" s="56"/>
      <c r="U268" s="34"/>
      <c r="V268" s="34"/>
      <c r="W268" s="34"/>
      <c r="X268" s="34"/>
      <c r="Y268" s="34"/>
      <c r="Z268" s="34"/>
      <c r="AA268" s="34"/>
      <c r="AB268" s="34"/>
      <c r="AC268" s="34"/>
      <c r="AD268" s="34"/>
      <c r="AE268" s="34"/>
      <c r="AT268" s="19" t="s">
        <v>187</v>
      </c>
      <c r="AU268" s="19" t="s">
        <v>87</v>
      </c>
    </row>
    <row r="269" spans="1:65" s="2" customFormat="1">
      <c r="A269" s="34"/>
      <c r="B269" s="35"/>
      <c r="C269" s="34"/>
      <c r="D269" s="158" t="s">
        <v>189</v>
      </c>
      <c r="E269" s="34"/>
      <c r="F269" s="159" t="s">
        <v>1060</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189</v>
      </c>
      <c r="AU269" s="19" t="s">
        <v>87</v>
      </c>
    </row>
    <row r="270" spans="1:65" s="2" customFormat="1" ht="48.75">
      <c r="A270" s="34"/>
      <c r="B270" s="35"/>
      <c r="C270" s="34"/>
      <c r="D270" s="153" t="s">
        <v>191</v>
      </c>
      <c r="E270" s="34"/>
      <c r="F270" s="160" t="s">
        <v>1061</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191</v>
      </c>
      <c r="AU270" s="19" t="s">
        <v>87</v>
      </c>
    </row>
    <row r="271" spans="1:65" s="14" customFormat="1">
      <c r="B271" s="169"/>
      <c r="D271" s="153" t="s">
        <v>193</v>
      </c>
      <c r="E271" s="170" t="s">
        <v>3</v>
      </c>
      <c r="F271" s="171" t="s">
        <v>939</v>
      </c>
      <c r="H271" s="170" t="s">
        <v>3</v>
      </c>
      <c r="I271" s="172"/>
      <c r="L271" s="169"/>
      <c r="M271" s="173"/>
      <c r="N271" s="174"/>
      <c r="O271" s="174"/>
      <c r="P271" s="174"/>
      <c r="Q271" s="174"/>
      <c r="R271" s="174"/>
      <c r="S271" s="174"/>
      <c r="T271" s="175"/>
      <c r="AT271" s="170" t="s">
        <v>193</v>
      </c>
      <c r="AU271" s="170" t="s">
        <v>87</v>
      </c>
      <c r="AV271" s="14" t="s">
        <v>85</v>
      </c>
      <c r="AW271" s="14" t="s">
        <v>36</v>
      </c>
      <c r="AX271" s="14" t="s">
        <v>77</v>
      </c>
      <c r="AY271" s="170" t="s">
        <v>177</v>
      </c>
    </row>
    <row r="272" spans="1:65" s="13" customFormat="1">
      <c r="B272" s="161"/>
      <c r="D272" s="153" t="s">
        <v>193</v>
      </c>
      <c r="E272" s="162" t="s">
        <v>3</v>
      </c>
      <c r="F272" s="163" t="s">
        <v>1062</v>
      </c>
      <c r="H272" s="164">
        <v>6.48</v>
      </c>
      <c r="I272" s="165"/>
      <c r="L272" s="161"/>
      <c r="M272" s="166"/>
      <c r="N272" s="167"/>
      <c r="O272" s="167"/>
      <c r="P272" s="167"/>
      <c r="Q272" s="167"/>
      <c r="R272" s="167"/>
      <c r="S272" s="167"/>
      <c r="T272" s="168"/>
      <c r="AT272" s="162" t="s">
        <v>193</v>
      </c>
      <c r="AU272" s="162" t="s">
        <v>87</v>
      </c>
      <c r="AV272" s="13" t="s">
        <v>87</v>
      </c>
      <c r="AW272" s="13" t="s">
        <v>36</v>
      </c>
      <c r="AX272" s="13" t="s">
        <v>85</v>
      </c>
      <c r="AY272" s="162" t="s">
        <v>177</v>
      </c>
    </row>
    <row r="273" spans="1:65" s="2" customFormat="1" ht="16.5" customHeight="1">
      <c r="A273" s="34"/>
      <c r="B273" s="139"/>
      <c r="C273" s="140" t="s">
        <v>520</v>
      </c>
      <c r="D273" s="140" t="s">
        <v>180</v>
      </c>
      <c r="E273" s="141" t="s">
        <v>1063</v>
      </c>
      <c r="F273" s="142" t="s">
        <v>1064</v>
      </c>
      <c r="G273" s="143" t="s">
        <v>332</v>
      </c>
      <c r="H273" s="144">
        <v>1.62</v>
      </c>
      <c r="I273" s="145"/>
      <c r="J273" s="146">
        <f>ROUND(I273*H273,2)</f>
        <v>0</v>
      </c>
      <c r="K273" s="142" t="s">
        <v>184</v>
      </c>
      <c r="L273" s="35"/>
      <c r="M273" s="147" t="s">
        <v>3</v>
      </c>
      <c r="N273" s="148" t="s">
        <v>48</v>
      </c>
      <c r="O273" s="55"/>
      <c r="P273" s="149">
        <f>O273*H273</f>
        <v>0</v>
      </c>
      <c r="Q273" s="149">
        <v>0</v>
      </c>
      <c r="R273" s="149">
        <f>Q273*H273</f>
        <v>0</v>
      </c>
      <c r="S273" s="149">
        <v>5.8999999999999997E-2</v>
      </c>
      <c r="T273" s="150">
        <f>S273*H273</f>
        <v>9.5579999999999998E-2</v>
      </c>
      <c r="U273" s="34"/>
      <c r="V273" s="34"/>
      <c r="W273" s="34"/>
      <c r="X273" s="34"/>
      <c r="Y273" s="34"/>
      <c r="Z273" s="34"/>
      <c r="AA273" s="34"/>
      <c r="AB273" s="34"/>
      <c r="AC273" s="34"/>
      <c r="AD273" s="34"/>
      <c r="AE273" s="34"/>
      <c r="AR273" s="151" t="s">
        <v>185</v>
      </c>
      <c r="AT273" s="151" t="s">
        <v>180</v>
      </c>
      <c r="AU273" s="151" t="s">
        <v>87</v>
      </c>
      <c r="AY273" s="19" t="s">
        <v>177</v>
      </c>
      <c r="BE273" s="152">
        <f>IF(N273="základní",J273,0)</f>
        <v>0</v>
      </c>
      <c r="BF273" s="152">
        <f>IF(N273="snížená",J273,0)</f>
        <v>0</v>
      </c>
      <c r="BG273" s="152">
        <f>IF(N273="zákl. přenesená",J273,0)</f>
        <v>0</v>
      </c>
      <c r="BH273" s="152">
        <f>IF(N273="sníž. přenesená",J273,0)</f>
        <v>0</v>
      </c>
      <c r="BI273" s="152">
        <f>IF(N273="nulová",J273,0)</f>
        <v>0</v>
      </c>
      <c r="BJ273" s="19" t="s">
        <v>85</v>
      </c>
      <c r="BK273" s="152">
        <f>ROUND(I273*H273,2)</f>
        <v>0</v>
      </c>
      <c r="BL273" s="19" t="s">
        <v>185</v>
      </c>
      <c r="BM273" s="151" t="s">
        <v>1065</v>
      </c>
    </row>
    <row r="274" spans="1:65" s="2" customFormat="1">
      <c r="A274" s="34"/>
      <c r="B274" s="35"/>
      <c r="C274" s="34"/>
      <c r="D274" s="153" t="s">
        <v>187</v>
      </c>
      <c r="E274" s="34"/>
      <c r="F274" s="154" t="s">
        <v>1066</v>
      </c>
      <c r="G274" s="34"/>
      <c r="H274" s="34"/>
      <c r="I274" s="155"/>
      <c r="J274" s="34"/>
      <c r="K274" s="34"/>
      <c r="L274" s="35"/>
      <c r="M274" s="156"/>
      <c r="N274" s="157"/>
      <c r="O274" s="55"/>
      <c r="P274" s="55"/>
      <c r="Q274" s="55"/>
      <c r="R274" s="55"/>
      <c r="S274" s="55"/>
      <c r="T274" s="56"/>
      <c r="U274" s="34"/>
      <c r="V274" s="34"/>
      <c r="W274" s="34"/>
      <c r="X274" s="34"/>
      <c r="Y274" s="34"/>
      <c r="Z274" s="34"/>
      <c r="AA274" s="34"/>
      <c r="AB274" s="34"/>
      <c r="AC274" s="34"/>
      <c r="AD274" s="34"/>
      <c r="AE274" s="34"/>
      <c r="AT274" s="19" t="s">
        <v>187</v>
      </c>
      <c r="AU274" s="19" t="s">
        <v>87</v>
      </c>
    </row>
    <row r="275" spans="1:65" s="2" customFormat="1">
      <c r="A275" s="34"/>
      <c r="B275" s="35"/>
      <c r="C275" s="34"/>
      <c r="D275" s="158" t="s">
        <v>189</v>
      </c>
      <c r="E275" s="34"/>
      <c r="F275" s="159" t="s">
        <v>1067</v>
      </c>
      <c r="G275" s="34"/>
      <c r="H275" s="34"/>
      <c r="I275" s="155"/>
      <c r="J275" s="34"/>
      <c r="K275" s="34"/>
      <c r="L275" s="35"/>
      <c r="M275" s="156"/>
      <c r="N275" s="157"/>
      <c r="O275" s="55"/>
      <c r="P275" s="55"/>
      <c r="Q275" s="55"/>
      <c r="R275" s="55"/>
      <c r="S275" s="55"/>
      <c r="T275" s="56"/>
      <c r="U275" s="34"/>
      <c r="V275" s="34"/>
      <c r="W275" s="34"/>
      <c r="X275" s="34"/>
      <c r="Y275" s="34"/>
      <c r="Z275" s="34"/>
      <c r="AA275" s="34"/>
      <c r="AB275" s="34"/>
      <c r="AC275" s="34"/>
      <c r="AD275" s="34"/>
      <c r="AE275" s="34"/>
      <c r="AT275" s="19" t="s">
        <v>189</v>
      </c>
      <c r="AU275" s="19" t="s">
        <v>87</v>
      </c>
    </row>
    <row r="276" spans="1:65" s="2" customFormat="1" ht="48.75">
      <c r="A276" s="34"/>
      <c r="B276" s="35"/>
      <c r="C276" s="34"/>
      <c r="D276" s="153" t="s">
        <v>191</v>
      </c>
      <c r="E276" s="34"/>
      <c r="F276" s="160" t="s">
        <v>1061</v>
      </c>
      <c r="G276" s="34"/>
      <c r="H276" s="34"/>
      <c r="I276" s="155"/>
      <c r="J276" s="34"/>
      <c r="K276" s="34"/>
      <c r="L276" s="35"/>
      <c r="M276" s="156"/>
      <c r="N276" s="157"/>
      <c r="O276" s="55"/>
      <c r="P276" s="55"/>
      <c r="Q276" s="55"/>
      <c r="R276" s="55"/>
      <c r="S276" s="55"/>
      <c r="T276" s="56"/>
      <c r="U276" s="34"/>
      <c r="V276" s="34"/>
      <c r="W276" s="34"/>
      <c r="X276" s="34"/>
      <c r="Y276" s="34"/>
      <c r="Z276" s="34"/>
      <c r="AA276" s="34"/>
      <c r="AB276" s="34"/>
      <c r="AC276" s="34"/>
      <c r="AD276" s="34"/>
      <c r="AE276" s="34"/>
      <c r="AT276" s="19" t="s">
        <v>191</v>
      </c>
      <c r="AU276" s="19" t="s">
        <v>87</v>
      </c>
    </row>
    <row r="277" spans="1:65" s="14" customFormat="1">
      <c r="B277" s="169"/>
      <c r="D277" s="153" t="s">
        <v>193</v>
      </c>
      <c r="E277" s="170" t="s">
        <v>3</v>
      </c>
      <c r="F277" s="171" t="s">
        <v>939</v>
      </c>
      <c r="H277" s="170" t="s">
        <v>3</v>
      </c>
      <c r="I277" s="172"/>
      <c r="L277" s="169"/>
      <c r="M277" s="173"/>
      <c r="N277" s="174"/>
      <c r="O277" s="174"/>
      <c r="P277" s="174"/>
      <c r="Q277" s="174"/>
      <c r="R277" s="174"/>
      <c r="S277" s="174"/>
      <c r="T277" s="175"/>
      <c r="AT277" s="170" t="s">
        <v>193</v>
      </c>
      <c r="AU277" s="170" t="s">
        <v>87</v>
      </c>
      <c r="AV277" s="14" t="s">
        <v>85</v>
      </c>
      <c r="AW277" s="14" t="s">
        <v>36</v>
      </c>
      <c r="AX277" s="14" t="s">
        <v>77</v>
      </c>
      <c r="AY277" s="170" t="s">
        <v>177</v>
      </c>
    </row>
    <row r="278" spans="1:65" s="13" customFormat="1">
      <c r="B278" s="161"/>
      <c r="D278" s="153" t="s">
        <v>193</v>
      </c>
      <c r="E278" s="162" t="s">
        <v>3</v>
      </c>
      <c r="F278" s="163" t="s">
        <v>1068</v>
      </c>
      <c r="H278" s="164">
        <v>1.62</v>
      </c>
      <c r="I278" s="165"/>
      <c r="L278" s="161"/>
      <c r="M278" s="166"/>
      <c r="N278" s="167"/>
      <c r="O278" s="167"/>
      <c r="P278" s="167"/>
      <c r="Q278" s="167"/>
      <c r="R278" s="167"/>
      <c r="S278" s="167"/>
      <c r="T278" s="168"/>
      <c r="AT278" s="162" t="s">
        <v>193</v>
      </c>
      <c r="AU278" s="162" t="s">
        <v>87</v>
      </c>
      <c r="AV278" s="13" t="s">
        <v>87</v>
      </c>
      <c r="AW278" s="13" t="s">
        <v>36</v>
      </c>
      <c r="AX278" s="13" t="s">
        <v>85</v>
      </c>
      <c r="AY278" s="162" t="s">
        <v>177</v>
      </c>
    </row>
    <row r="279" spans="1:65" s="2" customFormat="1" ht="16.5" customHeight="1">
      <c r="A279" s="34"/>
      <c r="B279" s="139"/>
      <c r="C279" s="140" t="s">
        <v>527</v>
      </c>
      <c r="D279" s="140" t="s">
        <v>180</v>
      </c>
      <c r="E279" s="141" t="s">
        <v>1069</v>
      </c>
      <c r="F279" s="142" t="s">
        <v>1070</v>
      </c>
      <c r="G279" s="143" t="s">
        <v>332</v>
      </c>
      <c r="H279" s="144">
        <v>9.7200000000000006</v>
      </c>
      <c r="I279" s="145"/>
      <c r="J279" s="146">
        <f>ROUND(I279*H279,2)</f>
        <v>0</v>
      </c>
      <c r="K279" s="142" t="s">
        <v>184</v>
      </c>
      <c r="L279" s="35"/>
      <c r="M279" s="147" t="s">
        <v>3</v>
      </c>
      <c r="N279" s="148" t="s">
        <v>48</v>
      </c>
      <c r="O279" s="55"/>
      <c r="P279" s="149">
        <f>O279*H279</f>
        <v>0</v>
      </c>
      <c r="Q279" s="149">
        <v>0</v>
      </c>
      <c r="R279" s="149">
        <f>Q279*H279</f>
        <v>0</v>
      </c>
      <c r="S279" s="149">
        <v>4.2999999999999997E-2</v>
      </c>
      <c r="T279" s="150">
        <f>S279*H279</f>
        <v>0.41796</v>
      </c>
      <c r="U279" s="34"/>
      <c r="V279" s="34"/>
      <c r="W279" s="34"/>
      <c r="X279" s="34"/>
      <c r="Y279" s="34"/>
      <c r="Z279" s="34"/>
      <c r="AA279" s="34"/>
      <c r="AB279" s="34"/>
      <c r="AC279" s="34"/>
      <c r="AD279" s="34"/>
      <c r="AE279" s="34"/>
      <c r="AR279" s="151" t="s">
        <v>185</v>
      </c>
      <c r="AT279" s="151" t="s">
        <v>180</v>
      </c>
      <c r="AU279" s="151" t="s">
        <v>87</v>
      </c>
      <c r="AY279" s="19" t="s">
        <v>177</v>
      </c>
      <c r="BE279" s="152">
        <f>IF(N279="základní",J279,0)</f>
        <v>0</v>
      </c>
      <c r="BF279" s="152">
        <f>IF(N279="snížená",J279,0)</f>
        <v>0</v>
      </c>
      <c r="BG279" s="152">
        <f>IF(N279="zákl. přenesená",J279,0)</f>
        <v>0</v>
      </c>
      <c r="BH279" s="152">
        <f>IF(N279="sníž. přenesená",J279,0)</f>
        <v>0</v>
      </c>
      <c r="BI279" s="152">
        <f>IF(N279="nulová",J279,0)</f>
        <v>0</v>
      </c>
      <c r="BJ279" s="19" t="s">
        <v>85</v>
      </c>
      <c r="BK279" s="152">
        <f>ROUND(I279*H279,2)</f>
        <v>0</v>
      </c>
      <c r="BL279" s="19" t="s">
        <v>185</v>
      </c>
      <c r="BM279" s="151" t="s">
        <v>1071</v>
      </c>
    </row>
    <row r="280" spans="1:65" s="2" customFormat="1">
      <c r="A280" s="34"/>
      <c r="B280" s="35"/>
      <c r="C280" s="34"/>
      <c r="D280" s="153" t="s">
        <v>187</v>
      </c>
      <c r="E280" s="34"/>
      <c r="F280" s="154" t="s">
        <v>1072</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187</v>
      </c>
      <c r="AU280" s="19" t="s">
        <v>87</v>
      </c>
    </row>
    <row r="281" spans="1:65" s="2" customFormat="1">
      <c r="A281" s="34"/>
      <c r="B281" s="35"/>
      <c r="C281" s="34"/>
      <c r="D281" s="158" t="s">
        <v>189</v>
      </c>
      <c r="E281" s="34"/>
      <c r="F281" s="159" t="s">
        <v>1073</v>
      </c>
      <c r="G281" s="34"/>
      <c r="H281" s="34"/>
      <c r="I281" s="155"/>
      <c r="J281" s="34"/>
      <c r="K281" s="34"/>
      <c r="L281" s="35"/>
      <c r="M281" s="156"/>
      <c r="N281" s="157"/>
      <c r="O281" s="55"/>
      <c r="P281" s="55"/>
      <c r="Q281" s="55"/>
      <c r="R281" s="55"/>
      <c r="S281" s="55"/>
      <c r="T281" s="56"/>
      <c r="U281" s="34"/>
      <c r="V281" s="34"/>
      <c r="W281" s="34"/>
      <c r="X281" s="34"/>
      <c r="Y281" s="34"/>
      <c r="Z281" s="34"/>
      <c r="AA281" s="34"/>
      <c r="AB281" s="34"/>
      <c r="AC281" s="34"/>
      <c r="AD281" s="34"/>
      <c r="AE281" s="34"/>
      <c r="AT281" s="19" t="s">
        <v>189</v>
      </c>
      <c r="AU281" s="19" t="s">
        <v>87</v>
      </c>
    </row>
    <row r="282" spans="1:65" s="2" customFormat="1" ht="48.75">
      <c r="A282" s="34"/>
      <c r="B282" s="35"/>
      <c r="C282" s="34"/>
      <c r="D282" s="153" t="s">
        <v>191</v>
      </c>
      <c r="E282" s="34"/>
      <c r="F282" s="160" t="s">
        <v>1061</v>
      </c>
      <c r="G282" s="34"/>
      <c r="H282" s="34"/>
      <c r="I282" s="155"/>
      <c r="J282" s="34"/>
      <c r="K282" s="34"/>
      <c r="L282" s="35"/>
      <c r="M282" s="156"/>
      <c r="N282" s="157"/>
      <c r="O282" s="55"/>
      <c r="P282" s="55"/>
      <c r="Q282" s="55"/>
      <c r="R282" s="55"/>
      <c r="S282" s="55"/>
      <c r="T282" s="56"/>
      <c r="U282" s="34"/>
      <c r="V282" s="34"/>
      <c r="W282" s="34"/>
      <c r="X282" s="34"/>
      <c r="Y282" s="34"/>
      <c r="Z282" s="34"/>
      <c r="AA282" s="34"/>
      <c r="AB282" s="34"/>
      <c r="AC282" s="34"/>
      <c r="AD282" s="34"/>
      <c r="AE282" s="34"/>
      <c r="AT282" s="19" t="s">
        <v>191</v>
      </c>
      <c r="AU282" s="19" t="s">
        <v>87</v>
      </c>
    </row>
    <row r="283" spans="1:65" s="14" customFormat="1">
      <c r="B283" s="169"/>
      <c r="D283" s="153" t="s">
        <v>193</v>
      </c>
      <c r="E283" s="170" t="s">
        <v>3</v>
      </c>
      <c r="F283" s="171" t="s">
        <v>939</v>
      </c>
      <c r="H283" s="170" t="s">
        <v>3</v>
      </c>
      <c r="I283" s="172"/>
      <c r="L283" s="169"/>
      <c r="M283" s="173"/>
      <c r="N283" s="174"/>
      <c r="O283" s="174"/>
      <c r="P283" s="174"/>
      <c r="Q283" s="174"/>
      <c r="R283" s="174"/>
      <c r="S283" s="174"/>
      <c r="T283" s="175"/>
      <c r="AT283" s="170" t="s">
        <v>193</v>
      </c>
      <c r="AU283" s="170" t="s">
        <v>87</v>
      </c>
      <c r="AV283" s="14" t="s">
        <v>85</v>
      </c>
      <c r="AW283" s="14" t="s">
        <v>36</v>
      </c>
      <c r="AX283" s="14" t="s">
        <v>77</v>
      </c>
      <c r="AY283" s="170" t="s">
        <v>177</v>
      </c>
    </row>
    <row r="284" spans="1:65" s="13" customFormat="1">
      <c r="B284" s="161"/>
      <c r="D284" s="153" t="s">
        <v>193</v>
      </c>
      <c r="E284" s="162" t="s">
        <v>3</v>
      </c>
      <c r="F284" s="163" t="s">
        <v>1074</v>
      </c>
      <c r="H284" s="164">
        <v>9.7200000000000006</v>
      </c>
      <c r="I284" s="165"/>
      <c r="L284" s="161"/>
      <c r="M284" s="166"/>
      <c r="N284" s="167"/>
      <c r="O284" s="167"/>
      <c r="P284" s="167"/>
      <c r="Q284" s="167"/>
      <c r="R284" s="167"/>
      <c r="S284" s="167"/>
      <c r="T284" s="168"/>
      <c r="AT284" s="162" t="s">
        <v>193</v>
      </c>
      <c r="AU284" s="162" t="s">
        <v>87</v>
      </c>
      <c r="AV284" s="13" t="s">
        <v>87</v>
      </c>
      <c r="AW284" s="13" t="s">
        <v>36</v>
      </c>
      <c r="AX284" s="13" t="s">
        <v>85</v>
      </c>
      <c r="AY284" s="162" t="s">
        <v>177</v>
      </c>
    </row>
    <row r="285" spans="1:65" s="2" customFormat="1" ht="16.5" customHeight="1">
      <c r="A285" s="34"/>
      <c r="B285" s="139"/>
      <c r="C285" s="140" t="s">
        <v>537</v>
      </c>
      <c r="D285" s="140" t="s">
        <v>180</v>
      </c>
      <c r="E285" s="141" t="s">
        <v>1075</v>
      </c>
      <c r="F285" s="142" t="s">
        <v>1076</v>
      </c>
      <c r="G285" s="143" t="s">
        <v>332</v>
      </c>
      <c r="H285" s="144">
        <v>1.2</v>
      </c>
      <c r="I285" s="145"/>
      <c r="J285" s="146">
        <f>ROUND(I285*H285,2)</f>
        <v>0</v>
      </c>
      <c r="K285" s="142" t="s">
        <v>184</v>
      </c>
      <c r="L285" s="35"/>
      <c r="M285" s="147" t="s">
        <v>3</v>
      </c>
      <c r="N285" s="148" t="s">
        <v>48</v>
      </c>
      <c r="O285" s="55"/>
      <c r="P285" s="149">
        <f>O285*H285</f>
        <v>0</v>
      </c>
      <c r="Q285" s="149">
        <v>0</v>
      </c>
      <c r="R285" s="149">
        <f>Q285*H285</f>
        <v>0</v>
      </c>
      <c r="S285" s="149">
        <v>0.27</v>
      </c>
      <c r="T285" s="150">
        <f>S285*H285</f>
        <v>0.32400000000000001</v>
      </c>
      <c r="U285" s="34"/>
      <c r="V285" s="34"/>
      <c r="W285" s="34"/>
      <c r="X285" s="34"/>
      <c r="Y285" s="34"/>
      <c r="Z285" s="34"/>
      <c r="AA285" s="34"/>
      <c r="AB285" s="34"/>
      <c r="AC285" s="34"/>
      <c r="AD285" s="34"/>
      <c r="AE285" s="34"/>
      <c r="AR285" s="151" t="s">
        <v>185</v>
      </c>
      <c r="AT285" s="151" t="s">
        <v>180</v>
      </c>
      <c r="AU285" s="151" t="s">
        <v>87</v>
      </c>
      <c r="AY285" s="19" t="s">
        <v>177</v>
      </c>
      <c r="BE285" s="152">
        <f>IF(N285="základní",J285,0)</f>
        <v>0</v>
      </c>
      <c r="BF285" s="152">
        <f>IF(N285="snížená",J285,0)</f>
        <v>0</v>
      </c>
      <c r="BG285" s="152">
        <f>IF(N285="zákl. přenesená",J285,0)</f>
        <v>0</v>
      </c>
      <c r="BH285" s="152">
        <f>IF(N285="sníž. přenesená",J285,0)</f>
        <v>0</v>
      </c>
      <c r="BI285" s="152">
        <f>IF(N285="nulová",J285,0)</f>
        <v>0</v>
      </c>
      <c r="BJ285" s="19" t="s">
        <v>85</v>
      </c>
      <c r="BK285" s="152">
        <f>ROUND(I285*H285,2)</f>
        <v>0</v>
      </c>
      <c r="BL285" s="19" t="s">
        <v>185</v>
      </c>
      <c r="BM285" s="151" t="s">
        <v>1077</v>
      </c>
    </row>
    <row r="286" spans="1:65" s="2" customFormat="1" ht="19.5">
      <c r="A286" s="34"/>
      <c r="B286" s="35"/>
      <c r="C286" s="34"/>
      <c r="D286" s="153" t="s">
        <v>187</v>
      </c>
      <c r="E286" s="34"/>
      <c r="F286" s="154" t="s">
        <v>1078</v>
      </c>
      <c r="G286" s="34"/>
      <c r="H286" s="34"/>
      <c r="I286" s="155"/>
      <c r="J286" s="34"/>
      <c r="K286" s="34"/>
      <c r="L286" s="35"/>
      <c r="M286" s="156"/>
      <c r="N286" s="157"/>
      <c r="O286" s="55"/>
      <c r="P286" s="55"/>
      <c r="Q286" s="55"/>
      <c r="R286" s="55"/>
      <c r="S286" s="55"/>
      <c r="T286" s="56"/>
      <c r="U286" s="34"/>
      <c r="V286" s="34"/>
      <c r="W286" s="34"/>
      <c r="X286" s="34"/>
      <c r="Y286" s="34"/>
      <c r="Z286" s="34"/>
      <c r="AA286" s="34"/>
      <c r="AB286" s="34"/>
      <c r="AC286" s="34"/>
      <c r="AD286" s="34"/>
      <c r="AE286" s="34"/>
      <c r="AT286" s="19" t="s">
        <v>187</v>
      </c>
      <c r="AU286" s="19" t="s">
        <v>87</v>
      </c>
    </row>
    <row r="287" spans="1:65" s="2" customFormat="1">
      <c r="A287" s="34"/>
      <c r="B287" s="35"/>
      <c r="C287" s="34"/>
      <c r="D287" s="158" t="s">
        <v>189</v>
      </c>
      <c r="E287" s="34"/>
      <c r="F287" s="159" t="s">
        <v>1079</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189</v>
      </c>
      <c r="AU287" s="19" t="s">
        <v>87</v>
      </c>
    </row>
    <row r="288" spans="1:65" s="14" customFormat="1">
      <c r="B288" s="169"/>
      <c r="D288" s="153" t="s">
        <v>193</v>
      </c>
      <c r="E288" s="170" t="s">
        <v>3</v>
      </c>
      <c r="F288" s="171" t="s">
        <v>931</v>
      </c>
      <c r="H288" s="170" t="s">
        <v>3</v>
      </c>
      <c r="I288" s="172"/>
      <c r="L288" s="169"/>
      <c r="M288" s="173"/>
      <c r="N288" s="174"/>
      <c r="O288" s="174"/>
      <c r="P288" s="174"/>
      <c r="Q288" s="174"/>
      <c r="R288" s="174"/>
      <c r="S288" s="174"/>
      <c r="T288" s="175"/>
      <c r="AT288" s="170" t="s">
        <v>193</v>
      </c>
      <c r="AU288" s="170" t="s">
        <v>87</v>
      </c>
      <c r="AV288" s="14" t="s">
        <v>85</v>
      </c>
      <c r="AW288" s="14" t="s">
        <v>36</v>
      </c>
      <c r="AX288" s="14" t="s">
        <v>77</v>
      </c>
      <c r="AY288" s="170" t="s">
        <v>177</v>
      </c>
    </row>
    <row r="289" spans="1:65" s="13" customFormat="1">
      <c r="B289" s="161"/>
      <c r="D289" s="153" t="s">
        <v>193</v>
      </c>
      <c r="E289" s="162" t="s">
        <v>3</v>
      </c>
      <c r="F289" s="163" t="s">
        <v>1080</v>
      </c>
      <c r="H289" s="164">
        <v>1.2</v>
      </c>
      <c r="I289" s="165"/>
      <c r="L289" s="161"/>
      <c r="M289" s="166"/>
      <c r="N289" s="167"/>
      <c r="O289" s="167"/>
      <c r="P289" s="167"/>
      <c r="Q289" s="167"/>
      <c r="R289" s="167"/>
      <c r="S289" s="167"/>
      <c r="T289" s="168"/>
      <c r="AT289" s="162" t="s">
        <v>193</v>
      </c>
      <c r="AU289" s="162" t="s">
        <v>87</v>
      </c>
      <c r="AV289" s="13" t="s">
        <v>87</v>
      </c>
      <c r="AW289" s="13" t="s">
        <v>36</v>
      </c>
      <c r="AX289" s="13" t="s">
        <v>85</v>
      </c>
      <c r="AY289" s="162" t="s">
        <v>177</v>
      </c>
    </row>
    <row r="290" spans="1:65" s="2" customFormat="1" ht="16.5" customHeight="1">
      <c r="A290" s="34"/>
      <c r="B290" s="139"/>
      <c r="C290" s="140" t="s">
        <v>757</v>
      </c>
      <c r="D290" s="140" t="s">
        <v>180</v>
      </c>
      <c r="E290" s="141" t="s">
        <v>1081</v>
      </c>
      <c r="F290" s="142" t="s">
        <v>1082</v>
      </c>
      <c r="G290" s="143" t="s">
        <v>808</v>
      </c>
      <c r="H290" s="144">
        <v>2.31</v>
      </c>
      <c r="I290" s="145"/>
      <c r="J290" s="146">
        <f>ROUND(I290*H290,2)</f>
        <v>0</v>
      </c>
      <c r="K290" s="142" t="s">
        <v>184</v>
      </c>
      <c r="L290" s="35"/>
      <c r="M290" s="147" t="s">
        <v>3</v>
      </c>
      <c r="N290" s="148" t="s">
        <v>48</v>
      </c>
      <c r="O290" s="55"/>
      <c r="P290" s="149">
        <f>O290*H290</f>
        <v>0</v>
      </c>
      <c r="Q290" s="149">
        <v>0</v>
      </c>
      <c r="R290" s="149">
        <f>Q290*H290</f>
        <v>0</v>
      </c>
      <c r="S290" s="149">
        <v>1.8</v>
      </c>
      <c r="T290" s="150">
        <f>S290*H290</f>
        <v>4.1580000000000004</v>
      </c>
      <c r="U290" s="34"/>
      <c r="V290" s="34"/>
      <c r="W290" s="34"/>
      <c r="X290" s="34"/>
      <c r="Y290" s="34"/>
      <c r="Z290" s="34"/>
      <c r="AA290" s="34"/>
      <c r="AB290" s="34"/>
      <c r="AC290" s="34"/>
      <c r="AD290" s="34"/>
      <c r="AE290" s="34"/>
      <c r="AR290" s="151" t="s">
        <v>185</v>
      </c>
      <c r="AT290" s="151" t="s">
        <v>180</v>
      </c>
      <c r="AU290" s="151" t="s">
        <v>87</v>
      </c>
      <c r="AY290" s="19" t="s">
        <v>177</v>
      </c>
      <c r="BE290" s="152">
        <f>IF(N290="základní",J290,0)</f>
        <v>0</v>
      </c>
      <c r="BF290" s="152">
        <f>IF(N290="snížená",J290,0)</f>
        <v>0</v>
      </c>
      <c r="BG290" s="152">
        <f>IF(N290="zákl. přenesená",J290,0)</f>
        <v>0</v>
      </c>
      <c r="BH290" s="152">
        <f>IF(N290="sníž. přenesená",J290,0)</f>
        <v>0</v>
      </c>
      <c r="BI290" s="152">
        <f>IF(N290="nulová",J290,0)</f>
        <v>0</v>
      </c>
      <c r="BJ290" s="19" t="s">
        <v>85</v>
      </c>
      <c r="BK290" s="152">
        <f>ROUND(I290*H290,2)</f>
        <v>0</v>
      </c>
      <c r="BL290" s="19" t="s">
        <v>185</v>
      </c>
      <c r="BM290" s="151" t="s">
        <v>1083</v>
      </c>
    </row>
    <row r="291" spans="1:65" s="2" customFormat="1" ht="19.5">
      <c r="A291" s="34"/>
      <c r="B291" s="35"/>
      <c r="C291" s="34"/>
      <c r="D291" s="153" t="s">
        <v>187</v>
      </c>
      <c r="E291" s="34"/>
      <c r="F291" s="154" t="s">
        <v>1084</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187</v>
      </c>
      <c r="AU291" s="19" t="s">
        <v>87</v>
      </c>
    </row>
    <row r="292" spans="1:65" s="2" customFormat="1">
      <c r="A292" s="34"/>
      <c r="B292" s="35"/>
      <c r="C292" s="34"/>
      <c r="D292" s="158" t="s">
        <v>189</v>
      </c>
      <c r="E292" s="34"/>
      <c r="F292" s="159" t="s">
        <v>1085</v>
      </c>
      <c r="G292" s="34"/>
      <c r="H292" s="34"/>
      <c r="I292" s="155"/>
      <c r="J292" s="34"/>
      <c r="K292" s="34"/>
      <c r="L292" s="35"/>
      <c r="M292" s="156"/>
      <c r="N292" s="157"/>
      <c r="O292" s="55"/>
      <c r="P292" s="55"/>
      <c r="Q292" s="55"/>
      <c r="R292" s="55"/>
      <c r="S292" s="55"/>
      <c r="T292" s="56"/>
      <c r="U292" s="34"/>
      <c r="V292" s="34"/>
      <c r="W292" s="34"/>
      <c r="X292" s="34"/>
      <c r="Y292" s="34"/>
      <c r="Z292" s="34"/>
      <c r="AA292" s="34"/>
      <c r="AB292" s="34"/>
      <c r="AC292" s="34"/>
      <c r="AD292" s="34"/>
      <c r="AE292" s="34"/>
      <c r="AT292" s="19" t="s">
        <v>189</v>
      </c>
      <c r="AU292" s="19" t="s">
        <v>87</v>
      </c>
    </row>
    <row r="293" spans="1:65" s="14" customFormat="1">
      <c r="B293" s="169"/>
      <c r="D293" s="153" t="s">
        <v>193</v>
      </c>
      <c r="E293" s="170" t="s">
        <v>3</v>
      </c>
      <c r="F293" s="171" t="s">
        <v>931</v>
      </c>
      <c r="H293" s="170" t="s">
        <v>3</v>
      </c>
      <c r="I293" s="172"/>
      <c r="L293" s="169"/>
      <c r="M293" s="173"/>
      <c r="N293" s="174"/>
      <c r="O293" s="174"/>
      <c r="P293" s="174"/>
      <c r="Q293" s="174"/>
      <c r="R293" s="174"/>
      <c r="S293" s="174"/>
      <c r="T293" s="175"/>
      <c r="AT293" s="170" t="s">
        <v>193</v>
      </c>
      <c r="AU293" s="170" t="s">
        <v>87</v>
      </c>
      <c r="AV293" s="14" t="s">
        <v>85</v>
      </c>
      <c r="AW293" s="14" t="s">
        <v>36</v>
      </c>
      <c r="AX293" s="14" t="s">
        <v>77</v>
      </c>
      <c r="AY293" s="170" t="s">
        <v>177</v>
      </c>
    </row>
    <row r="294" spans="1:65" s="13" customFormat="1">
      <c r="B294" s="161"/>
      <c r="D294" s="153" t="s">
        <v>193</v>
      </c>
      <c r="E294" s="162" t="s">
        <v>3</v>
      </c>
      <c r="F294" s="163" t="s">
        <v>1086</v>
      </c>
      <c r="H294" s="164">
        <v>2.31</v>
      </c>
      <c r="I294" s="165"/>
      <c r="L294" s="161"/>
      <c r="M294" s="166"/>
      <c r="N294" s="167"/>
      <c r="O294" s="167"/>
      <c r="P294" s="167"/>
      <c r="Q294" s="167"/>
      <c r="R294" s="167"/>
      <c r="S294" s="167"/>
      <c r="T294" s="168"/>
      <c r="AT294" s="162" t="s">
        <v>193</v>
      </c>
      <c r="AU294" s="162" t="s">
        <v>87</v>
      </c>
      <c r="AV294" s="13" t="s">
        <v>87</v>
      </c>
      <c r="AW294" s="13" t="s">
        <v>36</v>
      </c>
      <c r="AX294" s="13" t="s">
        <v>85</v>
      </c>
      <c r="AY294" s="162" t="s">
        <v>177</v>
      </c>
    </row>
    <row r="295" spans="1:65" s="2" customFormat="1" ht="16.5" customHeight="1">
      <c r="A295" s="34"/>
      <c r="B295" s="139"/>
      <c r="C295" s="140" t="s">
        <v>764</v>
      </c>
      <c r="D295" s="140" t="s">
        <v>180</v>
      </c>
      <c r="E295" s="141" t="s">
        <v>1087</v>
      </c>
      <c r="F295" s="142" t="s">
        <v>1088</v>
      </c>
      <c r="G295" s="143" t="s">
        <v>808</v>
      </c>
      <c r="H295" s="144">
        <v>3.778</v>
      </c>
      <c r="I295" s="145"/>
      <c r="J295" s="146">
        <f>ROUND(I295*H295,2)</f>
        <v>0</v>
      </c>
      <c r="K295" s="142" t="s">
        <v>184</v>
      </c>
      <c r="L295" s="35"/>
      <c r="M295" s="147" t="s">
        <v>3</v>
      </c>
      <c r="N295" s="148" t="s">
        <v>48</v>
      </c>
      <c r="O295" s="55"/>
      <c r="P295" s="149">
        <f>O295*H295</f>
        <v>0</v>
      </c>
      <c r="Q295" s="149">
        <v>0</v>
      </c>
      <c r="R295" s="149">
        <f>Q295*H295</f>
        <v>0</v>
      </c>
      <c r="S295" s="149">
        <v>2.4</v>
      </c>
      <c r="T295" s="150">
        <f>S295*H295</f>
        <v>9.0671999999999997</v>
      </c>
      <c r="U295" s="34"/>
      <c r="V295" s="34"/>
      <c r="W295" s="34"/>
      <c r="X295" s="34"/>
      <c r="Y295" s="34"/>
      <c r="Z295" s="34"/>
      <c r="AA295" s="34"/>
      <c r="AB295" s="34"/>
      <c r="AC295" s="34"/>
      <c r="AD295" s="34"/>
      <c r="AE295" s="34"/>
      <c r="AR295" s="151" t="s">
        <v>185</v>
      </c>
      <c r="AT295" s="151" t="s">
        <v>180</v>
      </c>
      <c r="AU295" s="151" t="s">
        <v>87</v>
      </c>
      <c r="AY295" s="19" t="s">
        <v>177</v>
      </c>
      <c r="BE295" s="152">
        <f>IF(N295="základní",J295,0)</f>
        <v>0</v>
      </c>
      <c r="BF295" s="152">
        <f>IF(N295="snížená",J295,0)</f>
        <v>0</v>
      </c>
      <c r="BG295" s="152">
        <f>IF(N295="zákl. přenesená",J295,0)</f>
        <v>0</v>
      </c>
      <c r="BH295" s="152">
        <f>IF(N295="sníž. přenesená",J295,0)</f>
        <v>0</v>
      </c>
      <c r="BI295" s="152">
        <f>IF(N295="nulová",J295,0)</f>
        <v>0</v>
      </c>
      <c r="BJ295" s="19" t="s">
        <v>85</v>
      </c>
      <c r="BK295" s="152">
        <f>ROUND(I295*H295,2)</f>
        <v>0</v>
      </c>
      <c r="BL295" s="19" t="s">
        <v>185</v>
      </c>
      <c r="BM295" s="151" t="s">
        <v>1089</v>
      </c>
    </row>
    <row r="296" spans="1:65" s="2" customFormat="1">
      <c r="A296" s="34"/>
      <c r="B296" s="35"/>
      <c r="C296" s="34"/>
      <c r="D296" s="153" t="s">
        <v>187</v>
      </c>
      <c r="E296" s="34"/>
      <c r="F296" s="154" t="s">
        <v>1090</v>
      </c>
      <c r="G296" s="34"/>
      <c r="H296" s="34"/>
      <c r="I296" s="155"/>
      <c r="J296" s="34"/>
      <c r="K296" s="34"/>
      <c r="L296" s="35"/>
      <c r="M296" s="156"/>
      <c r="N296" s="157"/>
      <c r="O296" s="55"/>
      <c r="P296" s="55"/>
      <c r="Q296" s="55"/>
      <c r="R296" s="55"/>
      <c r="S296" s="55"/>
      <c r="T296" s="56"/>
      <c r="U296" s="34"/>
      <c r="V296" s="34"/>
      <c r="W296" s="34"/>
      <c r="X296" s="34"/>
      <c r="Y296" s="34"/>
      <c r="Z296" s="34"/>
      <c r="AA296" s="34"/>
      <c r="AB296" s="34"/>
      <c r="AC296" s="34"/>
      <c r="AD296" s="34"/>
      <c r="AE296" s="34"/>
      <c r="AT296" s="19" t="s">
        <v>187</v>
      </c>
      <c r="AU296" s="19" t="s">
        <v>87</v>
      </c>
    </row>
    <row r="297" spans="1:65" s="2" customFormat="1">
      <c r="A297" s="34"/>
      <c r="B297" s="35"/>
      <c r="C297" s="34"/>
      <c r="D297" s="158" t="s">
        <v>189</v>
      </c>
      <c r="E297" s="34"/>
      <c r="F297" s="159" t="s">
        <v>1091</v>
      </c>
      <c r="G297" s="34"/>
      <c r="H297" s="34"/>
      <c r="I297" s="155"/>
      <c r="J297" s="34"/>
      <c r="K297" s="34"/>
      <c r="L297" s="35"/>
      <c r="M297" s="156"/>
      <c r="N297" s="157"/>
      <c r="O297" s="55"/>
      <c r="P297" s="55"/>
      <c r="Q297" s="55"/>
      <c r="R297" s="55"/>
      <c r="S297" s="55"/>
      <c r="T297" s="56"/>
      <c r="U297" s="34"/>
      <c r="V297" s="34"/>
      <c r="W297" s="34"/>
      <c r="X297" s="34"/>
      <c r="Y297" s="34"/>
      <c r="Z297" s="34"/>
      <c r="AA297" s="34"/>
      <c r="AB297" s="34"/>
      <c r="AC297" s="34"/>
      <c r="AD297" s="34"/>
      <c r="AE297" s="34"/>
      <c r="AT297" s="19" t="s">
        <v>189</v>
      </c>
      <c r="AU297" s="19" t="s">
        <v>87</v>
      </c>
    </row>
    <row r="298" spans="1:65" s="14" customFormat="1">
      <c r="B298" s="169"/>
      <c r="D298" s="153" t="s">
        <v>193</v>
      </c>
      <c r="E298" s="170" t="s">
        <v>3</v>
      </c>
      <c r="F298" s="171" t="s">
        <v>931</v>
      </c>
      <c r="H298" s="170" t="s">
        <v>3</v>
      </c>
      <c r="I298" s="172"/>
      <c r="L298" s="169"/>
      <c r="M298" s="173"/>
      <c r="N298" s="174"/>
      <c r="O298" s="174"/>
      <c r="P298" s="174"/>
      <c r="Q298" s="174"/>
      <c r="R298" s="174"/>
      <c r="S298" s="174"/>
      <c r="T298" s="175"/>
      <c r="AT298" s="170" t="s">
        <v>193</v>
      </c>
      <c r="AU298" s="170" t="s">
        <v>87</v>
      </c>
      <c r="AV298" s="14" t="s">
        <v>85</v>
      </c>
      <c r="AW298" s="14" t="s">
        <v>36</v>
      </c>
      <c r="AX298" s="14" t="s">
        <v>77</v>
      </c>
      <c r="AY298" s="170" t="s">
        <v>177</v>
      </c>
    </row>
    <row r="299" spans="1:65" s="13" customFormat="1">
      <c r="B299" s="161"/>
      <c r="D299" s="153" t="s">
        <v>193</v>
      </c>
      <c r="E299" s="162" t="s">
        <v>3</v>
      </c>
      <c r="F299" s="163" t="s">
        <v>1092</v>
      </c>
      <c r="H299" s="164">
        <v>1.355</v>
      </c>
      <c r="I299" s="165"/>
      <c r="L299" s="161"/>
      <c r="M299" s="166"/>
      <c r="N299" s="167"/>
      <c r="O299" s="167"/>
      <c r="P299" s="167"/>
      <c r="Q299" s="167"/>
      <c r="R299" s="167"/>
      <c r="S299" s="167"/>
      <c r="T299" s="168"/>
      <c r="AT299" s="162" t="s">
        <v>193</v>
      </c>
      <c r="AU299" s="162" t="s">
        <v>87</v>
      </c>
      <c r="AV299" s="13" t="s">
        <v>87</v>
      </c>
      <c r="AW299" s="13" t="s">
        <v>36</v>
      </c>
      <c r="AX299" s="13" t="s">
        <v>77</v>
      </c>
      <c r="AY299" s="162" t="s">
        <v>177</v>
      </c>
    </row>
    <row r="300" spans="1:65" s="13" customFormat="1">
      <c r="B300" s="161"/>
      <c r="D300" s="153" t="s">
        <v>193</v>
      </c>
      <c r="E300" s="162" t="s">
        <v>3</v>
      </c>
      <c r="F300" s="163" t="s">
        <v>1093</v>
      </c>
      <c r="H300" s="164">
        <v>1.129</v>
      </c>
      <c r="I300" s="165"/>
      <c r="L300" s="161"/>
      <c r="M300" s="166"/>
      <c r="N300" s="167"/>
      <c r="O300" s="167"/>
      <c r="P300" s="167"/>
      <c r="Q300" s="167"/>
      <c r="R300" s="167"/>
      <c r="S300" s="167"/>
      <c r="T300" s="168"/>
      <c r="AT300" s="162" t="s">
        <v>193</v>
      </c>
      <c r="AU300" s="162" t="s">
        <v>87</v>
      </c>
      <c r="AV300" s="13" t="s">
        <v>87</v>
      </c>
      <c r="AW300" s="13" t="s">
        <v>36</v>
      </c>
      <c r="AX300" s="13" t="s">
        <v>77</v>
      </c>
      <c r="AY300" s="162" t="s">
        <v>177</v>
      </c>
    </row>
    <row r="301" spans="1:65" s="13" customFormat="1">
      <c r="B301" s="161"/>
      <c r="D301" s="153" t="s">
        <v>193</v>
      </c>
      <c r="E301" s="162" t="s">
        <v>3</v>
      </c>
      <c r="F301" s="163" t="s">
        <v>1094</v>
      </c>
      <c r="H301" s="164">
        <v>0.51500000000000001</v>
      </c>
      <c r="I301" s="165"/>
      <c r="L301" s="161"/>
      <c r="M301" s="166"/>
      <c r="N301" s="167"/>
      <c r="O301" s="167"/>
      <c r="P301" s="167"/>
      <c r="Q301" s="167"/>
      <c r="R301" s="167"/>
      <c r="S301" s="167"/>
      <c r="T301" s="168"/>
      <c r="AT301" s="162" t="s">
        <v>193</v>
      </c>
      <c r="AU301" s="162" t="s">
        <v>87</v>
      </c>
      <c r="AV301" s="13" t="s">
        <v>87</v>
      </c>
      <c r="AW301" s="13" t="s">
        <v>36</v>
      </c>
      <c r="AX301" s="13" t="s">
        <v>77</v>
      </c>
      <c r="AY301" s="162" t="s">
        <v>177</v>
      </c>
    </row>
    <row r="302" spans="1:65" s="13" customFormat="1">
      <c r="B302" s="161"/>
      <c r="D302" s="153" t="s">
        <v>193</v>
      </c>
      <c r="E302" s="162" t="s">
        <v>3</v>
      </c>
      <c r="F302" s="163" t="s">
        <v>1095</v>
      </c>
      <c r="H302" s="164">
        <v>0.42899999999999999</v>
      </c>
      <c r="I302" s="165"/>
      <c r="L302" s="161"/>
      <c r="M302" s="166"/>
      <c r="N302" s="167"/>
      <c r="O302" s="167"/>
      <c r="P302" s="167"/>
      <c r="Q302" s="167"/>
      <c r="R302" s="167"/>
      <c r="S302" s="167"/>
      <c r="T302" s="168"/>
      <c r="AT302" s="162" t="s">
        <v>193</v>
      </c>
      <c r="AU302" s="162" t="s">
        <v>87</v>
      </c>
      <c r="AV302" s="13" t="s">
        <v>87</v>
      </c>
      <c r="AW302" s="13" t="s">
        <v>36</v>
      </c>
      <c r="AX302" s="13" t="s">
        <v>77</v>
      </c>
      <c r="AY302" s="162" t="s">
        <v>177</v>
      </c>
    </row>
    <row r="303" spans="1:65" s="14" customFormat="1">
      <c r="B303" s="169"/>
      <c r="D303" s="153" t="s">
        <v>193</v>
      </c>
      <c r="E303" s="170" t="s">
        <v>3</v>
      </c>
      <c r="F303" s="171" t="s">
        <v>1096</v>
      </c>
      <c r="H303" s="170" t="s">
        <v>3</v>
      </c>
      <c r="I303" s="172"/>
      <c r="L303" s="169"/>
      <c r="M303" s="173"/>
      <c r="N303" s="174"/>
      <c r="O303" s="174"/>
      <c r="P303" s="174"/>
      <c r="Q303" s="174"/>
      <c r="R303" s="174"/>
      <c r="S303" s="174"/>
      <c r="T303" s="175"/>
      <c r="AT303" s="170" t="s">
        <v>193</v>
      </c>
      <c r="AU303" s="170" t="s">
        <v>87</v>
      </c>
      <c r="AV303" s="14" t="s">
        <v>85</v>
      </c>
      <c r="AW303" s="14" t="s">
        <v>36</v>
      </c>
      <c r="AX303" s="14" t="s">
        <v>77</v>
      </c>
      <c r="AY303" s="170" t="s">
        <v>177</v>
      </c>
    </row>
    <row r="304" spans="1:65" s="13" customFormat="1">
      <c r="B304" s="161"/>
      <c r="D304" s="153" t="s">
        <v>193</v>
      </c>
      <c r="E304" s="162" t="s">
        <v>3</v>
      </c>
      <c r="F304" s="163" t="s">
        <v>1097</v>
      </c>
      <c r="H304" s="164">
        <v>0.35</v>
      </c>
      <c r="I304" s="165"/>
      <c r="L304" s="161"/>
      <c r="M304" s="166"/>
      <c r="N304" s="167"/>
      <c r="O304" s="167"/>
      <c r="P304" s="167"/>
      <c r="Q304" s="167"/>
      <c r="R304" s="167"/>
      <c r="S304" s="167"/>
      <c r="T304" s="168"/>
      <c r="AT304" s="162" t="s">
        <v>193</v>
      </c>
      <c r="AU304" s="162" t="s">
        <v>87</v>
      </c>
      <c r="AV304" s="13" t="s">
        <v>87</v>
      </c>
      <c r="AW304" s="13" t="s">
        <v>36</v>
      </c>
      <c r="AX304" s="13" t="s">
        <v>77</v>
      </c>
      <c r="AY304" s="162" t="s">
        <v>177</v>
      </c>
    </row>
    <row r="305" spans="1:65" s="16" customFormat="1">
      <c r="B305" s="184"/>
      <c r="D305" s="153" t="s">
        <v>193</v>
      </c>
      <c r="E305" s="185" t="s">
        <v>3</v>
      </c>
      <c r="F305" s="186" t="s">
        <v>201</v>
      </c>
      <c r="H305" s="187">
        <v>3.778</v>
      </c>
      <c r="I305" s="188"/>
      <c r="L305" s="184"/>
      <c r="M305" s="189"/>
      <c r="N305" s="190"/>
      <c r="O305" s="190"/>
      <c r="P305" s="190"/>
      <c r="Q305" s="190"/>
      <c r="R305" s="190"/>
      <c r="S305" s="190"/>
      <c r="T305" s="191"/>
      <c r="AT305" s="185" t="s">
        <v>193</v>
      </c>
      <c r="AU305" s="185" t="s">
        <v>87</v>
      </c>
      <c r="AV305" s="16" t="s">
        <v>185</v>
      </c>
      <c r="AW305" s="16" t="s">
        <v>36</v>
      </c>
      <c r="AX305" s="16" t="s">
        <v>85</v>
      </c>
      <c r="AY305" s="185" t="s">
        <v>177</v>
      </c>
    </row>
    <row r="306" spans="1:65" s="2" customFormat="1" ht="16.5" customHeight="1">
      <c r="A306" s="34"/>
      <c r="B306" s="139"/>
      <c r="C306" s="140" t="s">
        <v>772</v>
      </c>
      <c r="D306" s="140" t="s">
        <v>180</v>
      </c>
      <c r="E306" s="141" t="s">
        <v>1098</v>
      </c>
      <c r="F306" s="142" t="s">
        <v>1099</v>
      </c>
      <c r="G306" s="143" t="s">
        <v>236</v>
      </c>
      <c r="H306" s="144">
        <v>15</v>
      </c>
      <c r="I306" s="145"/>
      <c r="J306" s="146">
        <f>ROUND(I306*H306,2)</f>
        <v>0</v>
      </c>
      <c r="K306" s="142" t="s">
        <v>184</v>
      </c>
      <c r="L306" s="35"/>
      <c r="M306" s="147" t="s">
        <v>3</v>
      </c>
      <c r="N306" s="148" t="s">
        <v>48</v>
      </c>
      <c r="O306" s="55"/>
      <c r="P306" s="149">
        <f>O306*H306</f>
        <v>0</v>
      </c>
      <c r="Q306" s="149">
        <v>0</v>
      </c>
      <c r="R306" s="149">
        <f>Q306*H306</f>
        <v>0</v>
      </c>
      <c r="S306" s="149">
        <v>6.2E-2</v>
      </c>
      <c r="T306" s="150">
        <f>S306*H306</f>
        <v>0.92999999999999994</v>
      </c>
      <c r="U306" s="34"/>
      <c r="V306" s="34"/>
      <c r="W306" s="34"/>
      <c r="X306" s="34"/>
      <c r="Y306" s="34"/>
      <c r="Z306" s="34"/>
      <c r="AA306" s="34"/>
      <c r="AB306" s="34"/>
      <c r="AC306" s="34"/>
      <c r="AD306" s="34"/>
      <c r="AE306" s="34"/>
      <c r="AR306" s="151" t="s">
        <v>185</v>
      </c>
      <c r="AT306" s="151" t="s">
        <v>180</v>
      </c>
      <c r="AU306" s="151" t="s">
        <v>87</v>
      </c>
      <c r="AY306" s="19" t="s">
        <v>177</v>
      </c>
      <c r="BE306" s="152">
        <f>IF(N306="základní",J306,0)</f>
        <v>0</v>
      </c>
      <c r="BF306" s="152">
        <f>IF(N306="snížená",J306,0)</f>
        <v>0</v>
      </c>
      <c r="BG306" s="152">
        <f>IF(N306="zákl. přenesená",J306,0)</f>
        <v>0</v>
      </c>
      <c r="BH306" s="152">
        <f>IF(N306="sníž. přenesená",J306,0)</f>
        <v>0</v>
      </c>
      <c r="BI306" s="152">
        <f>IF(N306="nulová",J306,0)</f>
        <v>0</v>
      </c>
      <c r="BJ306" s="19" t="s">
        <v>85</v>
      </c>
      <c r="BK306" s="152">
        <f>ROUND(I306*H306,2)</f>
        <v>0</v>
      </c>
      <c r="BL306" s="19" t="s">
        <v>185</v>
      </c>
      <c r="BM306" s="151" t="s">
        <v>1100</v>
      </c>
    </row>
    <row r="307" spans="1:65" s="2" customFormat="1">
      <c r="A307" s="34"/>
      <c r="B307" s="35"/>
      <c r="C307" s="34"/>
      <c r="D307" s="153" t="s">
        <v>187</v>
      </c>
      <c r="E307" s="34"/>
      <c r="F307" s="154" t="s">
        <v>1101</v>
      </c>
      <c r="G307" s="34"/>
      <c r="H307" s="34"/>
      <c r="I307" s="155"/>
      <c r="J307" s="34"/>
      <c r="K307" s="34"/>
      <c r="L307" s="35"/>
      <c r="M307" s="156"/>
      <c r="N307" s="157"/>
      <c r="O307" s="55"/>
      <c r="P307" s="55"/>
      <c r="Q307" s="55"/>
      <c r="R307" s="55"/>
      <c r="S307" s="55"/>
      <c r="T307" s="56"/>
      <c r="U307" s="34"/>
      <c r="V307" s="34"/>
      <c r="W307" s="34"/>
      <c r="X307" s="34"/>
      <c r="Y307" s="34"/>
      <c r="Z307" s="34"/>
      <c r="AA307" s="34"/>
      <c r="AB307" s="34"/>
      <c r="AC307" s="34"/>
      <c r="AD307" s="34"/>
      <c r="AE307" s="34"/>
      <c r="AT307" s="19" t="s">
        <v>187</v>
      </c>
      <c r="AU307" s="19" t="s">
        <v>87</v>
      </c>
    </row>
    <row r="308" spans="1:65" s="2" customFormat="1">
      <c r="A308" s="34"/>
      <c r="B308" s="35"/>
      <c r="C308" s="34"/>
      <c r="D308" s="158" t="s">
        <v>189</v>
      </c>
      <c r="E308" s="34"/>
      <c r="F308" s="159" t="s">
        <v>1102</v>
      </c>
      <c r="G308" s="34"/>
      <c r="H308" s="34"/>
      <c r="I308" s="155"/>
      <c r="J308" s="34"/>
      <c r="K308" s="34"/>
      <c r="L308" s="35"/>
      <c r="M308" s="156"/>
      <c r="N308" s="157"/>
      <c r="O308" s="55"/>
      <c r="P308" s="55"/>
      <c r="Q308" s="55"/>
      <c r="R308" s="55"/>
      <c r="S308" s="55"/>
      <c r="T308" s="56"/>
      <c r="U308" s="34"/>
      <c r="V308" s="34"/>
      <c r="W308" s="34"/>
      <c r="X308" s="34"/>
      <c r="Y308" s="34"/>
      <c r="Z308" s="34"/>
      <c r="AA308" s="34"/>
      <c r="AB308" s="34"/>
      <c r="AC308" s="34"/>
      <c r="AD308" s="34"/>
      <c r="AE308" s="34"/>
      <c r="AT308" s="19" t="s">
        <v>189</v>
      </c>
      <c r="AU308" s="19" t="s">
        <v>87</v>
      </c>
    </row>
    <row r="309" spans="1:65" s="14" customFormat="1">
      <c r="B309" s="169"/>
      <c r="D309" s="153" t="s">
        <v>193</v>
      </c>
      <c r="E309" s="170" t="s">
        <v>3</v>
      </c>
      <c r="F309" s="171" t="s">
        <v>931</v>
      </c>
      <c r="H309" s="170" t="s">
        <v>3</v>
      </c>
      <c r="I309" s="172"/>
      <c r="L309" s="169"/>
      <c r="M309" s="173"/>
      <c r="N309" s="174"/>
      <c r="O309" s="174"/>
      <c r="P309" s="174"/>
      <c r="Q309" s="174"/>
      <c r="R309" s="174"/>
      <c r="S309" s="174"/>
      <c r="T309" s="175"/>
      <c r="AT309" s="170" t="s">
        <v>193</v>
      </c>
      <c r="AU309" s="170" t="s">
        <v>87</v>
      </c>
      <c r="AV309" s="14" t="s">
        <v>85</v>
      </c>
      <c r="AW309" s="14" t="s">
        <v>36</v>
      </c>
      <c r="AX309" s="14" t="s">
        <v>77</v>
      </c>
      <c r="AY309" s="170" t="s">
        <v>177</v>
      </c>
    </row>
    <row r="310" spans="1:65" s="13" customFormat="1">
      <c r="B310" s="161"/>
      <c r="D310" s="153" t="s">
        <v>193</v>
      </c>
      <c r="E310" s="162" t="s">
        <v>3</v>
      </c>
      <c r="F310" s="163" t="s">
        <v>1103</v>
      </c>
      <c r="H310" s="164">
        <v>10</v>
      </c>
      <c r="I310" s="165"/>
      <c r="L310" s="161"/>
      <c r="M310" s="166"/>
      <c r="N310" s="167"/>
      <c r="O310" s="167"/>
      <c r="P310" s="167"/>
      <c r="Q310" s="167"/>
      <c r="R310" s="167"/>
      <c r="S310" s="167"/>
      <c r="T310" s="168"/>
      <c r="AT310" s="162" t="s">
        <v>193</v>
      </c>
      <c r="AU310" s="162" t="s">
        <v>87</v>
      </c>
      <c r="AV310" s="13" t="s">
        <v>87</v>
      </c>
      <c r="AW310" s="13" t="s">
        <v>36</v>
      </c>
      <c r="AX310" s="13" t="s">
        <v>77</v>
      </c>
      <c r="AY310" s="162" t="s">
        <v>177</v>
      </c>
    </row>
    <row r="311" spans="1:65" s="13" customFormat="1">
      <c r="B311" s="161"/>
      <c r="D311" s="153" t="s">
        <v>193</v>
      </c>
      <c r="E311" s="162" t="s">
        <v>3</v>
      </c>
      <c r="F311" s="163" t="s">
        <v>1104</v>
      </c>
      <c r="H311" s="164">
        <v>5</v>
      </c>
      <c r="I311" s="165"/>
      <c r="L311" s="161"/>
      <c r="M311" s="166"/>
      <c r="N311" s="167"/>
      <c r="O311" s="167"/>
      <c r="P311" s="167"/>
      <c r="Q311" s="167"/>
      <c r="R311" s="167"/>
      <c r="S311" s="167"/>
      <c r="T311" s="168"/>
      <c r="AT311" s="162" t="s">
        <v>193</v>
      </c>
      <c r="AU311" s="162" t="s">
        <v>87</v>
      </c>
      <c r="AV311" s="13" t="s">
        <v>87</v>
      </c>
      <c r="AW311" s="13" t="s">
        <v>36</v>
      </c>
      <c r="AX311" s="13" t="s">
        <v>77</v>
      </c>
      <c r="AY311" s="162" t="s">
        <v>177</v>
      </c>
    </row>
    <row r="312" spans="1:65" s="16" customFormat="1">
      <c r="B312" s="184"/>
      <c r="D312" s="153" t="s">
        <v>193</v>
      </c>
      <c r="E312" s="185" t="s">
        <v>3</v>
      </c>
      <c r="F312" s="186" t="s">
        <v>201</v>
      </c>
      <c r="H312" s="187">
        <v>15</v>
      </c>
      <c r="I312" s="188"/>
      <c r="L312" s="184"/>
      <c r="M312" s="189"/>
      <c r="N312" s="190"/>
      <c r="O312" s="190"/>
      <c r="P312" s="190"/>
      <c r="Q312" s="190"/>
      <c r="R312" s="190"/>
      <c r="S312" s="190"/>
      <c r="T312" s="191"/>
      <c r="AT312" s="185" t="s">
        <v>193</v>
      </c>
      <c r="AU312" s="185" t="s">
        <v>87</v>
      </c>
      <c r="AV312" s="16" t="s">
        <v>185</v>
      </c>
      <c r="AW312" s="16" t="s">
        <v>36</v>
      </c>
      <c r="AX312" s="16" t="s">
        <v>85</v>
      </c>
      <c r="AY312" s="185" t="s">
        <v>177</v>
      </c>
    </row>
    <row r="313" spans="1:65" s="2" customFormat="1" ht="21.75" customHeight="1">
      <c r="A313" s="34"/>
      <c r="B313" s="139"/>
      <c r="C313" s="140" t="s">
        <v>781</v>
      </c>
      <c r="D313" s="140" t="s">
        <v>180</v>
      </c>
      <c r="E313" s="141" t="s">
        <v>701</v>
      </c>
      <c r="F313" s="142" t="s">
        <v>702</v>
      </c>
      <c r="G313" s="143" t="s">
        <v>476</v>
      </c>
      <c r="H313" s="144">
        <v>28</v>
      </c>
      <c r="I313" s="145"/>
      <c r="J313" s="146">
        <f>ROUND(I313*H313,2)</f>
        <v>0</v>
      </c>
      <c r="K313" s="142" t="s">
        <v>184</v>
      </c>
      <c r="L313" s="35"/>
      <c r="M313" s="147" t="s">
        <v>3</v>
      </c>
      <c r="N313" s="148" t="s">
        <v>48</v>
      </c>
      <c r="O313" s="55"/>
      <c r="P313" s="149">
        <f>O313*H313</f>
        <v>0</v>
      </c>
      <c r="Q313" s="149">
        <v>2.3630499999999999E-2</v>
      </c>
      <c r="R313" s="149">
        <f>Q313*H313</f>
        <v>0.66165399999999996</v>
      </c>
      <c r="S313" s="149">
        <v>0</v>
      </c>
      <c r="T313" s="150">
        <f>S313*H313</f>
        <v>0</v>
      </c>
      <c r="U313" s="34"/>
      <c r="V313" s="34"/>
      <c r="W313" s="34"/>
      <c r="X313" s="34"/>
      <c r="Y313" s="34"/>
      <c r="Z313" s="34"/>
      <c r="AA313" s="34"/>
      <c r="AB313" s="34"/>
      <c r="AC313" s="34"/>
      <c r="AD313" s="34"/>
      <c r="AE313" s="34"/>
      <c r="AR313" s="151" t="s">
        <v>185</v>
      </c>
      <c r="AT313" s="151" t="s">
        <v>180</v>
      </c>
      <c r="AU313" s="151" t="s">
        <v>87</v>
      </c>
      <c r="AY313" s="19" t="s">
        <v>177</v>
      </c>
      <c r="BE313" s="152">
        <f>IF(N313="základní",J313,0)</f>
        <v>0</v>
      </c>
      <c r="BF313" s="152">
        <f>IF(N313="snížená",J313,0)</f>
        <v>0</v>
      </c>
      <c r="BG313" s="152">
        <f>IF(N313="zákl. přenesená",J313,0)</f>
        <v>0</v>
      </c>
      <c r="BH313" s="152">
        <f>IF(N313="sníž. přenesená",J313,0)</f>
        <v>0</v>
      </c>
      <c r="BI313" s="152">
        <f>IF(N313="nulová",J313,0)</f>
        <v>0</v>
      </c>
      <c r="BJ313" s="19" t="s">
        <v>85</v>
      </c>
      <c r="BK313" s="152">
        <f>ROUND(I313*H313,2)</f>
        <v>0</v>
      </c>
      <c r="BL313" s="19" t="s">
        <v>185</v>
      </c>
      <c r="BM313" s="151" t="s">
        <v>1105</v>
      </c>
    </row>
    <row r="314" spans="1:65" s="2" customFormat="1" ht="19.5">
      <c r="A314" s="34"/>
      <c r="B314" s="35"/>
      <c r="C314" s="34"/>
      <c r="D314" s="153" t="s">
        <v>187</v>
      </c>
      <c r="E314" s="34"/>
      <c r="F314" s="154" t="s">
        <v>704</v>
      </c>
      <c r="G314" s="34"/>
      <c r="H314" s="34"/>
      <c r="I314" s="155"/>
      <c r="J314" s="34"/>
      <c r="K314" s="34"/>
      <c r="L314" s="35"/>
      <c r="M314" s="156"/>
      <c r="N314" s="157"/>
      <c r="O314" s="55"/>
      <c r="P314" s="55"/>
      <c r="Q314" s="55"/>
      <c r="R314" s="55"/>
      <c r="S314" s="55"/>
      <c r="T314" s="56"/>
      <c r="U314" s="34"/>
      <c r="V314" s="34"/>
      <c r="W314" s="34"/>
      <c r="X314" s="34"/>
      <c r="Y314" s="34"/>
      <c r="Z314" s="34"/>
      <c r="AA314" s="34"/>
      <c r="AB314" s="34"/>
      <c r="AC314" s="34"/>
      <c r="AD314" s="34"/>
      <c r="AE314" s="34"/>
      <c r="AT314" s="19" t="s">
        <v>187</v>
      </c>
      <c r="AU314" s="19" t="s">
        <v>87</v>
      </c>
    </row>
    <row r="315" spans="1:65" s="2" customFormat="1">
      <c r="A315" s="34"/>
      <c r="B315" s="35"/>
      <c r="C315" s="34"/>
      <c r="D315" s="158" t="s">
        <v>189</v>
      </c>
      <c r="E315" s="34"/>
      <c r="F315" s="159" t="s">
        <v>705</v>
      </c>
      <c r="G315" s="34"/>
      <c r="H315" s="34"/>
      <c r="I315" s="155"/>
      <c r="J315" s="34"/>
      <c r="K315" s="34"/>
      <c r="L315" s="35"/>
      <c r="M315" s="156"/>
      <c r="N315" s="157"/>
      <c r="O315" s="55"/>
      <c r="P315" s="55"/>
      <c r="Q315" s="55"/>
      <c r="R315" s="55"/>
      <c r="S315" s="55"/>
      <c r="T315" s="56"/>
      <c r="U315" s="34"/>
      <c r="V315" s="34"/>
      <c r="W315" s="34"/>
      <c r="X315" s="34"/>
      <c r="Y315" s="34"/>
      <c r="Z315" s="34"/>
      <c r="AA315" s="34"/>
      <c r="AB315" s="34"/>
      <c r="AC315" s="34"/>
      <c r="AD315" s="34"/>
      <c r="AE315" s="34"/>
      <c r="AT315" s="19" t="s">
        <v>189</v>
      </c>
      <c r="AU315" s="19" t="s">
        <v>87</v>
      </c>
    </row>
    <row r="316" spans="1:65" s="2" customFormat="1" ht="29.25">
      <c r="A316" s="34"/>
      <c r="B316" s="35"/>
      <c r="C316" s="34"/>
      <c r="D316" s="153" t="s">
        <v>191</v>
      </c>
      <c r="E316" s="34"/>
      <c r="F316" s="160" t="s">
        <v>706</v>
      </c>
      <c r="G316" s="34"/>
      <c r="H316" s="34"/>
      <c r="I316" s="155"/>
      <c r="J316" s="34"/>
      <c r="K316" s="34"/>
      <c r="L316" s="35"/>
      <c r="M316" s="156"/>
      <c r="N316" s="157"/>
      <c r="O316" s="55"/>
      <c r="P316" s="55"/>
      <c r="Q316" s="55"/>
      <c r="R316" s="55"/>
      <c r="S316" s="55"/>
      <c r="T316" s="56"/>
      <c r="U316" s="34"/>
      <c r="V316" s="34"/>
      <c r="W316" s="34"/>
      <c r="X316" s="34"/>
      <c r="Y316" s="34"/>
      <c r="Z316" s="34"/>
      <c r="AA316" s="34"/>
      <c r="AB316" s="34"/>
      <c r="AC316" s="34"/>
      <c r="AD316" s="34"/>
      <c r="AE316" s="34"/>
      <c r="AT316" s="19" t="s">
        <v>191</v>
      </c>
      <c r="AU316" s="19" t="s">
        <v>87</v>
      </c>
    </row>
    <row r="317" spans="1:65" s="14" customFormat="1">
      <c r="B317" s="169"/>
      <c r="D317" s="153" t="s">
        <v>193</v>
      </c>
      <c r="E317" s="170" t="s">
        <v>3</v>
      </c>
      <c r="F317" s="171" t="s">
        <v>1106</v>
      </c>
      <c r="H317" s="170" t="s">
        <v>3</v>
      </c>
      <c r="I317" s="172"/>
      <c r="L317" s="169"/>
      <c r="M317" s="173"/>
      <c r="N317" s="174"/>
      <c r="O317" s="174"/>
      <c r="P317" s="174"/>
      <c r="Q317" s="174"/>
      <c r="R317" s="174"/>
      <c r="S317" s="174"/>
      <c r="T317" s="175"/>
      <c r="AT317" s="170" t="s">
        <v>193</v>
      </c>
      <c r="AU317" s="170" t="s">
        <v>87</v>
      </c>
      <c r="AV317" s="14" t="s">
        <v>85</v>
      </c>
      <c r="AW317" s="14" t="s">
        <v>36</v>
      </c>
      <c r="AX317" s="14" t="s">
        <v>77</v>
      </c>
      <c r="AY317" s="170" t="s">
        <v>177</v>
      </c>
    </row>
    <row r="318" spans="1:65" s="13" customFormat="1">
      <c r="B318" s="161"/>
      <c r="D318" s="153" t="s">
        <v>193</v>
      </c>
      <c r="E318" s="162" t="s">
        <v>3</v>
      </c>
      <c r="F318" s="163" t="s">
        <v>1107</v>
      </c>
      <c r="H318" s="164">
        <v>28</v>
      </c>
      <c r="I318" s="165"/>
      <c r="L318" s="161"/>
      <c r="M318" s="166"/>
      <c r="N318" s="167"/>
      <c r="O318" s="167"/>
      <c r="P318" s="167"/>
      <c r="Q318" s="167"/>
      <c r="R318" s="167"/>
      <c r="S318" s="167"/>
      <c r="T318" s="168"/>
      <c r="AT318" s="162" t="s">
        <v>193</v>
      </c>
      <c r="AU318" s="162" t="s">
        <v>87</v>
      </c>
      <c r="AV318" s="13" t="s">
        <v>87</v>
      </c>
      <c r="AW318" s="13" t="s">
        <v>36</v>
      </c>
      <c r="AX318" s="13" t="s">
        <v>85</v>
      </c>
      <c r="AY318" s="162" t="s">
        <v>177</v>
      </c>
    </row>
    <row r="319" spans="1:65" s="2" customFormat="1" ht="24.2" customHeight="1">
      <c r="A319" s="34"/>
      <c r="B319" s="139"/>
      <c r="C319" s="140" t="s">
        <v>787</v>
      </c>
      <c r="D319" s="140" t="s">
        <v>180</v>
      </c>
      <c r="E319" s="141" t="s">
        <v>707</v>
      </c>
      <c r="F319" s="142" t="s">
        <v>708</v>
      </c>
      <c r="G319" s="143" t="s">
        <v>476</v>
      </c>
      <c r="H319" s="144">
        <v>28</v>
      </c>
      <c r="I319" s="145"/>
      <c r="J319" s="146">
        <f>ROUND(I319*H319,2)</f>
        <v>0</v>
      </c>
      <c r="K319" s="142" t="s">
        <v>184</v>
      </c>
      <c r="L319" s="35"/>
      <c r="M319" s="147" t="s">
        <v>3</v>
      </c>
      <c r="N319" s="148" t="s">
        <v>48</v>
      </c>
      <c r="O319" s="55"/>
      <c r="P319" s="149">
        <f>O319*H319</f>
        <v>0</v>
      </c>
      <c r="Q319" s="149">
        <v>4.3225E-3</v>
      </c>
      <c r="R319" s="149">
        <f>Q319*H319</f>
        <v>0.12103</v>
      </c>
      <c r="S319" s="149">
        <v>0</v>
      </c>
      <c r="T319" s="150">
        <f>S319*H319</f>
        <v>0</v>
      </c>
      <c r="U319" s="34"/>
      <c r="V319" s="34"/>
      <c r="W319" s="34"/>
      <c r="X319" s="34"/>
      <c r="Y319" s="34"/>
      <c r="Z319" s="34"/>
      <c r="AA319" s="34"/>
      <c r="AB319" s="34"/>
      <c r="AC319" s="34"/>
      <c r="AD319" s="34"/>
      <c r="AE319" s="34"/>
      <c r="AR319" s="151" t="s">
        <v>185</v>
      </c>
      <c r="AT319" s="151" t="s">
        <v>180</v>
      </c>
      <c r="AU319" s="151" t="s">
        <v>87</v>
      </c>
      <c r="AY319" s="19" t="s">
        <v>177</v>
      </c>
      <c r="BE319" s="152">
        <f>IF(N319="základní",J319,0)</f>
        <v>0</v>
      </c>
      <c r="BF319" s="152">
        <f>IF(N319="snížená",J319,0)</f>
        <v>0</v>
      </c>
      <c r="BG319" s="152">
        <f>IF(N319="zákl. přenesená",J319,0)</f>
        <v>0</v>
      </c>
      <c r="BH319" s="152">
        <f>IF(N319="sníž. přenesená",J319,0)</f>
        <v>0</v>
      </c>
      <c r="BI319" s="152">
        <f>IF(N319="nulová",J319,0)</f>
        <v>0</v>
      </c>
      <c r="BJ319" s="19" t="s">
        <v>85</v>
      </c>
      <c r="BK319" s="152">
        <f>ROUND(I319*H319,2)</f>
        <v>0</v>
      </c>
      <c r="BL319" s="19" t="s">
        <v>185</v>
      </c>
      <c r="BM319" s="151" t="s">
        <v>1108</v>
      </c>
    </row>
    <row r="320" spans="1:65" s="2" customFormat="1" ht="19.5">
      <c r="A320" s="34"/>
      <c r="B320" s="35"/>
      <c r="C320" s="34"/>
      <c r="D320" s="153" t="s">
        <v>187</v>
      </c>
      <c r="E320" s="34"/>
      <c r="F320" s="154" t="s">
        <v>710</v>
      </c>
      <c r="G320" s="34"/>
      <c r="H320" s="34"/>
      <c r="I320" s="155"/>
      <c r="J320" s="34"/>
      <c r="K320" s="34"/>
      <c r="L320" s="35"/>
      <c r="M320" s="156"/>
      <c r="N320" s="157"/>
      <c r="O320" s="55"/>
      <c r="P320" s="55"/>
      <c r="Q320" s="55"/>
      <c r="R320" s="55"/>
      <c r="S320" s="55"/>
      <c r="T320" s="56"/>
      <c r="U320" s="34"/>
      <c r="V320" s="34"/>
      <c r="W320" s="34"/>
      <c r="X320" s="34"/>
      <c r="Y320" s="34"/>
      <c r="Z320" s="34"/>
      <c r="AA320" s="34"/>
      <c r="AB320" s="34"/>
      <c r="AC320" s="34"/>
      <c r="AD320" s="34"/>
      <c r="AE320" s="34"/>
      <c r="AT320" s="19" t="s">
        <v>187</v>
      </c>
      <c r="AU320" s="19" t="s">
        <v>87</v>
      </c>
    </row>
    <row r="321" spans="1:65" s="2" customFormat="1">
      <c r="A321" s="34"/>
      <c r="B321" s="35"/>
      <c r="C321" s="34"/>
      <c r="D321" s="158" t="s">
        <v>189</v>
      </c>
      <c r="E321" s="34"/>
      <c r="F321" s="159" t="s">
        <v>711</v>
      </c>
      <c r="G321" s="34"/>
      <c r="H321" s="34"/>
      <c r="I321" s="155"/>
      <c r="J321" s="34"/>
      <c r="K321" s="34"/>
      <c r="L321" s="35"/>
      <c r="M321" s="156"/>
      <c r="N321" s="157"/>
      <c r="O321" s="55"/>
      <c r="P321" s="55"/>
      <c r="Q321" s="55"/>
      <c r="R321" s="55"/>
      <c r="S321" s="55"/>
      <c r="T321" s="56"/>
      <c r="U321" s="34"/>
      <c r="V321" s="34"/>
      <c r="W321" s="34"/>
      <c r="X321" s="34"/>
      <c r="Y321" s="34"/>
      <c r="Z321" s="34"/>
      <c r="AA321" s="34"/>
      <c r="AB321" s="34"/>
      <c r="AC321" s="34"/>
      <c r="AD321" s="34"/>
      <c r="AE321" s="34"/>
      <c r="AT321" s="19" t="s">
        <v>189</v>
      </c>
      <c r="AU321" s="19" t="s">
        <v>87</v>
      </c>
    </row>
    <row r="322" spans="1:65" s="2" customFormat="1" ht="29.25">
      <c r="A322" s="34"/>
      <c r="B322" s="35"/>
      <c r="C322" s="34"/>
      <c r="D322" s="153" t="s">
        <v>191</v>
      </c>
      <c r="E322" s="34"/>
      <c r="F322" s="160" t="s">
        <v>706</v>
      </c>
      <c r="G322" s="34"/>
      <c r="H322" s="34"/>
      <c r="I322" s="155"/>
      <c r="J322" s="34"/>
      <c r="K322" s="34"/>
      <c r="L322" s="35"/>
      <c r="M322" s="156"/>
      <c r="N322" s="157"/>
      <c r="O322" s="55"/>
      <c r="P322" s="55"/>
      <c r="Q322" s="55"/>
      <c r="R322" s="55"/>
      <c r="S322" s="55"/>
      <c r="T322" s="56"/>
      <c r="U322" s="34"/>
      <c r="V322" s="34"/>
      <c r="W322" s="34"/>
      <c r="X322" s="34"/>
      <c r="Y322" s="34"/>
      <c r="Z322" s="34"/>
      <c r="AA322" s="34"/>
      <c r="AB322" s="34"/>
      <c r="AC322" s="34"/>
      <c r="AD322" s="34"/>
      <c r="AE322" s="34"/>
      <c r="AT322" s="19" t="s">
        <v>191</v>
      </c>
      <c r="AU322" s="19" t="s">
        <v>87</v>
      </c>
    </row>
    <row r="323" spans="1:65" s="2" customFormat="1" ht="21.75" customHeight="1">
      <c r="A323" s="34"/>
      <c r="B323" s="139"/>
      <c r="C323" s="140" t="s">
        <v>794</v>
      </c>
      <c r="D323" s="140" t="s">
        <v>180</v>
      </c>
      <c r="E323" s="141" t="s">
        <v>1109</v>
      </c>
      <c r="F323" s="142" t="s">
        <v>1110</v>
      </c>
      <c r="G323" s="143" t="s">
        <v>332</v>
      </c>
      <c r="H323" s="144">
        <v>41.76</v>
      </c>
      <c r="I323" s="145"/>
      <c r="J323" s="146">
        <f>ROUND(I323*H323,2)</f>
        <v>0</v>
      </c>
      <c r="K323" s="142" t="s">
        <v>184</v>
      </c>
      <c r="L323" s="35"/>
      <c r="M323" s="147" t="s">
        <v>3</v>
      </c>
      <c r="N323" s="148" t="s">
        <v>48</v>
      </c>
      <c r="O323" s="55"/>
      <c r="P323" s="149">
        <f>O323*H323</f>
        <v>0</v>
      </c>
      <c r="Q323" s="149">
        <v>0</v>
      </c>
      <c r="R323" s="149">
        <f>Q323*H323</f>
        <v>0</v>
      </c>
      <c r="S323" s="149">
        <v>0.05</v>
      </c>
      <c r="T323" s="150">
        <f>S323*H323</f>
        <v>2.0880000000000001</v>
      </c>
      <c r="U323" s="34"/>
      <c r="V323" s="34"/>
      <c r="W323" s="34"/>
      <c r="X323" s="34"/>
      <c r="Y323" s="34"/>
      <c r="Z323" s="34"/>
      <c r="AA323" s="34"/>
      <c r="AB323" s="34"/>
      <c r="AC323" s="34"/>
      <c r="AD323" s="34"/>
      <c r="AE323" s="34"/>
      <c r="AR323" s="151" t="s">
        <v>185</v>
      </c>
      <c r="AT323" s="151" t="s">
        <v>180</v>
      </c>
      <c r="AU323" s="151" t="s">
        <v>87</v>
      </c>
      <c r="AY323" s="19" t="s">
        <v>177</v>
      </c>
      <c r="BE323" s="152">
        <f>IF(N323="základní",J323,0)</f>
        <v>0</v>
      </c>
      <c r="BF323" s="152">
        <f>IF(N323="snížená",J323,0)</f>
        <v>0</v>
      </c>
      <c r="BG323" s="152">
        <f>IF(N323="zákl. přenesená",J323,0)</f>
        <v>0</v>
      </c>
      <c r="BH323" s="152">
        <f>IF(N323="sníž. přenesená",J323,0)</f>
        <v>0</v>
      </c>
      <c r="BI323" s="152">
        <f>IF(N323="nulová",J323,0)</f>
        <v>0</v>
      </c>
      <c r="BJ323" s="19" t="s">
        <v>85</v>
      </c>
      <c r="BK323" s="152">
        <f>ROUND(I323*H323,2)</f>
        <v>0</v>
      </c>
      <c r="BL323" s="19" t="s">
        <v>185</v>
      </c>
      <c r="BM323" s="151" t="s">
        <v>1111</v>
      </c>
    </row>
    <row r="324" spans="1:65" s="2" customFormat="1">
      <c r="A324" s="34"/>
      <c r="B324" s="35"/>
      <c r="C324" s="34"/>
      <c r="D324" s="153" t="s">
        <v>187</v>
      </c>
      <c r="E324" s="34"/>
      <c r="F324" s="154" t="s">
        <v>1112</v>
      </c>
      <c r="G324" s="34"/>
      <c r="H324" s="34"/>
      <c r="I324" s="155"/>
      <c r="J324" s="34"/>
      <c r="K324" s="34"/>
      <c r="L324" s="35"/>
      <c r="M324" s="156"/>
      <c r="N324" s="157"/>
      <c r="O324" s="55"/>
      <c r="P324" s="55"/>
      <c r="Q324" s="55"/>
      <c r="R324" s="55"/>
      <c r="S324" s="55"/>
      <c r="T324" s="56"/>
      <c r="U324" s="34"/>
      <c r="V324" s="34"/>
      <c r="W324" s="34"/>
      <c r="X324" s="34"/>
      <c r="Y324" s="34"/>
      <c r="Z324" s="34"/>
      <c r="AA324" s="34"/>
      <c r="AB324" s="34"/>
      <c r="AC324" s="34"/>
      <c r="AD324" s="34"/>
      <c r="AE324" s="34"/>
      <c r="AT324" s="19" t="s">
        <v>187</v>
      </c>
      <c r="AU324" s="19" t="s">
        <v>87</v>
      </c>
    </row>
    <row r="325" spans="1:65" s="2" customFormat="1">
      <c r="A325" s="34"/>
      <c r="B325" s="35"/>
      <c r="C325" s="34"/>
      <c r="D325" s="158" t="s">
        <v>189</v>
      </c>
      <c r="E325" s="34"/>
      <c r="F325" s="159" t="s">
        <v>1113</v>
      </c>
      <c r="G325" s="34"/>
      <c r="H325" s="34"/>
      <c r="I325" s="155"/>
      <c r="J325" s="34"/>
      <c r="K325" s="34"/>
      <c r="L325" s="35"/>
      <c r="M325" s="156"/>
      <c r="N325" s="157"/>
      <c r="O325" s="55"/>
      <c r="P325" s="55"/>
      <c r="Q325" s="55"/>
      <c r="R325" s="55"/>
      <c r="S325" s="55"/>
      <c r="T325" s="56"/>
      <c r="U325" s="34"/>
      <c r="V325" s="34"/>
      <c r="W325" s="34"/>
      <c r="X325" s="34"/>
      <c r="Y325" s="34"/>
      <c r="Z325" s="34"/>
      <c r="AA325" s="34"/>
      <c r="AB325" s="34"/>
      <c r="AC325" s="34"/>
      <c r="AD325" s="34"/>
      <c r="AE325" s="34"/>
      <c r="AT325" s="19" t="s">
        <v>189</v>
      </c>
      <c r="AU325" s="19" t="s">
        <v>87</v>
      </c>
    </row>
    <row r="326" spans="1:65" s="2" customFormat="1" ht="29.25">
      <c r="A326" s="34"/>
      <c r="B326" s="35"/>
      <c r="C326" s="34"/>
      <c r="D326" s="153" t="s">
        <v>191</v>
      </c>
      <c r="E326" s="34"/>
      <c r="F326" s="160" t="s">
        <v>1114</v>
      </c>
      <c r="G326" s="34"/>
      <c r="H326" s="34"/>
      <c r="I326" s="155"/>
      <c r="J326" s="34"/>
      <c r="K326" s="34"/>
      <c r="L326" s="35"/>
      <c r="M326" s="156"/>
      <c r="N326" s="157"/>
      <c r="O326" s="55"/>
      <c r="P326" s="55"/>
      <c r="Q326" s="55"/>
      <c r="R326" s="55"/>
      <c r="S326" s="55"/>
      <c r="T326" s="56"/>
      <c r="U326" s="34"/>
      <c r="V326" s="34"/>
      <c r="W326" s="34"/>
      <c r="X326" s="34"/>
      <c r="Y326" s="34"/>
      <c r="Z326" s="34"/>
      <c r="AA326" s="34"/>
      <c r="AB326" s="34"/>
      <c r="AC326" s="34"/>
      <c r="AD326" s="34"/>
      <c r="AE326" s="34"/>
      <c r="AT326" s="19" t="s">
        <v>191</v>
      </c>
      <c r="AU326" s="19" t="s">
        <v>87</v>
      </c>
    </row>
    <row r="327" spans="1:65" s="2" customFormat="1" ht="16.5" customHeight="1">
      <c r="A327" s="34"/>
      <c r="B327" s="139"/>
      <c r="C327" s="140" t="s">
        <v>800</v>
      </c>
      <c r="D327" s="140" t="s">
        <v>180</v>
      </c>
      <c r="E327" s="141" t="s">
        <v>345</v>
      </c>
      <c r="F327" s="142" t="s">
        <v>346</v>
      </c>
      <c r="G327" s="143" t="s">
        <v>332</v>
      </c>
      <c r="H327" s="144">
        <v>12.234999999999999</v>
      </c>
      <c r="I327" s="145"/>
      <c r="J327" s="146">
        <f>ROUND(I327*H327,2)</f>
        <v>0</v>
      </c>
      <c r="K327" s="142" t="s">
        <v>184</v>
      </c>
      <c r="L327" s="35"/>
      <c r="M327" s="147" t="s">
        <v>3</v>
      </c>
      <c r="N327" s="148" t="s">
        <v>48</v>
      </c>
      <c r="O327" s="55"/>
      <c r="P327" s="149">
        <f>O327*H327</f>
        <v>0</v>
      </c>
      <c r="Q327" s="149">
        <v>0</v>
      </c>
      <c r="R327" s="149">
        <f>Q327*H327</f>
        <v>0</v>
      </c>
      <c r="S327" s="149">
        <v>6.6000000000000003E-2</v>
      </c>
      <c r="T327" s="150">
        <f>S327*H327</f>
        <v>0.80750999999999995</v>
      </c>
      <c r="U327" s="34"/>
      <c r="V327" s="34"/>
      <c r="W327" s="34"/>
      <c r="X327" s="34"/>
      <c r="Y327" s="34"/>
      <c r="Z327" s="34"/>
      <c r="AA327" s="34"/>
      <c r="AB327" s="34"/>
      <c r="AC327" s="34"/>
      <c r="AD327" s="34"/>
      <c r="AE327" s="34"/>
      <c r="AR327" s="151" t="s">
        <v>185</v>
      </c>
      <c r="AT327" s="151" t="s">
        <v>180</v>
      </c>
      <c r="AU327" s="151" t="s">
        <v>87</v>
      </c>
      <c r="AY327" s="19" t="s">
        <v>177</v>
      </c>
      <c r="BE327" s="152">
        <f>IF(N327="základní",J327,0)</f>
        <v>0</v>
      </c>
      <c r="BF327" s="152">
        <f>IF(N327="snížená",J327,0)</f>
        <v>0</v>
      </c>
      <c r="BG327" s="152">
        <f>IF(N327="zákl. přenesená",J327,0)</f>
        <v>0</v>
      </c>
      <c r="BH327" s="152">
        <f>IF(N327="sníž. přenesená",J327,0)</f>
        <v>0</v>
      </c>
      <c r="BI327" s="152">
        <f>IF(N327="nulová",J327,0)</f>
        <v>0</v>
      </c>
      <c r="BJ327" s="19" t="s">
        <v>85</v>
      </c>
      <c r="BK327" s="152">
        <f>ROUND(I327*H327,2)</f>
        <v>0</v>
      </c>
      <c r="BL327" s="19" t="s">
        <v>185</v>
      </c>
      <c r="BM327" s="151" t="s">
        <v>1115</v>
      </c>
    </row>
    <row r="328" spans="1:65" s="2" customFormat="1">
      <c r="A328" s="34"/>
      <c r="B328" s="35"/>
      <c r="C328" s="34"/>
      <c r="D328" s="153" t="s">
        <v>187</v>
      </c>
      <c r="E328" s="34"/>
      <c r="F328" s="154" t="s">
        <v>348</v>
      </c>
      <c r="G328" s="34"/>
      <c r="H328" s="34"/>
      <c r="I328" s="155"/>
      <c r="J328" s="34"/>
      <c r="K328" s="34"/>
      <c r="L328" s="35"/>
      <c r="M328" s="156"/>
      <c r="N328" s="157"/>
      <c r="O328" s="55"/>
      <c r="P328" s="55"/>
      <c r="Q328" s="55"/>
      <c r="R328" s="55"/>
      <c r="S328" s="55"/>
      <c r="T328" s="56"/>
      <c r="U328" s="34"/>
      <c r="V328" s="34"/>
      <c r="W328" s="34"/>
      <c r="X328" s="34"/>
      <c r="Y328" s="34"/>
      <c r="Z328" s="34"/>
      <c r="AA328" s="34"/>
      <c r="AB328" s="34"/>
      <c r="AC328" s="34"/>
      <c r="AD328" s="34"/>
      <c r="AE328" s="34"/>
      <c r="AT328" s="19" t="s">
        <v>187</v>
      </c>
      <c r="AU328" s="19" t="s">
        <v>87</v>
      </c>
    </row>
    <row r="329" spans="1:65" s="2" customFormat="1">
      <c r="A329" s="34"/>
      <c r="B329" s="35"/>
      <c r="C329" s="34"/>
      <c r="D329" s="158" t="s">
        <v>189</v>
      </c>
      <c r="E329" s="34"/>
      <c r="F329" s="159" t="s">
        <v>349</v>
      </c>
      <c r="G329" s="34"/>
      <c r="H329" s="34"/>
      <c r="I329" s="155"/>
      <c r="J329" s="34"/>
      <c r="K329" s="34"/>
      <c r="L329" s="35"/>
      <c r="M329" s="156"/>
      <c r="N329" s="157"/>
      <c r="O329" s="55"/>
      <c r="P329" s="55"/>
      <c r="Q329" s="55"/>
      <c r="R329" s="55"/>
      <c r="S329" s="55"/>
      <c r="T329" s="56"/>
      <c r="U329" s="34"/>
      <c r="V329" s="34"/>
      <c r="W329" s="34"/>
      <c r="X329" s="34"/>
      <c r="Y329" s="34"/>
      <c r="Z329" s="34"/>
      <c r="AA329" s="34"/>
      <c r="AB329" s="34"/>
      <c r="AC329" s="34"/>
      <c r="AD329" s="34"/>
      <c r="AE329" s="34"/>
      <c r="AT329" s="19" t="s">
        <v>189</v>
      </c>
      <c r="AU329" s="19" t="s">
        <v>87</v>
      </c>
    </row>
    <row r="330" spans="1:65" s="2" customFormat="1" ht="39">
      <c r="A330" s="34"/>
      <c r="B330" s="35"/>
      <c r="C330" s="34"/>
      <c r="D330" s="153" t="s">
        <v>191</v>
      </c>
      <c r="E330" s="34"/>
      <c r="F330" s="160" t="s">
        <v>350</v>
      </c>
      <c r="G330" s="34"/>
      <c r="H330" s="34"/>
      <c r="I330" s="155"/>
      <c r="J330" s="34"/>
      <c r="K330" s="34"/>
      <c r="L330" s="35"/>
      <c r="M330" s="156"/>
      <c r="N330" s="157"/>
      <c r="O330" s="55"/>
      <c r="P330" s="55"/>
      <c r="Q330" s="55"/>
      <c r="R330" s="55"/>
      <c r="S330" s="55"/>
      <c r="T330" s="56"/>
      <c r="U330" s="34"/>
      <c r="V330" s="34"/>
      <c r="W330" s="34"/>
      <c r="X330" s="34"/>
      <c r="Y330" s="34"/>
      <c r="Z330" s="34"/>
      <c r="AA330" s="34"/>
      <c r="AB330" s="34"/>
      <c r="AC330" s="34"/>
      <c r="AD330" s="34"/>
      <c r="AE330" s="34"/>
      <c r="AT330" s="19" t="s">
        <v>191</v>
      </c>
      <c r="AU330" s="19" t="s">
        <v>87</v>
      </c>
    </row>
    <row r="331" spans="1:65" s="13" customFormat="1">
      <c r="B331" s="161"/>
      <c r="D331" s="153" t="s">
        <v>193</v>
      </c>
      <c r="E331" s="162" t="s">
        <v>3</v>
      </c>
      <c r="F331" s="163" t="s">
        <v>1116</v>
      </c>
      <c r="H331" s="164">
        <v>12.234999999999999</v>
      </c>
      <c r="I331" s="165"/>
      <c r="L331" s="161"/>
      <c r="M331" s="166"/>
      <c r="N331" s="167"/>
      <c r="O331" s="167"/>
      <c r="P331" s="167"/>
      <c r="Q331" s="167"/>
      <c r="R331" s="167"/>
      <c r="S331" s="167"/>
      <c r="T331" s="168"/>
      <c r="AT331" s="162" t="s">
        <v>193</v>
      </c>
      <c r="AU331" s="162" t="s">
        <v>87</v>
      </c>
      <c r="AV331" s="13" t="s">
        <v>87</v>
      </c>
      <c r="AW331" s="13" t="s">
        <v>36</v>
      </c>
      <c r="AX331" s="13" t="s">
        <v>85</v>
      </c>
      <c r="AY331" s="162" t="s">
        <v>177</v>
      </c>
    </row>
    <row r="332" spans="1:65" s="2" customFormat="1" ht="16.5" customHeight="1">
      <c r="A332" s="34"/>
      <c r="B332" s="139"/>
      <c r="C332" s="140" t="s">
        <v>1117</v>
      </c>
      <c r="D332" s="140" t="s">
        <v>180</v>
      </c>
      <c r="E332" s="141" t="s">
        <v>352</v>
      </c>
      <c r="F332" s="142" t="s">
        <v>353</v>
      </c>
      <c r="G332" s="143" t="s">
        <v>332</v>
      </c>
      <c r="H332" s="144">
        <v>16.312999999999999</v>
      </c>
      <c r="I332" s="145"/>
      <c r="J332" s="146">
        <f>ROUND(I332*H332,2)</f>
        <v>0</v>
      </c>
      <c r="K332" s="142" t="s">
        <v>184</v>
      </c>
      <c r="L332" s="35"/>
      <c r="M332" s="147" t="s">
        <v>3</v>
      </c>
      <c r="N332" s="148" t="s">
        <v>48</v>
      </c>
      <c r="O332" s="55"/>
      <c r="P332" s="149">
        <f>O332*H332</f>
        <v>0</v>
      </c>
      <c r="Q332" s="149">
        <v>0</v>
      </c>
      <c r="R332" s="149">
        <f>Q332*H332</f>
        <v>0</v>
      </c>
      <c r="S332" s="149">
        <v>0.11</v>
      </c>
      <c r="T332" s="150">
        <f>S332*H332</f>
        <v>1.79443</v>
      </c>
      <c r="U332" s="34"/>
      <c r="V332" s="34"/>
      <c r="W332" s="34"/>
      <c r="X332" s="34"/>
      <c r="Y332" s="34"/>
      <c r="Z332" s="34"/>
      <c r="AA332" s="34"/>
      <c r="AB332" s="34"/>
      <c r="AC332" s="34"/>
      <c r="AD332" s="34"/>
      <c r="AE332" s="34"/>
      <c r="AR332" s="151" t="s">
        <v>185</v>
      </c>
      <c r="AT332" s="151" t="s">
        <v>180</v>
      </c>
      <c r="AU332" s="151" t="s">
        <v>87</v>
      </c>
      <c r="AY332" s="19" t="s">
        <v>177</v>
      </c>
      <c r="BE332" s="152">
        <f>IF(N332="základní",J332,0)</f>
        <v>0</v>
      </c>
      <c r="BF332" s="152">
        <f>IF(N332="snížená",J332,0)</f>
        <v>0</v>
      </c>
      <c r="BG332" s="152">
        <f>IF(N332="zákl. přenesená",J332,0)</f>
        <v>0</v>
      </c>
      <c r="BH332" s="152">
        <f>IF(N332="sníž. přenesená",J332,0)</f>
        <v>0</v>
      </c>
      <c r="BI332" s="152">
        <f>IF(N332="nulová",J332,0)</f>
        <v>0</v>
      </c>
      <c r="BJ332" s="19" t="s">
        <v>85</v>
      </c>
      <c r="BK332" s="152">
        <f>ROUND(I332*H332,2)</f>
        <v>0</v>
      </c>
      <c r="BL332" s="19" t="s">
        <v>185</v>
      </c>
      <c r="BM332" s="151" t="s">
        <v>1118</v>
      </c>
    </row>
    <row r="333" spans="1:65" s="2" customFormat="1">
      <c r="A333" s="34"/>
      <c r="B333" s="35"/>
      <c r="C333" s="34"/>
      <c r="D333" s="153" t="s">
        <v>187</v>
      </c>
      <c r="E333" s="34"/>
      <c r="F333" s="154" t="s">
        <v>355</v>
      </c>
      <c r="G333" s="34"/>
      <c r="H333" s="34"/>
      <c r="I333" s="155"/>
      <c r="J333" s="34"/>
      <c r="K333" s="34"/>
      <c r="L333" s="35"/>
      <c r="M333" s="156"/>
      <c r="N333" s="157"/>
      <c r="O333" s="55"/>
      <c r="P333" s="55"/>
      <c r="Q333" s="55"/>
      <c r="R333" s="55"/>
      <c r="S333" s="55"/>
      <c r="T333" s="56"/>
      <c r="U333" s="34"/>
      <c r="V333" s="34"/>
      <c r="W333" s="34"/>
      <c r="X333" s="34"/>
      <c r="Y333" s="34"/>
      <c r="Z333" s="34"/>
      <c r="AA333" s="34"/>
      <c r="AB333" s="34"/>
      <c r="AC333" s="34"/>
      <c r="AD333" s="34"/>
      <c r="AE333" s="34"/>
      <c r="AT333" s="19" t="s">
        <v>187</v>
      </c>
      <c r="AU333" s="19" t="s">
        <v>87</v>
      </c>
    </row>
    <row r="334" spans="1:65" s="2" customFormat="1">
      <c r="A334" s="34"/>
      <c r="B334" s="35"/>
      <c r="C334" s="34"/>
      <c r="D334" s="158" t="s">
        <v>189</v>
      </c>
      <c r="E334" s="34"/>
      <c r="F334" s="159" t="s">
        <v>356</v>
      </c>
      <c r="G334" s="34"/>
      <c r="H334" s="34"/>
      <c r="I334" s="155"/>
      <c r="J334" s="34"/>
      <c r="K334" s="34"/>
      <c r="L334" s="35"/>
      <c r="M334" s="156"/>
      <c r="N334" s="157"/>
      <c r="O334" s="55"/>
      <c r="P334" s="55"/>
      <c r="Q334" s="55"/>
      <c r="R334" s="55"/>
      <c r="S334" s="55"/>
      <c r="T334" s="56"/>
      <c r="U334" s="34"/>
      <c r="V334" s="34"/>
      <c r="W334" s="34"/>
      <c r="X334" s="34"/>
      <c r="Y334" s="34"/>
      <c r="Z334" s="34"/>
      <c r="AA334" s="34"/>
      <c r="AB334" s="34"/>
      <c r="AC334" s="34"/>
      <c r="AD334" s="34"/>
      <c r="AE334" s="34"/>
      <c r="AT334" s="19" t="s">
        <v>189</v>
      </c>
      <c r="AU334" s="19" t="s">
        <v>87</v>
      </c>
    </row>
    <row r="335" spans="1:65" s="2" customFormat="1" ht="39">
      <c r="A335" s="34"/>
      <c r="B335" s="35"/>
      <c r="C335" s="34"/>
      <c r="D335" s="153" t="s">
        <v>191</v>
      </c>
      <c r="E335" s="34"/>
      <c r="F335" s="160" t="s">
        <v>350</v>
      </c>
      <c r="G335" s="34"/>
      <c r="H335" s="34"/>
      <c r="I335" s="155"/>
      <c r="J335" s="34"/>
      <c r="K335" s="34"/>
      <c r="L335" s="35"/>
      <c r="M335" s="156"/>
      <c r="N335" s="157"/>
      <c r="O335" s="55"/>
      <c r="P335" s="55"/>
      <c r="Q335" s="55"/>
      <c r="R335" s="55"/>
      <c r="S335" s="55"/>
      <c r="T335" s="56"/>
      <c r="U335" s="34"/>
      <c r="V335" s="34"/>
      <c r="W335" s="34"/>
      <c r="X335" s="34"/>
      <c r="Y335" s="34"/>
      <c r="Z335" s="34"/>
      <c r="AA335" s="34"/>
      <c r="AB335" s="34"/>
      <c r="AC335" s="34"/>
      <c r="AD335" s="34"/>
      <c r="AE335" s="34"/>
      <c r="AT335" s="19" t="s">
        <v>191</v>
      </c>
      <c r="AU335" s="19" t="s">
        <v>87</v>
      </c>
    </row>
    <row r="336" spans="1:65" s="2" customFormat="1" ht="16.5" customHeight="1">
      <c r="A336" s="34"/>
      <c r="B336" s="139"/>
      <c r="C336" s="140" t="s">
        <v>1119</v>
      </c>
      <c r="D336" s="140" t="s">
        <v>180</v>
      </c>
      <c r="E336" s="141" t="s">
        <v>1120</v>
      </c>
      <c r="F336" s="142" t="s">
        <v>1121</v>
      </c>
      <c r="G336" s="143" t="s">
        <v>332</v>
      </c>
      <c r="H336" s="144">
        <v>49.875999999999998</v>
      </c>
      <c r="I336" s="145"/>
      <c r="J336" s="146">
        <f>ROUND(I336*H336,2)</f>
        <v>0</v>
      </c>
      <c r="K336" s="142" t="s">
        <v>184</v>
      </c>
      <c r="L336" s="35"/>
      <c r="M336" s="147" t="s">
        <v>3</v>
      </c>
      <c r="N336" s="148" t="s">
        <v>48</v>
      </c>
      <c r="O336" s="55"/>
      <c r="P336" s="149">
        <f>O336*H336</f>
        <v>0</v>
      </c>
      <c r="Q336" s="149">
        <v>0</v>
      </c>
      <c r="R336" s="149">
        <f>Q336*H336</f>
        <v>0</v>
      </c>
      <c r="S336" s="149">
        <v>6.6000000000000003E-2</v>
      </c>
      <c r="T336" s="150">
        <f>S336*H336</f>
        <v>3.2918159999999999</v>
      </c>
      <c r="U336" s="34"/>
      <c r="V336" s="34"/>
      <c r="W336" s="34"/>
      <c r="X336" s="34"/>
      <c r="Y336" s="34"/>
      <c r="Z336" s="34"/>
      <c r="AA336" s="34"/>
      <c r="AB336" s="34"/>
      <c r="AC336" s="34"/>
      <c r="AD336" s="34"/>
      <c r="AE336" s="34"/>
      <c r="AR336" s="151" t="s">
        <v>185</v>
      </c>
      <c r="AT336" s="151" t="s">
        <v>180</v>
      </c>
      <c r="AU336" s="151" t="s">
        <v>87</v>
      </c>
      <c r="AY336" s="19" t="s">
        <v>177</v>
      </c>
      <c r="BE336" s="152">
        <f>IF(N336="základní",J336,0)</f>
        <v>0</v>
      </c>
      <c r="BF336" s="152">
        <f>IF(N336="snížená",J336,0)</f>
        <v>0</v>
      </c>
      <c r="BG336" s="152">
        <f>IF(N336="zákl. přenesená",J336,0)</f>
        <v>0</v>
      </c>
      <c r="BH336" s="152">
        <f>IF(N336="sníž. přenesená",J336,0)</f>
        <v>0</v>
      </c>
      <c r="BI336" s="152">
        <f>IF(N336="nulová",J336,0)</f>
        <v>0</v>
      </c>
      <c r="BJ336" s="19" t="s">
        <v>85</v>
      </c>
      <c r="BK336" s="152">
        <f>ROUND(I336*H336,2)</f>
        <v>0</v>
      </c>
      <c r="BL336" s="19" t="s">
        <v>185</v>
      </c>
      <c r="BM336" s="151" t="s">
        <v>1122</v>
      </c>
    </row>
    <row r="337" spans="1:65" s="2" customFormat="1">
      <c r="A337" s="34"/>
      <c r="B337" s="35"/>
      <c r="C337" s="34"/>
      <c r="D337" s="153" t="s">
        <v>187</v>
      </c>
      <c r="E337" s="34"/>
      <c r="F337" s="154" t="s">
        <v>1123</v>
      </c>
      <c r="G337" s="34"/>
      <c r="H337" s="34"/>
      <c r="I337" s="155"/>
      <c r="J337" s="34"/>
      <c r="K337" s="34"/>
      <c r="L337" s="35"/>
      <c r="M337" s="156"/>
      <c r="N337" s="157"/>
      <c r="O337" s="55"/>
      <c r="P337" s="55"/>
      <c r="Q337" s="55"/>
      <c r="R337" s="55"/>
      <c r="S337" s="55"/>
      <c r="T337" s="56"/>
      <c r="U337" s="34"/>
      <c r="V337" s="34"/>
      <c r="W337" s="34"/>
      <c r="X337" s="34"/>
      <c r="Y337" s="34"/>
      <c r="Z337" s="34"/>
      <c r="AA337" s="34"/>
      <c r="AB337" s="34"/>
      <c r="AC337" s="34"/>
      <c r="AD337" s="34"/>
      <c r="AE337" s="34"/>
      <c r="AT337" s="19" t="s">
        <v>187</v>
      </c>
      <c r="AU337" s="19" t="s">
        <v>87</v>
      </c>
    </row>
    <row r="338" spans="1:65" s="2" customFormat="1">
      <c r="A338" s="34"/>
      <c r="B338" s="35"/>
      <c r="C338" s="34"/>
      <c r="D338" s="158" t="s">
        <v>189</v>
      </c>
      <c r="E338" s="34"/>
      <c r="F338" s="159" t="s">
        <v>1124</v>
      </c>
      <c r="G338" s="34"/>
      <c r="H338" s="34"/>
      <c r="I338" s="155"/>
      <c r="J338" s="34"/>
      <c r="K338" s="34"/>
      <c r="L338" s="35"/>
      <c r="M338" s="156"/>
      <c r="N338" s="157"/>
      <c r="O338" s="55"/>
      <c r="P338" s="55"/>
      <c r="Q338" s="55"/>
      <c r="R338" s="55"/>
      <c r="S338" s="55"/>
      <c r="T338" s="56"/>
      <c r="U338" s="34"/>
      <c r="V338" s="34"/>
      <c r="W338" s="34"/>
      <c r="X338" s="34"/>
      <c r="Y338" s="34"/>
      <c r="Z338" s="34"/>
      <c r="AA338" s="34"/>
      <c r="AB338" s="34"/>
      <c r="AC338" s="34"/>
      <c r="AD338" s="34"/>
      <c r="AE338" s="34"/>
      <c r="AT338" s="19" t="s">
        <v>189</v>
      </c>
      <c r="AU338" s="19" t="s">
        <v>87</v>
      </c>
    </row>
    <row r="339" spans="1:65" s="2" customFormat="1" ht="39">
      <c r="A339" s="34"/>
      <c r="B339" s="35"/>
      <c r="C339" s="34"/>
      <c r="D339" s="153" t="s">
        <v>191</v>
      </c>
      <c r="E339" s="34"/>
      <c r="F339" s="160" t="s">
        <v>350</v>
      </c>
      <c r="G339" s="34"/>
      <c r="H339" s="34"/>
      <c r="I339" s="155"/>
      <c r="J339" s="34"/>
      <c r="K339" s="34"/>
      <c r="L339" s="35"/>
      <c r="M339" s="156"/>
      <c r="N339" s="157"/>
      <c r="O339" s="55"/>
      <c r="P339" s="55"/>
      <c r="Q339" s="55"/>
      <c r="R339" s="55"/>
      <c r="S339" s="55"/>
      <c r="T339" s="56"/>
      <c r="U339" s="34"/>
      <c r="V339" s="34"/>
      <c r="W339" s="34"/>
      <c r="X339" s="34"/>
      <c r="Y339" s="34"/>
      <c r="Z339" s="34"/>
      <c r="AA339" s="34"/>
      <c r="AB339" s="34"/>
      <c r="AC339" s="34"/>
      <c r="AD339" s="34"/>
      <c r="AE339" s="34"/>
      <c r="AT339" s="19" t="s">
        <v>191</v>
      </c>
      <c r="AU339" s="19" t="s">
        <v>87</v>
      </c>
    </row>
    <row r="340" spans="1:65" s="13" customFormat="1">
      <c r="B340" s="161"/>
      <c r="D340" s="153" t="s">
        <v>193</v>
      </c>
      <c r="E340" s="162" t="s">
        <v>3</v>
      </c>
      <c r="F340" s="163" t="s">
        <v>1125</v>
      </c>
      <c r="H340" s="164">
        <v>49.875999999999998</v>
      </c>
      <c r="I340" s="165"/>
      <c r="L340" s="161"/>
      <c r="M340" s="166"/>
      <c r="N340" s="167"/>
      <c r="O340" s="167"/>
      <c r="P340" s="167"/>
      <c r="Q340" s="167"/>
      <c r="R340" s="167"/>
      <c r="S340" s="167"/>
      <c r="T340" s="168"/>
      <c r="AT340" s="162" t="s">
        <v>193</v>
      </c>
      <c r="AU340" s="162" t="s">
        <v>87</v>
      </c>
      <c r="AV340" s="13" t="s">
        <v>87</v>
      </c>
      <c r="AW340" s="13" t="s">
        <v>36</v>
      </c>
      <c r="AX340" s="13" t="s">
        <v>85</v>
      </c>
      <c r="AY340" s="162" t="s">
        <v>177</v>
      </c>
    </row>
    <row r="341" spans="1:65" s="2" customFormat="1" ht="16.5" customHeight="1">
      <c r="A341" s="34"/>
      <c r="B341" s="139"/>
      <c r="C341" s="140" t="s">
        <v>1126</v>
      </c>
      <c r="D341" s="140" t="s">
        <v>180</v>
      </c>
      <c r="E341" s="141" t="s">
        <v>1127</v>
      </c>
      <c r="F341" s="142" t="s">
        <v>1128</v>
      </c>
      <c r="G341" s="143" t="s">
        <v>332</v>
      </c>
      <c r="H341" s="144">
        <v>66.501999999999995</v>
      </c>
      <c r="I341" s="145"/>
      <c r="J341" s="146">
        <f>ROUND(I341*H341,2)</f>
        <v>0</v>
      </c>
      <c r="K341" s="142" t="s">
        <v>184</v>
      </c>
      <c r="L341" s="35"/>
      <c r="M341" s="147" t="s">
        <v>3</v>
      </c>
      <c r="N341" s="148" t="s">
        <v>48</v>
      </c>
      <c r="O341" s="55"/>
      <c r="P341" s="149">
        <f>O341*H341</f>
        <v>0</v>
      </c>
      <c r="Q341" s="149">
        <v>0</v>
      </c>
      <c r="R341" s="149">
        <f>Q341*H341</f>
        <v>0</v>
      </c>
      <c r="S341" s="149">
        <v>0.11</v>
      </c>
      <c r="T341" s="150">
        <f>S341*H341</f>
        <v>7.3152199999999992</v>
      </c>
      <c r="U341" s="34"/>
      <c r="V341" s="34"/>
      <c r="W341" s="34"/>
      <c r="X341" s="34"/>
      <c r="Y341" s="34"/>
      <c r="Z341" s="34"/>
      <c r="AA341" s="34"/>
      <c r="AB341" s="34"/>
      <c r="AC341" s="34"/>
      <c r="AD341" s="34"/>
      <c r="AE341" s="34"/>
      <c r="AR341" s="151" t="s">
        <v>185</v>
      </c>
      <c r="AT341" s="151" t="s">
        <v>180</v>
      </c>
      <c r="AU341" s="151" t="s">
        <v>87</v>
      </c>
      <c r="AY341" s="19" t="s">
        <v>177</v>
      </c>
      <c r="BE341" s="152">
        <f>IF(N341="základní",J341,0)</f>
        <v>0</v>
      </c>
      <c r="BF341" s="152">
        <f>IF(N341="snížená",J341,0)</f>
        <v>0</v>
      </c>
      <c r="BG341" s="152">
        <f>IF(N341="zákl. přenesená",J341,0)</f>
        <v>0</v>
      </c>
      <c r="BH341" s="152">
        <f>IF(N341="sníž. přenesená",J341,0)</f>
        <v>0</v>
      </c>
      <c r="BI341" s="152">
        <f>IF(N341="nulová",J341,0)</f>
        <v>0</v>
      </c>
      <c r="BJ341" s="19" t="s">
        <v>85</v>
      </c>
      <c r="BK341" s="152">
        <f>ROUND(I341*H341,2)</f>
        <v>0</v>
      </c>
      <c r="BL341" s="19" t="s">
        <v>185</v>
      </c>
      <c r="BM341" s="151" t="s">
        <v>1129</v>
      </c>
    </row>
    <row r="342" spans="1:65" s="2" customFormat="1">
      <c r="A342" s="34"/>
      <c r="B342" s="35"/>
      <c r="C342" s="34"/>
      <c r="D342" s="153" t="s">
        <v>187</v>
      </c>
      <c r="E342" s="34"/>
      <c r="F342" s="154" t="s">
        <v>1130</v>
      </c>
      <c r="G342" s="34"/>
      <c r="H342" s="34"/>
      <c r="I342" s="155"/>
      <c r="J342" s="34"/>
      <c r="K342" s="34"/>
      <c r="L342" s="35"/>
      <c r="M342" s="156"/>
      <c r="N342" s="157"/>
      <c r="O342" s="55"/>
      <c r="P342" s="55"/>
      <c r="Q342" s="55"/>
      <c r="R342" s="55"/>
      <c r="S342" s="55"/>
      <c r="T342" s="56"/>
      <c r="U342" s="34"/>
      <c r="V342" s="34"/>
      <c r="W342" s="34"/>
      <c r="X342" s="34"/>
      <c r="Y342" s="34"/>
      <c r="Z342" s="34"/>
      <c r="AA342" s="34"/>
      <c r="AB342" s="34"/>
      <c r="AC342" s="34"/>
      <c r="AD342" s="34"/>
      <c r="AE342" s="34"/>
      <c r="AT342" s="19" t="s">
        <v>187</v>
      </c>
      <c r="AU342" s="19" t="s">
        <v>87</v>
      </c>
    </row>
    <row r="343" spans="1:65" s="2" customFormat="1">
      <c r="A343" s="34"/>
      <c r="B343" s="35"/>
      <c r="C343" s="34"/>
      <c r="D343" s="158" t="s">
        <v>189</v>
      </c>
      <c r="E343" s="34"/>
      <c r="F343" s="159" t="s">
        <v>1131</v>
      </c>
      <c r="G343" s="34"/>
      <c r="H343" s="34"/>
      <c r="I343" s="155"/>
      <c r="J343" s="34"/>
      <c r="K343" s="34"/>
      <c r="L343" s="35"/>
      <c r="M343" s="156"/>
      <c r="N343" s="157"/>
      <c r="O343" s="55"/>
      <c r="P343" s="55"/>
      <c r="Q343" s="55"/>
      <c r="R343" s="55"/>
      <c r="S343" s="55"/>
      <c r="T343" s="56"/>
      <c r="U343" s="34"/>
      <c r="V343" s="34"/>
      <c r="W343" s="34"/>
      <c r="X343" s="34"/>
      <c r="Y343" s="34"/>
      <c r="Z343" s="34"/>
      <c r="AA343" s="34"/>
      <c r="AB343" s="34"/>
      <c r="AC343" s="34"/>
      <c r="AD343" s="34"/>
      <c r="AE343" s="34"/>
      <c r="AT343" s="19" t="s">
        <v>189</v>
      </c>
      <c r="AU343" s="19" t="s">
        <v>87</v>
      </c>
    </row>
    <row r="344" spans="1:65" s="2" customFormat="1" ht="39">
      <c r="A344" s="34"/>
      <c r="B344" s="35"/>
      <c r="C344" s="34"/>
      <c r="D344" s="153" t="s">
        <v>191</v>
      </c>
      <c r="E344" s="34"/>
      <c r="F344" s="160" t="s">
        <v>350</v>
      </c>
      <c r="G344" s="34"/>
      <c r="H344" s="34"/>
      <c r="I344" s="155"/>
      <c r="J344" s="34"/>
      <c r="K344" s="34"/>
      <c r="L344" s="35"/>
      <c r="M344" s="156"/>
      <c r="N344" s="157"/>
      <c r="O344" s="55"/>
      <c r="P344" s="55"/>
      <c r="Q344" s="55"/>
      <c r="R344" s="55"/>
      <c r="S344" s="55"/>
      <c r="T344" s="56"/>
      <c r="U344" s="34"/>
      <c r="V344" s="34"/>
      <c r="W344" s="34"/>
      <c r="X344" s="34"/>
      <c r="Y344" s="34"/>
      <c r="Z344" s="34"/>
      <c r="AA344" s="34"/>
      <c r="AB344" s="34"/>
      <c r="AC344" s="34"/>
      <c r="AD344" s="34"/>
      <c r="AE344" s="34"/>
      <c r="AT344" s="19" t="s">
        <v>191</v>
      </c>
      <c r="AU344" s="19" t="s">
        <v>87</v>
      </c>
    </row>
    <row r="345" spans="1:65" s="2" customFormat="1" ht="16.5" customHeight="1">
      <c r="A345" s="34"/>
      <c r="B345" s="139"/>
      <c r="C345" s="140" t="s">
        <v>1132</v>
      </c>
      <c r="D345" s="140" t="s">
        <v>180</v>
      </c>
      <c r="E345" s="141" t="s">
        <v>367</v>
      </c>
      <c r="F345" s="142" t="s">
        <v>368</v>
      </c>
      <c r="G345" s="143" t="s">
        <v>332</v>
      </c>
      <c r="H345" s="144">
        <v>144.92599999999999</v>
      </c>
      <c r="I345" s="145"/>
      <c r="J345" s="146">
        <f>ROUND(I345*H345,2)</f>
        <v>0</v>
      </c>
      <c r="K345" s="142" t="s">
        <v>184</v>
      </c>
      <c r="L345" s="35"/>
      <c r="M345" s="147" t="s">
        <v>3</v>
      </c>
      <c r="N345" s="148" t="s">
        <v>48</v>
      </c>
      <c r="O345" s="55"/>
      <c r="P345" s="149">
        <f>O345*H345</f>
        <v>0</v>
      </c>
      <c r="Q345" s="149">
        <v>0</v>
      </c>
      <c r="R345" s="149">
        <f>Q345*H345</f>
        <v>0</v>
      </c>
      <c r="S345" s="149">
        <v>7.0000000000000007E-2</v>
      </c>
      <c r="T345" s="150">
        <f>S345*H345</f>
        <v>10.144819999999999</v>
      </c>
      <c r="U345" s="34"/>
      <c r="V345" s="34"/>
      <c r="W345" s="34"/>
      <c r="X345" s="34"/>
      <c r="Y345" s="34"/>
      <c r="Z345" s="34"/>
      <c r="AA345" s="34"/>
      <c r="AB345" s="34"/>
      <c r="AC345" s="34"/>
      <c r="AD345" s="34"/>
      <c r="AE345" s="34"/>
      <c r="AR345" s="151" t="s">
        <v>185</v>
      </c>
      <c r="AT345" s="151" t="s">
        <v>180</v>
      </c>
      <c r="AU345" s="151" t="s">
        <v>87</v>
      </c>
      <c r="AY345" s="19" t="s">
        <v>177</v>
      </c>
      <c r="BE345" s="152">
        <f>IF(N345="základní",J345,0)</f>
        <v>0</v>
      </c>
      <c r="BF345" s="152">
        <f>IF(N345="snížená",J345,0)</f>
        <v>0</v>
      </c>
      <c r="BG345" s="152">
        <f>IF(N345="zákl. přenesená",J345,0)</f>
        <v>0</v>
      </c>
      <c r="BH345" s="152">
        <f>IF(N345="sníž. přenesená",J345,0)</f>
        <v>0</v>
      </c>
      <c r="BI345" s="152">
        <f>IF(N345="nulová",J345,0)</f>
        <v>0</v>
      </c>
      <c r="BJ345" s="19" t="s">
        <v>85</v>
      </c>
      <c r="BK345" s="152">
        <f>ROUND(I345*H345,2)</f>
        <v>0</v>
      </c>
      <c r="BL345" s="19" t="s">
        <v>185</v>
      </c>
      <c r="BM345" s="151" t="s">
        <v>1133</v>
      </c>
    </row>
    <row r="346" spans="1:65" s="2" customFormat="1">
      <c r="A346" s="34"/>
      <c r="B346" s="35"/>
      <c r="C346" s="34"/>
      <c r="D346" s="153" t="s">
        <v>187</v>
      </c>
      <c r="E346" s="34"/>
      <c r="F346" s="154" t="s">
        <v>370</v>
      </c>
      <c r="G346" s="34"/>
      <c r="H346" s="34"/>
      <c r="I346" s="155"/>
      <c r="J346" s="34"/>
      <c r="K346" s="34"/>
      <c r="L346" s="35"/>
      <c r="M346" s="156"/>
      <c r="N346" s="157"/>
      <c r="O346" s="55"/>
      <c r="P346" s="55"/>
      <c r="Q346" s="55"/>
      <c r="R346" s="55"/>
      <c r="S346" s="55"/>
      <c r="T346" s="56"/>
      <c r="U346" s="34"/>
      <c r="V346" s="34"/>
      <c r="W346" s="34"/>
      <c r="X346" s="34"/>
      <c r="Y346" s="34"/>
      <c r="Z346" s="34"/>
      <c r="AA346" s="34"/>
      <c r="AB346" s="34"/>
      <c r="AC346" s="34"/>
      <c r="AD346" s="34"/>
      <c r="AE346" s="34"/>
      <c r="AT346" s="19" t="s">
        <v>187</v>
      </c>
      <c r="AU346" s="19" t="s">
        <v>87</v>
      </c>
    </row>
    <row r="347" spans="1:65" s="2" customFormat="1">
      <c r="A347" s="34"/>
      <c r="B347" s="35"/>
      <c r="C347" s="34"/>
      <c r="D347" s="158" t="s">
        <v>189</v>
      </c>
      <c r="E347" s="34"/>
      <c r="F347" s="159" t="s">
        <v>371</v>
      </c>
      <c r="G347" s="34"/>
      <c r="H347" s="34"/>
      <c r="I347" s="155"/>
      <c r="J347" s="34"/>
      <c r="K347" s="34"/>
      <c r="L347" s="35"/>
      <c r="M347" s="156"/>
      <c r="N347" s="157"/>
      <c r="O347" s="55"/>
      <c r="P347" s="55"/>
      <c r="Q347" s="55"/>
      <c r="R347" s="55"/>
      <c r="S347" s="55"/>
      <c r="T347" s="56"/>
      <c r="U347" s="34"/>
      <c r="V347" s="34"/>
      <c r="W347" s="34"/>
      <c r="X347" s="34"/>
      <c r="Y347" s="34"/>
      <c r="Z347" s="34"/>
      <c r="AA347" s="34"/>
      <c r="AB347" s="34"/>
      <c r="AC347" s="34"/>
      <c r="AD347" s="34"/>
      <c r="AE347" s="34"/>
      <c r="AT347" s="19" t="s">
        <v>189</v>
      </c>
      <c r="AU347" s="19" t="s">
        <v>87</v>
      </c>
    </row>
    <row r="348" spans="1:65" s="2" customFormat="1" ht="58.5">
      <c r="A348" s="34"/>
      <c r="B348" s="35"/>
      <c r="C348" s="34"/>
      <c r="D348" s="153" t="s">
        <v>191</v>
      </c>
      <c r="E348" s="34"/>
      <c r="F348" s="160" t="s">
        <v>372</v>
      </c>
      <c r="G348" s="34"/>
      <c r="H348" s="34"/>
      <c r="I348" s="155"/>
      <c r="J348" s="34"/>
      <c r="K348" s="34"/>
      <c r="L348" s="35"/>
      <c r="M348" s="156"/>
      <c r="N348" s="157"/>
      <c r="O348" s="55"/>
      <c r="P348" s="55"/>
      <c r="Q348" s="55"/>
      <c r="R348" s="55"/>
      <c r="S348" s="55"/>
      <c r="T348" s="56"/>
      <c r="U348" s="34"/>
      <c r="V348" s="34"/>
      <c r="W348" s="34"/>
      <c r="X348" s="34"/>
      <c r="Y348" s="34"/>
      <c r="Z348" s="34"/>
      <c r="AA348" s="34"/>
      <c r="AB348" s="34"/>
      <c r="AC348" s="34"/>
      <c r="AD348" s="34"/>
      <c r="AE348" s="34"/>
      <c r="AT348" s="19" t="s">
        <v>191</v>
      </c>
      <c r="AU348" s="19" t="s">
        <v>87</v>
      </c>
    </row>
    <row r="349" spans="1:65" s="2" customFormat="1" ht="16.5" customHeight="1">
      <c r="A349" s="34"/>
      <c r="B349" s="139"/>
      <c r="C349" s="140" t="s">
        <v>1134</v>
      </c>
      <c r="D349" s="140" t="s">
        <v>180</v>
      </c>
      <c r="E349" s="141" t="s">
        <v>378</v>
      </c>
      <c r="F349" s="142" t="s">
        <v>379</v>
      </c>
      <c r="G349" s="143" t="s">
        <v>332</v>
      </c>
      <c r="H349" s="144">
        <v>144.92599999999999</v>
      </c>
      <c r="I349" s="145"/>
      <c r="J349" s="146">
        <f>ROUND(I349*H349,2)</f>
        <v>0</v>
      </c>
      <c r="K349" s="142" t="s">
        <v>184</v>
      </c>
      <c r="L349" s="35"/>
      <c r="M349" s="147" t="s">
        <v>3</v>
      </c>
      <c r="N349" s="148" t="s">
        <v>48</v>
      </c>
      <c r="O349" s="55"/>
      <c r="P349" s="149">
        <f>O349*H349</f>
        <v>0</v>
      </c>
      <c r="Q349" s="149">
        <v>0</v>
      </c>
      <c r="R349" s="149">
        <f>Q349*H349</f>
        <v>0</v>
      </c>
      <c r="S349" s="149">
        <v>0</v>
      </c>
      <c r="T349" s="150">
        <f>S349*H349</f>
        <v>0</v>
      </c>
      <c r="U349" s="34"/>
      <c r="V349" s="34"/>
      <c r="W349" s="34"/>
      <c r="X349" s="34"/>
      <c r="Y349" s="34"/>
      <c r="Z349" s="34"/>
      <c r="AA349" s="34"/>
      <c r="AB349" s="34"/>
      <c r="AC349" s="34"/>
      <c r="AD349" s="34"/>
      <c r="AE349" s="34"/>
      <c r="AR349" s="151" t="s">
        <v>185</v>
      </c>
      <c r="AT349" s="151" t="s">
        <v>180</v>
      </c>
      <c r="AU349" s="151" t="s">
        <v>87</v>
      </c>
      <c r="AY349" s="19" t="s">
        <v>177</v>
      </c>
      <c r="BE349" s="152">
        <f>IF(N349="základní",J349,0)</f>
        <v>0</v>
      </c>
      <c r="BF349" s="152">
        <f>IF(N349="snížená",J349,0)</f>
        <v>0</v>
      </c>
      <c r="BG349" s="152">
        <f>IF(N349="zákl. přenesená",J349,0)</f>
        <v>0</v>
      </c>
      <c r="BH349" s="152">
        <f>IF(N349="sníž. přenesená",J349,0)</f>
        <v>0</v>
      </c>
      <c r="BI349" s="152">
        <f>IF(N349="nulová",J349,0)</f>
        <v>0</v>
      </c>
      <c r="BJ349" s="19" t="s">
        <v>85</v>
      </c>
      <c r="BK349" s="152">
        <f>ROUND(I349*H349,2)</f>
        <v>0</v>
      </c>
      <c r="BL349" s="19" t="s">
        <v>185</v>
      </c>
      <c r="BM349" s="151" t="s">
        <v>1135</v>
      </c>
    </row>
    <row r="350" spans="1:65" s="2" customFormat="1">
      <c r="A350" s="34"/>
      <c r="B350" s="35"/>
      <c r="C350" s="34"/>
      <c r="D350" s="153" t="s">
        <v>187</v>
      </c>
      <c r="E350" s="34"/>
      <c r="F350" s="154" t="s">
        <v>381</v>
      </c>
      <c r="G350" s="34"/>
      <c r="H350" s="34"/>
      <c r="I350" s="155"/>
      <c r="J350" s="34"/>
      <c r="K350" s="34"/>
      <c r="L350" s="35"/>
      <c r="M350" s="156"/>
      <c r="N350" s="157"/>
      <c r="O350" s="55"/>
      <c r="P350" s="55"/>
      <c r="Q350" s="55"/>
      <c r="R350" s="55"/>
      <c r="S350" s="55"/>
      <c r="T350" s="56"/>
      <c r="U350" s="34"/>
      <c r="V350" s="34"/>
      <c r="W350" s="34"/>
      <c r="X350" s="34"/>
      <c r="Y350" s="34"/>
      <c r="Z350" s="34"/>
      <c r="AA350" s="34"/>
      <c r="AB350" s="34"/>
      <c r="AC350" s="34"/>
      <c r="AD350" s="34"/>
      <c r="AE350" s="34"/>
      <c r="AT350" s="19" t="s">
        <v>187</v>
      </c>
      <c r="AU350" s="19" t="s">
        <v>87</v>
      </c>
    </row>
    <row r="351" spans="1:65" s="2" customFormat="1">
      <c r="A351" s="34"/>
      <c r="B351" s="35"/>
      <c r="C351" s="34"/>
      <c r="D351" s="158" t="s">
        <v>189</v>
      </c>
      <c r="E351" s="34"/>
      <c r="F351" s="159" t="s">
        <v>382</v>
      </c>
      <c r="G351" s="34"/>
      <c r="H351" s="34"/>
      <c r="I351" s="155"/>
      <c r="J351" s="34"/>
      <c r="K351" s="34"/>
      <c r="L351" s="35"/>
      <c r="M351" s="156"/>
      <c r="N351" s="157"/>
      <c r="O351" s="55"/>
      <c r="P351" s="55"/>
      <c r="Q351" s="55"/>
      <c r="R351" s="55"/>
      <c r="S351" s="55"/>
      <c r="T351" s="56"/>
      <c r="U351" s="34"/>
      <c r="V351" s="34"/>
      <c r="W351" s="34"/>
      <c r="X351" s="34"/>
      <c r="Y351" s="34"/>
      <c r="Z351" s="34"/>
      <c r="AA351" s="34"/>
      <c r="AB351" s="34"/>
      <c r="AC351" s="34"/>
      <c r="AD351" s="34"/>
      <c r="AE351" s="34"/>
      <c r="AT351" s="19" t="s">
        <v>189</v>
      </c>
      <c r="AU351" s="19" t="s">
        <v>87</v>
      </c>
    </row>
    <row r="352" spans="1:65" s="2" customFormat="1" ht="58.5">
      <c r="A352" s="34"/>
      <c r="B352" s="35"/>
      <c r="C352" s="34"/>
      <c r="D352" s="153" t="s">
        <v>191</v>
      </c>
      <c r="E352" s="34"/>
      <c r="F352" s="160" t="s">
        <v>383</v>
      </c>
      <c r="G352" s="34"/>
      <c r="H352" s="34"/>
      <c r="I352" s="155"/>
      <c r="J352" s="34"/>
      <c r="K352" s="34"/>
      <c r="L352" s="35"/>
      <c r="M352" s="156"/>
      <c r="N352" s="157"/>
      <c r="O352" s="55"/>
      <c r="P352" s="55"/>
      <c r="Q352" s="55"/>
      <c r="R352" s="55"/>
      <c r="S352" s="55"/>
      <c r="T352" s="56"/>
      <c r="U352" s="34"/>
      <c r="V352" s="34"/>
      <c r="W352" s="34"/>
      <c r="X352" s="34"/>
      <c r="Y352" s="34"/>
      <c r="Z352" s="34"/>
      <c r="AA352" s="34"/>
      <c r="AB352" s="34"/>
      <c r="AC352" s="34"/>
      <c r="AD352" s="34"/>
      <c r="AE352" s="34"/>
      <c r="AT352" s="19" t="s">
        <v>191</v>
      </c>
      <c r="AU352" s="19" t="s">
        <v>87</v>
      </c>
    </row>
    <row r="353" spans="1:65" s="2" customFormat="1" ht="16.5" customHeight="1">
      <c r="A353" s="34"/>
      <c r="B353" s="139"/>
      <c r="C353" s="140" t="s">
        <v>1136</v>
      </c>
      <c r="D353" s="140" t="s">
        <v>180</v>
      </c>
      <c r="E353" s="141" t="s">
        <v>1137</v>
      </c>
      <c r="F353" s="142" t="s">
        <v>1138</v>
      </c>
      <c r="G353" s="143" t="s">
        <v>332</v>
      </c>
      <c r="H353" s="144">
        <v>144.92599999999999</v>
      </c>
      <c r="I353" s="145"/>
      <c r="J353" s="146">
        <f>ROUND(I353*H353,2)</f>
        <v>0</v>
      </c>
      <c r="K353" s="142" t="s">
        <v>184</v>
      </c>
      <c r="L353" s="35"/>
      <c r="M353" s="147" t="s">
        <v>3</v>
      </c>
      <c r="N353" s="148" t="s">
        <v>48</v>
      </c>
      <c r="O353" s="55"/>
      <c r="P353" s="149">
        <f>O353*H353</f>
        <v>0</v>
      </c>
      <c r="Q353" s="149">
        <v>0</v>
      </c>
      <c r="R353" s="149">
        <f>Q353*H353</f>
        <v>0</v>
      </c>
      <c r="S353" s="149">
        <v>0</v>
      </c>
      <c r="T353" s="150">
        <f>S353*H353</f>
        <v>0</v>
      </c>
      <c r="U353" s="34"/>
      <c r="V353" s="34"/>
      <c r="W353" s="34"/>
      <c r="X353" s="34"/>
      <c r="Y353" s="34"/>
      <c r="Z353" s="34"/>
      <c r="AA353" s="34"/>
      <c r="AB353" s="34"/>
      <c r="AC353" s="34"/>
      <c r="AD353" s="34"/>
      <c r="AE353" s="34"/>
      <c r="AR353" s="151" t="s">
        <v>185</v>
      </c>
      <c r="AT353" s="151" t="s">
        <v>180</v>
      </c>
      <c r="AU353" s="151" t="s">
        <v>87</v>
      </c>
      <c r="AY353" s="19" t="s">
        <v>177</v>
      </c>
      <c r="BE353" s="152">
        <f>IF(N353="základní",J353,0)</f>
        <v>0</v>
      </c>
      <c r="BF353" s="152">
        <f>IF(N353="snížená",J353,0)</f>
        <v>0</v>
      </c>
      <c r="BG353" s="152">
        <f>IF(N353="zákl. přenesená",J353,0)</f>
        <v>0</v>
      </c>
      <c r="BH353" s="152">
        <f>IF(N353="sníž. přenesená",J353,0)</f>
        <v>0</v>
      </c>
      <c r="BI353" s="152">
        <f>IF(N353="nulová",J353,0)</f>
        <v>0</v>
      </c>
      <c r="BJ353" s="19" t="s">
        <v>85</v>
      </c>
      <c r="BK353" s="152">
        <f>ROUND(I353*H353,2)</f>
        <v>0</v>
      </c>
      <c r="BL353" s="19" t="s">
        <v>185</v>
      </c>
      <c r="BM353" s="151" t="s">
        <v>1139</v>
      </c>
    </row>
    <row r="354" spans="1:65" s="2" customFormat="1">
      <c r="A354" s="34"/>
      <c r="B354" s="35"/>
      <c r="C354" s="34"/>
      <c r="D354" s="153" t="s">
        <v>187</v>
      </c>
      <c r="E354" s="34"/>
      <c r="F354" s="154" t="s">
        <v>1140</v>
      </c>
      <c r="G354" s="34"/>
      <c r="H354" s="34"/>
      <c r="I354" s="155"/>
      <c r="J354" s="34"/>
      <c r="K354" s="34"/>
      <c r="L354" s="35"/>
      <c r="M354" s="156"/>
      <c r="N354" s="157"/>
      <c r="O354" s="55"/>
      <c r="P354" s="55"/>
      <c r="Q354" s="55"/>
      <c r="R354" s="55"/>
      <c r="S354" s="55"/>
      <c r="T354" s="56"/>
      <c r="U354" s="34"/>
      <c r="V354" s="34"/>
      <c r="W354" s="34"/>
      <c r="X354" s="34"/>
      <c r="Y354" s="34"/>
      <c r="Z354" s="34"/>
      <c r="AA354" s="34"/>
      <c r="AB354" s="34"/>
      <c r="AC354" s="34"/>
      <c r="AD354" s="34"/>
      <c r="AE354" s="34"/>
      <c r="AT354" s="19" t="s">
        <v>187</v>
      </c>
      <c r="AU354" s="19" t="s">
        <v>87</v>
      </c>
    </row>
    <row r="355" spans="1:65" s="2" customFormat="1">
      <c r="A355" s="34"/>
      <c r="B355" s="35"/>
      <c r="C355" s="34"/>
      <c r="D355" s="158" t="s">
        <v>189</v>
      </c>
      <c r="E355" s="34"/>
      <c r="F355" s="159" t="s">
        <v>1141</v>
      </c>
      <c r="G355" s="34"/>
      <c r="H355" s="34"/>
      <c r="I355" s="155"/>
      <c r="J355" s="34"/>
      <c r="K355" s="34"/>
      <c r="L355" s="35"/>
      <c r="M355" s="156"/>
      <c r="N355" s="157"/>
      <c r="O355" s="55"/>
      <c r="P355" s="55"/>
      <c r="Q355" s="55"/>
      <c r="R355" s="55"/>
      <c r="S355" s="55"/>
      <c r="T355" s="56"/>
      <c r="U355" s="34"/>
      <c r="V355" s="34"/>
      <c r="W355" s="34"/>
      <c r="X355" s="34"/>
      <c r="Y355" s="34"/>
      <c r="Z355" s="34"/>
      <c r="AA355" s="34"/>
      <c r="AB355" s="34"/>
      <c r="AC355" s="34"/>
      <c r="AD355" s="34"/>
      <c r="AE355" s="34"/>
      <c r="AT355" s="19" t="s">
        <v>189</v>
      </c>
      <c r="AU355" s="19" t="s">
        <v>87</v>
      </c>
    </row>
    <row r="356" spans="1:65" s="2" customFormat="1" ht="58.5">
      <c r="A356" s="34"/>
      <c r="B356" s="35"/>
      <c r="C356" s="34"/>
      <c r="D356" s="153" t="s">
        <v>191</v>
      </c>
      <c r="E356" s="34"/>
      <c r="F356" s="160" t="s">
        <v>383</v>
      </c>
      <c r="G356" s="34"/>
      <c r="H356" s="34"/>
      <c r="I356" s="155"/>
      <c r="J356" s="34"/>
      <c r="K356" s="34"/>
      <c r="L356" s="35"/>
      <c r="M356" s="156"/>
      <c r="N356" s="157"/>
      <c r="O356" s="55"/>
      <c r="P356" s="55"/>
      <c r="Q356" s="55"/>
      <c r="R356" s="55"/>
      <c r="S356" s="55"/>
      <c r="T356" s="56"/>
      <c r="U356" s="34"/>
      <c r="V356" s="34"/>
      <c r="W356" s="34"/>
      <c r="X356" s="34"/>
      <c r="Y356" s="34"/>
      <c r="Z356" s="34"/>
      <c r="AA356" s="34"/>
      <c r="AB356" s="34"/>
      <c r="AC356" s="34"/>
      <c r="AD356" s="34"/>
      <c r="AE356" s="34"/>
      <c r="AT356" s="19" t="s">
        <v>191</v>
      </c>
      <c r="AU356" s="19" t="s">
        <v>87</v>
      </c>
    </row>
    <row r="357" spans="1:65" s="2" customFormat="1" ht="16.5" customHeight="1">
      <c r="A357" s="34"/>
      <c r="B357" s="139"/>
      <c r="C357" s="140" t="s">
        <v>1142</v>
      </c>
      <c r="D357" s="140" t="s">
        <v>180</v>
      </c>
      <c r="E357" s="141" t="s">
        <v>391</v>
      </c>
      <c r="F357" s="142" t="s">
        <v>392</v>
      </c>
      <c r="G357" s="143" t="s">
        <v>332</v>
      </c>
      <c r="H357" s="144">
        <v>12.234999999999999</v>
      </c>
      <c r="I357" s="145"/>
      <c r="J357" s="146">
        <f>ROUND(I357*H357,2)</f>
        <v>0</v>
      </c>
      <c r="K357" s="142" t="s">
        <v>184</v>
      </c>
      <c r="L357" s="35"/>
      <c r="M357" s="147" t="s">
        <v>3</v>
      </c>
      <c r="N357" s="148" t="s">
        <v>48</v>
      </c>
      <c r="O357" s="55"/>
      <c r="P357" s="149">
        <f>O357*H357</f>
        <v>0</v>
      </c>
      <c r="Q357" s="149">
        <v>3.8850000000000003E-2</v>
      </c>
      <c r="R357" s="149">
        <f>Q357*H357</f>
        <v>0.47532975</v>
      </c>
      <c r="S357" s="149">
        <v>0</v>
      </c>
      <c r="T357" s="150">
        <f>S357*H357</f>
        <v>0</v>
      </c>
      <c r="U357" s="34"/>
      <c r="V357" s="34"/>
      <c r="W357" s="34"/>
      <c r="X357" s="34"/>
      <c r="Y357" s="34"/>
      <c r="Z357" s="34"/>
      <c r="AA357" s="34"/>
      <c r="AB357" s="34"/>
      <c r="AC357" s="34"/>
      <c r="AD357" s="34"/>
      <c r="AE357" s="34"/>
      <c r="AR357" s="151" t="s">
        <v>185</v>
      </c>
      <c r="AT357" s="151" t="s">
        <v>180</v>
      </c>
      <c r="AU357" s="151" t="s">
        <v>87</v>
      </c>
      <c r="AY357" s="19" t="s">
        <v>177</v>
      </c>
      <c r="BE357" s="152">
        <f>IF(N357="základní",J357,0)</f>
        <v>0</v>
      </c>
      <c r="BF357" s="152">
        <f>IF(N357="snížená",J357,0)</f>
        <v>0</v>
      </c>
      <c r="BG357" s="152">
        <f>IF(N357="zákl. přenesená",J357,0)</f>
        <v>0</v>
      </c>
      <c r="BH357" s="152">
        <f>IF(N357="sníž. přenesená",J357,0)</f>
        <v>0</v>
      </c>
      <c r="BI357" s="152">
        <f>IF(N357="nulová",J357,0)</f>
        <v>0</v>
      </c>
      <c r="BJ357" s="19" t="s">
        <v>85</v>
      </c>
      <c r="BK357" s="152">
        <f>ROUND(I357*H357,2)</f>
        <v>0</v>
      </c>
      <c r="BL357" s="19" t="s">
        <v>185</v>
      </c>
      <c r="BM357" s="151" t="s">
        <v>1143</v>
      </c>
    </row>
    <row r="358" spans="1:65" s="2" customFormat="1">
      <c r="A358" s="34"/>
      <c r="B358" s="35"/>
      <c r="C358" s="34"/>
      <c r="D358" s="153" t="s">
        <v>187</v>
      </c>
      <c r="E358" s="34"/>
      <c r="F358" s="154" t="s">
        <v>394</v>
      </c>
      <c r="G358" s="34"/>
      <c r="H358" s="34"/>
      <c r="I358" s="155"/>
      <c r="J358" s="34"/>
      <c r="K358" s="34"/>
      <c r="L358" s="35"/>
      <c r="M358" s="156"/>
      <c r="N358" s="157"/>
      <c r="O358" s="55"/>
      <c r="P358" s="55"/>
      <c r="Q358" s="55"/>
      <c r="R358" s="55"/>
      <c r="S358" s="55"/>
      <c r="T358" s="56"/>
      <c r="U358" s="34"/>
      <c r="V358" s="34"/>
      <c r="W358" s="34"/>
      <c r="X358" s="34"/>
      <c r="Y358" s="34"/>
      <c r="Z358" s="34"/>
      <c r="AA358" s="34"/>
      <c r="AB358" s="34"/>
      <c r="AC358" s="34"/>
      <c r="AD358" s="34"/>
      <c r="AE358" s="34"/>
      <c r="AT358" s="19" t="s">
        <v>187</v>
      </c>
      <c r="AU358" s="19" t="s">
        <v>87</v>
      </c>
    </row>
    <row r="359" spans="1:65" s="2" customFormat="1">
      <c r="A359" s="34"/>
      <c r="B359" s="35"/>
      <c r="C359" s="34"/>
      <c r="D359" s="158" t="s">
        <v>189</v>
      </c>
      <c r="E359" s="34"/>
      <c r="F359" s="159" t="s">
        <v>395</v>
      </c>
      <c r="G359" s="34"/>
      <c r="H359" s="34"/>
      <c r="I359" s="155"/>
      <c r="J359" s="34"/>
      <c r="K359" s="34"/>
      <c r="L359" s="35"/>
      <c r="M359" s="156"/>
      <c r="N359" s="157"/>
      <c r="O359" s="55"/>
      <c r="P359" s="55"/>
      <c r="Q359" s="55"/>
      <c r="R359" s="55"/>
      <c r="S359" s="55"/>
      <c r="T359" s="56"/>
      <c r="U359" s="34"/>
      <c r="V359" s="34"/>
      <c r="W359" s="34"/>
      <c r="X359" s="34"/>
      <c r="Y359" s="34"/>
      <c r="Z359" s="34"/>
      <c r="AA359" s="34"/>
      <c r="AB359" s="34"/>
      <c r="AC359" s="34"/>
      <c r="AD359" s="34"/>
      <c r="AE359" s="34"/>
      <c r="AT359" s="19" t="s">
        <v>189</v>
      </c>
      <c r="AU359" s="19" t="s">
        <v>87</v>
      </c>
    </row>
    <row r="360" spans="1:65" s="2" customFormat="1" ht="107.25">
      <c r="A360" s="34"/>
      <c r="B360" s="35"/>
      <c r="C360" s="34"/>
      <c r="D360" s="153" t="s">
        <v>191</v>
      </c>
      <c r="E360" s="34"/>
      <c r="F360" s="160" t="s">
        <v>396</v>
      </c>
      <c r="G360" s="34"/>
      <c r="H360" s="34"/>
      <c r="I360" s="155"/>
      <c r="J360" s="34"/>
      <c r="K360" s="34"/>
      <c r="L360" s="35"/>
      <c r="M360" s="156"/>
      <c r="N360" s="157"/>
      <c r="O360" s="55"/>
      <c r="P360" s="55"/>
      <c r="Q360" s="55"/>
      <c r="R360" s="55"/>
      <c r="S360" s="55"/>
      <c r="T360" s="56"/>
      <c r="U360" s="34"/>
      <c r="V360" s="34"/>
      <c r="W360" s="34"/>
      <c r="X360" s="34"/>
      <c r="Y360" s="34"/>
      <c r="Z360" s="34"/>
      <c r="AA360" s="34"/>
      <c r="AB360" s="34"/>
      <c r="AC360" s="34"/>
      <c r="AD360" s="34"/>
      <c r="AE360" s="34"/>
      <c r="AT360" s="19" t="s">
        <v>191</v>
      </c>
      <c r="AU360" s="19" t="s">
        <v>87</v>
      </c>
    </row>
    <row r="361" spans="1:65" s="14" customFormat="1">
      <c r="B361" s="169"/>
      <c r="D361" s="153" t="s">
        <v>193</v>
      </c>
      <c r="E361" s="170" t="s">
        <v>3</v>
      </c>
      <c r="F361" s="171" t="s">
        <v>1144</v>
      </c>
      <c r="H361" s="170" t="s">
        <v>3</v>
      </c>
      <c r="I361" s="172"/>
      <c r="L361" s="169"/>
      <c r="M361" s="173"/>
      <c r="N361" s="174"/>
      <c r="O361" s="174"/>
      <c r="P361" s="174"/>
      <c r="Q361" s="174"/>
      <c r="R361" s="174"/>
      <c r="S361" s="174"/>
      <c r="T361" s="175"/>
      <c r="AT361" s="170" t="s">
        <v>193</v>
      </c>
      <c r="AU361" s="170" t="s">
        <v>87</v>
      </c>
      <c r="AV361" s="14" t="s">
        <v>85</v>
      </c>
      <c r="AW361" s="14" t="s">
        <v>36</v>
      </c>
      <c r="AX361" s="14" t="s">
        <v>77</v>
      </c>
      <c r="AY361" s="170" t="s">
        <v>177</v>
      </c>
    </row>
    <row r="362" spans="1:65" s="13" customFormat="1">
      <c r="B362" s="161"/>
      <c r="D362" s="153" t="s">
        <v>193</v>
      </c>
      <c r="E362" s="162" t="s">
        <v>3</v>
      </c>
      <c r="F362" s="163" t="s">
        <v>1145</v>
      </c>
      <c r="H362" s="164">
        <v>12.234999999999999</v>
      </c>
      <c r="I362" s="165"/>
      <c r="L362" s="161"/>
      <c r="M362" s="166"/>
      <c r="N362" s="167"/>
      <c r="O362" s="167"/>
      <c r="P362" s="167"/>
      <c r="Q362" s="167"/>
      <c r="R362" s="167"/>
      <c r="S362" s="167"/>
      <c r="T362" s="168"/>
      <c r="AT362" s="162" t="s">
        <v>193</v>
      </c>
      <c r="AU362" s="162" t="s">
        <v>87</v>
      </c>
      <c r="AV362" s="13" t="s">
        <v>87</v>
      </c>
      <c r="AW362" s="13" t="s">
        <v>36</v>
      </c>
      <c r="AX362" s="13" t="s">
        <v>85</v>
      </c>
      <c r="AY362" s="162" t="s">
        <v>177</v>
      </c>
    </row>
    <row r="363" spans="1:65" s="2" customFormat="1" ht="16.5" customHeight="1">
      <c r="A363" s="34"/>
      <c r="B363" s="139"/>
      <c r="C363" s="140" t="s">
        <v>1146</v>
      </c>
      <c r="D363" s="140" t="s">
        <v>180</v>
      </c>
      <c r="E363" s="141" t="s">
        <v>405</v>
      </c>
      <c r="F363" s="142" t="s">
        <v>406</v>
      </c>
      <c r="G363" s="143" t="s">
        <v>332</v>
      </c>
      <c r="H363" s="144">
        <v>16.312999999999999</v>
      </c>
      <c r="I363" s="145"/>
      <c r="J363" s="146">
        <f>ROUND(I363*H363,2)</f>
        <v>0</v>
      </c>
      <c r="K363" s="142" t="s">
        <v>184</v>
      </c>
      <c r="L363" s="35"/>
      <c r="M363" s="147" t="s">
        <v>3</v>
      </c>
      <c r="N363" s="148" t="s">
        <v>48</v>
      </c>
      <c r="O363" s="55"/>
      <c r="P363" s="149">
        <f>O363*H363</f>
        <v>0</v>
      </c>
      <c r="Q363" s="149">
        <v>8.0570000000000003E-2</v>
      </c>
      <c r="R363" s="149">
        <f>Q363*H363</f>
        <v>1.31433841</v>
      </c>
      <c r="S363" s="149">
        <v>0</v>
      </c>
      <c r="T363" s="150">
        <f>S363*H363</f>
        <v>0</v>
      </c>
      <c r="U363" s="34"/>
      <c r="V363" s="34"/>
      <c r="W363" s="34"/>
      <c r="X363" s="34"/>
      <c r="Y363" s="34"/>
      <c r="Z363" s="34"/>
      <c r="AA363" s="34"/>
      <c r="AB363" s="34"/>
      <c r="AC363" s="34"/>
      <c r="AD363" s="34"/>
      <c r="AE363" s="34"/>
      <c r="AR363" s="151" t="s">
        <v>185</v>
      </c>
      <c r="AT363" s="151" t="s">
        <v>180</v>
      </c>
      <c r="AU363" s="151" t="s">
        <v>87</v>
      </c>
      <c r="AY363" s="19" t="s">
        <v>177</v>
      </c>
      <c r="BE363" s="152">
        <f>IF(N363="základní",J363,0)</f>
        <v>0</v>
      </c>
      <c r="BF363" s="152">
        <f>IF(N363="snížená",J363,0)</f>
        <v>0</v>
      </c>
      <c r="BG363" s="152">
        <f>IF(N363="zákl. přenesená",J363,0)</f>
        <v>0</v>
      </c>
      <c r="BH363" s="152">
        <f>IF(N363="sníž. přenesená",J363,0)</f>
        <v>0</v>
      </c>
      <c r="BI363" s="152">
        <f>IF(N363="nulová",J363,0)</f>
        <v>0</v>
      </c>
      <c r="BJ363" s="19" t="s">
        <v>85</v>
      </c>
      <c r="BK363" s="152">
        <f>ROUND(I363*H363,2)</f>
        <v>0</v>
      </c>
      <c r="BL363" s="19" t="s">
        <v>185</v>
      </c>
      <c r="BM363" s="151" t="s">
        <v>1147</v>
      </c>
    </row>
    <row r="364" spans="1:65" s="2" customFormat="1">
      <c r="A364" s="34"/>
      <c r="B364" s="35"/>
      <c r="C364" s="34"/>
      <c r="D364" s="153" t="s">
        <v>187</v>
      </c>
      <c r="E364" s="34"/>
      <c r="F364" s="154" t="s">
        <v>408</v>
      </c>
      <c r="G364" s="34"/>
      <c r="H364" s="34"/>
      <c r="I364" s="155"/>
      <c r="J364" s="34"/>
      <c r="K364" s="34"/>
      <c r="L364" s="35"/>
      <c r="M364" s="156"/>
      <c r="N364" s="157"/>
      <c r="O364" s="55"/>
      <c r="P364" s="55"/>
      <c r="Q364" s="55"/>
      <c r="R364" s="55"/>
      <c r="S364" s="55"/>
      <c r="T364" s="56"/>
      <c r="U364" s="34"/>
      <c r="V364" s="34"/>
      <c r="W364" s="34"/>
      <c r="X364" s="34"/>
      <c r="Y364" s="34"/>
      <c r="Z364" s="34"/>
      <c r="AA364" s="34"/>
      <c r="AB364" s="34"/>
      <c r="AC364" s="34"/>
      <c r="AD364" s="34"/>
      <c r="AE364" s="34"/>
      <c r="AT364" s="19" t="s">
        <v>187</v>
      </c>
      <c r="AU364" s="19" t="s">
        <v>87</v>
      </c>
    </row>
    <row r="365" spans="1:65" s="2" customFormat="1">
      <c r="A365" s="34"/>
      <c r="B365" s="35"/>
      <c r="C365" s="34"/>
      <c r="D365" s="158" t="s">
        <v>189</v>
      </c>
      <c r="E365" s="34"/>
      <c r="F365" s="159" t="s">
        <v>409</v>
      </c>
      <c r="G365" s="34"/>
      <c r="H365" s="34"/>
      <c r="I365" s="155"/>
      <c r="J365" s="34"/>
      <c r="K365" s="34"/>
      <c r="L365" s="35"/>
      <c r="M365" s="156"/>
      <c r="N365" s="157"/>
      <c r="O365" s="55"/>
      <c r="P365" s="55"/>
      <c r="Q365" s="55"/>
      <c r="R365" s="55"/>
      <c r="S365" s="55"/>
      <c r="T365" s="56"/>
      <c r="U365" s="34"/>
      <c r="V365" s="34"/>
      <c r="W365" s="34"/>
      <c r="X365" s="34"/>
      <c r="Y365" s="34"/>
      <c r="Z365" s="34"/>
      <c r="AA365" s="34"/>
      <c r="AB365" s="34"/>
      <c r="AC365" s="34"/>
      <c r="AD365" s="34"/>
      <c r="AE365" s="34"/>
      <c r="AT365" s="19" t="s">
        <v>189</v>
      </c>
      <c r="AU365" s="19" t="s">
        <v>87</v>
      </c>
    </row>
    <row r="366" spans="1:65" s="2" customFormat="1" ht="107.25">
      <c r="A366" s="34"/>
      <c r="B366" s="35"/>
      <c r="C366" s="34"/>
      <c r="D366" s="153" t="s">
        <v>191</v>
      </c>
      <c r="E366" s="34"/>
      <c r="F366" s="160" t="s">
        <v>396</v>
      </c>
      <c r="G366" s="34"/>
      <c r="H366" s="34"/>
      <c r="I366" s="155"/>
      <c r="J366" s="34"/>
      <c r="K366" s="34"/>
      <c r="L366" s="35"/>
      <c r="M366" s="156"/>
      <c r="N366" s="157"/>
      <c r="O366" s="55"/>
      <c r="P366" s="55"/>
      <c r="Q366" s="55"/>
      <c r="R366" s="55"/>
      <c r="S366" s="55"/>
      <c r="T366" s="56"/>
      <c r="U366" s="34"/>
      <c r="V366" s="34"/>
      <c r="W366" s="34"/>
      <c r="X366" s="34"/>
      <c r="Y366" s="34"/>
      <c r="Z366" s="34"/>
      <c r="AA366" s="34"/>
      <c r="AB366" s="34"/>
      <c r="AC366" s="34"/>
      <c r="AD366" s="34"/>
      <c r="AE366" s="34"/>
      <c r="AT366" s="19" t="s">
        <v>191</v>
      </c>
      <c r="AU366" s="19" t="s">
        <v>87</v>
      </c>
    </row>
    <row r="367" spans="1:65" s="14" customFormat="1">
      <c r="B367" s="169"/>
      <c r="D367" s="153" t="s">
        <v>193</v>
      </c>
      <c r="E367" s="170" t="s">
        <v>3</v>
      </c>
      <c r="F367" s="171" t="s">
        <v>1148</v>
      </c>
      <c r="H367" s="170" t="s">
        <v>3</v>
      </c>
      <c r="I367" s="172"/>
      <c r="L367" s="169"/>
      <c r="M367" s="173"/>
      <c r="N367" s="174"/>
      <c r="O367" s="174"/>
      <c r="P367" s="174"/>
      <c r="Q367" s="174"/>
      <c r="R367" s="174"/>
      <c r="S367" s="174"/>
      <c r="T367" s="175"/>
      <c r="AT367" s="170" t="s">
        <v>193</v>
      </c>
      <c r="AU367" s="170" t="s">
        <v>87</v>
      </c>
      <c r="AV367" s="14" t="s">
        <v>85</v>
      </c>
      <c r="AW367" s="14" t="s">
        <v>36</v>
      </c>
      <c r="AX367" s="14" t="s">
        <v>77</v>
      </c>
      <c r="AY367" s="170" t="s">
        <v>177</v>
      </c>
    </row>
    <row r="368" spans="1:65" s="13" customFormat="1">
      <c r="B368" s="161"/>
      <c r="D368" s="153" t="s">
        <v>193</v>
      </c>
      <c r="E368" s="162" t="s">
        <v>3</v>
      </c>
      <c r="F368" s="163" t="s">
        <v>1149</v>
      </c>
      <c r="H368" s="164">
        <v>16.312999999999999</v>
      </c>
      <c r="I368" s="165"/>
      <c r="L368" s="161"/>
      <c r="M368" s="166"/>
      <c r="N368" s="167"/>
      <c r="O368" s="167"/>
      <c r="P368" s="167"/>
      <c r="Q368" s="167"/>
      <c r="R368" s="167"/>
      <c r="S368" s="167"/>
      <c r="T368" s="168"/>
      <c r="AT368" s="162" t="s">
        <v>193</v>
      </c>
      <c r="AU368" s="162" t="s">
        <v>87</v>
      </c>
      <c r="AV368" s="13" t="s">
        <v>87</v>
      </c>
      <c r="AW368" s="13" t="s">
        <v>36</v>
      </c>
      <c r="AX368" s="13" t="s">
        <v>85</v>
      </c>
      <c r="AY368" s="162" t="s">
        <v>177</v>
      </c>
    </row>
    <row r="369" spans="1:65" s="2" customFormat="1" ht="16.5" customHeight="1">
      <c r="A369" s="34"/>
      <c r="B369" s="139"/>
      <c r="C369" s="140" t="s">
        <v>1150</v>
      </c>
      <c r="D369" s="140" t="s">
        <v>180</v>
      </c>
      <c r="E369" s="141" t="s">
        <v>1151</v>
      </c>
      <c r="F369" s="142" t="s">
        <v>1152</v>
      </c>
      <c r="G369" s="143" t="s">
        <v>332</v>
      </c>
      <c r="H369" s="144">
        <v>49.875999999999998</v>
      </c>
      <c r="I369" s="145"/>
      <c r="J369" s="146">
        <f>ROUND(I369*H369,2)</f>
        <v>0</v>
      </c>
      <c r="K369" s="142" t="s">
        <v>184</v>
      </c>
      <c r="L369" s="35"/>
      <c r="M369" s="147" t="s">
        <v>3</v>
      </c>
      <c r="N369" s="148" t="s">
        <v>48</v>
      </c>
      <c r="O369" s="55"/>
      <c r="P369" s="149">
        <f>O369*H369</f>
        <v>0</v>
      </c>
      <c r="Q369" s="149">
        <v>4.0289999999999999E-2</v>
      </c>
      <c r="R369" s="149">
        <f>Q369*H369</f>
        <v>2.0095040399999999</v>
      </c>
      <c r="S369" s="149">
        <v>0</v>
      </c>
      <c r="T369" s="150">
        <f>S369*H369</f>
        <v>0</v>
      </c>
      <c r="U369" s="34"/>
      <c r="V369" s="34"/>
      <c r="W369" s="34"/>
      <c r="X369" s="34"/>
      <c r="Y369" s="34"/>
      <c r="Z369" s="34"/>
      <c r="AA369" s="34"/>
      <c r="AB369" s="34"/>
      <c r="AC369" s="34"/>
      <c r="AD369" s="34"/>
      <c r="AE369" s="34"/>
      <c r="AR369" s="151" t="s">
        <v>185</v>
      </c>
      <c r="AT369" s="151" t="s">
        <v>180</v>
      </c>
      <c r="AU369" s="151" t="s">
        <v>87</v>
      </c>
      <c r="AY369" s="19" t="s">
        <v>177</v>
      </c>
      <c r="BE369" s="152">
        <f>IF(N369="základní",J369,0)</f>
        <v>0</v>
      </c>
      <c r="BF369" s="152">
        <f>IF(N369="snížená",J369,0)</f>
        <v>0</v>
      </c>
      <c r="BG369" s="152">
        <f>IF(N369="zákl. přenesená",J369,0)</f>
        <v>0</v>
      </c>
      <c r="BH369" s="152">
        <f>IF(N369="sníž. přenesená",J369,0)</f>
        <v>0</v>
      </c>
      <c r="BI369" s="152">
        <f>IF(N369="nulová",J369,0)</f>
        <v>0</v>
      </c>
      <c r="BJ369" s="19" t="s">
        <v>85</v>
      </c>
      <c r="BK369" s="152">
        <f>ROUND(I369*H369,2)</f>
        <v>0</v>
      </c>
      <c r="BL369" s="19" t="s">
        <v>185</v>
      </c>
      <c r="BM369" s="151" t="s">
        <v>1153</v>
      </c>
    </row>
    <row r="370" spans="1:65" s="2" customFormat="1">
      <c r="A370" s="34"/>
      <c r="B370" s="35"/>
      <c r="C370" s="34"/>
      <c r="D370" s="153" t="s">
        <v>187</v>
      </c>
      <c r="E370" s="34"/>
      <c r="F370" s="154" t="s">
        <v>1154</v>
      </c>
      <c r="G370" s="34"/>
      <c r="H370" s="34"/>
      <c r="I370" s="155"/>
      <c r="J370" s="34"/>
      <c r="K370" s="34"/>
      <c r="L370" s="35"/>
      <c r="M370" s="156"/>
      <c r="N370" s="157"/>
      <c r="O370" s="55"/>
      <c r="P370" s="55"/>
      <c r="Q370" s="55"/>
      <c r="R370" s="55"/>
      <c r="S370" s="55"/>
      <c r="T370" s="56"/>
      <c r="U370" s="34"/>
      <c r="V370" s="34"/>
      <c r="W370" s="34"/>
      <c r="X370" s="34"/>
      <c r="Y370" s="34"/>
      <c r="Z370" s="34"/>
      <c r="AA370" s="34"/>
      <c r="AB370" s="34"/>
      <c r="AC370" s="34"/>
      <c r="AD370" s="34"/>
      <c r="AE370" s="34"/>
      <c r="AT370" s="19" t="s">
        <v>187</v>
      </c>
      <c r="AU370" s="19" t="s">
        <v>87</v>
      </c>
    </row>
    <row r="371" spans="1:65" s="2" customFormat="1">
      <c r="A371" s="34"/>
      <c r="B371" s="35"/>
      <c r="C371" s="34"/>
      <c r="D371" s="158" t="s">
        <v>189</v>
      </c>
      <c r="E371" s="34"/>
      <c r="F371" s="159" t="s">
        <v>1155</v>
      </c>
      <c r="G371" s="34"/>
      <c r="H371" s="34"/>
      <c r="I371" s="155"/>
      <c r="J371" s="34"/>
      <c r="K371" s="34"/>
      <c r="L371" s="35"/>
      <c r="M371" s="156"/>
      <c r="N371" s="157"/>
      <c r="O371" s="55"/>
      <c r="P371" s="55"/>
      <c r="Q371" s="55"/>
      <c r="R371" s="55"/>
      <c r="S371" s="55"/>
      <c r="T371" s="56"/>
      <c r="U371" s="34"/>
      <c r="V371" s="34"/>
      <c r="W371" s="34"/>
      <c r="X371" s="34"/>
      <c r="Y371" s="34"/>
      <c r="Z371" s="34"/>
      <c r="AA371" s="34"/>
      <c r="AB371" s="34"/>
      <c r="AC371" s="34"/>
      <c r="AD371" s="34"/>
      <c r="AE371" s="34"/>
      <c r="AT371" s="19" t="s">
        <v>189</v>
      </c>
      <c r="AU371" s="19" t="s">
        <v>87</v>
      </c>
    </row>
    <row r="372" spans="1:65" s="2" customFormat="1" ht="107.25">
      <c r="A372" s="34"/>
      <c r="B372" s="35"/>
      <c r="C372" s="34"/>
      <c r="D372" s="153" t="s">
        <v>191</v>
      </c>
      <c r="E372" s="34"/>
      <c r="F372" s="160" t="s">
        <v>396</v>
      </c>
      <c r="G372" s="34"/>
      <c r="H372" s="34"/>
      <c r="I372" s="155"/>
      <c r="J372" s="34"/>
      <c r="K372" s="34"/>
      <c r="L372" s="35"/>
      <c r="M372" s="156"/>
      <c r="N372" s="157"/>
      <c r="O372" s="55"/>
      <c r="P372" s="55"/>
      <c r="Q372" s="55"/>
      <c r="R372" s="55"/>
      <c r="S372" s="55"/>
      <c r="T372" s="56"/>
      <c r="U372" s="34"/>
      <c r="V372" s="34"/>
      <c r="W372" s="34"/>
      <c r="X372" s="34"/>
      <c r="Y372" s="34"/>
      <c r="Z372" s="34"/>
      <c r="AA372" s="34"/>
      <c r="AB372" s="34"/>
      <c r="AC372" s="34"/>
      <c r="AD372" s="34"/>
      <c r="AE372" s="34"/>
      <c r="AT372" s="19" t="s">
        <v>191</v>
      </c>
      <c r="AU372" s="19" t="s">
        <v>87</v>
      </c>
    </row>
    <row r="373" spans="1:65" s="14" customFormat="1">
      <c r="B373" s="169"/>
      <c r="D373" s="153" t="s">
        <v>193</v>
      </c>
      <c r="E373" s="170" t="s">
        <v>3</v>
      </c>
      <c r="F373" s="171" t="s">
        <v>1156</v>
      </c>
      <c r="H373" s="170" t="s">
        <v>3</v>
      </c>
      <c r="I373" s="172"/>
      <c r="L373" s="169"/>
      <c r="M373" s="173"/>
      <c r="N373" s="174"/>
      <c r="O373" s="174"/>
      <c r="P373" s="174"/>
      <c r="Q373" s="174"/>
      <c r="R373" s="174"/>
      <c r="S373" s="174"/>
      <c r="T373" s="175"/>
      <c r="AT373" s="170" t="s">
        <v>193</v>
      </c>
      <c r="AU373" s="170" t="s">
        <v>87</v>
      </c>
      <c r="AV373" s="14" t="s">
        <v>85</v>
      </c>
      <c r="AW373" s="14" t="s">
        <v>36</v>
      </c>
      <c r="AX373" s="14" t="s">
        <v>77</v>
      </c>
      <c r="AY373" s="170" t="s">
        <v>177</v>
      </c>
    </row>
    <row r="374" spans="1:65" s="13" customFormat="1">
      <c r="B374" s="161"/>
      <c r="D374" s="153" t="s">
        <v>193</v>
      </c>
      <c r="E374" s="162" t="s">
        <v>3</v>
      </c>
      <c r="F374" s="163" t="s">
        <v>1157</v>
      </c>
      <c r="H374" s="164">
        <v>49.875999999999998</v>
      </c>
      <c r="I374" s="165"/>
      <c r="L374" s="161"/>
      <c r="M374" s="166"/>
      <c r="N374" s="167"/>
      <c r="O374" s="167"/>
      <c r="P374" s="167"/>
      <c r="Q374" s="167"/>
      <c r="R374" s="167"/>
      <c r="S374" s="167"/>
      <c r="T374" s="168"/>
      <c r="AT374" s="162" t="s">
        <v>193</v>
      </c>
      <c r="AU374" s="162" t="s">
        <v>87</v>
      </c>
      <c r="AV374" s="13" t="s">
        <v>87</v>
      </c>
      <c r="AW374" s="13" t="s">
        <v>36</v>
      </c>
      <c r="AX374" s="13" t="s">
        <v>85</v>
      </c>
      <c r="AY374" s="162" t="s">
        <v>177</v>
      </c>
    </row>
    <row r="375" spans="1:65" s="2" customFormat="1" ht="16.5" customHeight="1">
      <c r="A375" s="34"/>
      <c r="B375" s="139"/>
      <c r="C375" s="140" t="s">
        <v>1158</v>
      </c>
      <c r="D375" s="140" t="s">
        <v>180</v>
      </c>
      <c r="E375" s="141" t="s">
        <v>1159</v>
      </c>
      <c r="F375" s="142" t="s">
        <v>1160</v>
      </c>
      <c r="G375" s="143" t="s">
        <v>332</v>
      </c>
      <c r="H375" s="144">
        <v>66.501999999999995</v>
      </c>
      <c r="I375" s="145"/>
      <c r="J375" s="146">
        <f>ROUND(I375*H375,2)</f>
        <v>0</v>
      </c>
      <c r="K375" s="142" t="s">
        <v>184</v>
      </c>
      <c r="L375" s="35"/>
      <c r="M375" s="147" t="s">
        <v>3</v>
      </c>
      <c r="N375" s="148" t="s">
        <v>48</v>
      </c>
      <c r="O375" s="55"/>
      <c r="P375" s="149">
        <f>O375*H375</f>
        <v>0</v>
      </c>
      <c r="Q375" s="149">
        <v>8.3739999999999995E-2</v>
      </c>
      <c r="R375" s="149">
        <f>Q375*H375</f>
        <v>5.5688774799999994</v>
      </c>
      <c r="S375" s="149">
        <v>0</v>
      </c>
      <c r="T375" s="150">
        <f>S375*H375</f>
        <v>0</v>
      </c>
      <c r="U375" s="34"/>
      <c r="V375" s="34"/>
      <c r="W375" s="34"/>
      <c r="X375" s="34"/>
      <c r="Y375" s="34"/>
      <c r="Z375" s="34"/>
      <c r="AA375" s="34"/>
      <c r="AB375" s="34"/>
      <c r="AC375" s="34"/>
      <c r="AD375" s="34"/>
      <c r="AE375" s="34"/>
      <c r="AR375" s="151" t="s">
        <v>185</v>
      </c>
      <c r="AT375" s="151" t="s">
        <v>180</v>
      </c>
      <c r="AU375" s="151" t="s">
        <v>87</v>
      </c>
      <c r="AY375" s="19" t="s">
        <v>177</v>
      </c>
      <c r="BE375" s="152">
        <f>IF(N375="základní",J375,0)</f>
        <v>0</v>
      </c>
      <c r="BF375" s="152">
        <f>IF(N375="snížená",J375,0)</f>
        <v>0</v>
      </c>
      <c r="BG375" s="152">
        <f>IF(N375="zákl. přenesená",J375,0)</f>
        <v>0</v>
      </c>
      <c r="BH375" s="152">
        <f>IF(N375="sníž. přenesená",J375,0)</f>
        <v>0</v>
      </c>
      <c r="BI375" s="152">
        <f>IF(N375="nulová",J375,0)</f>
        <v>0</v>
      </c>
      <c r="BJ375" s="19" t="s">
        <v>85</v>
      </c>
      <c r="BK375" s="152">
        <f>ROUND(I375*H375,2)</f>
        <v>0</v>
      </c>
      <c r="BL375" s="19" t="s">
        <v>185</v>
      </c>
      <c r="BM375" s="151" t="s">
        <v>1161</v>
      </c>
    </row>
    <row r="376" spans="1:65" s="2" customFormat="1">
      <c r="A376" s="34"/>
      <c r="B376" s="35"/>
      <c r="C376" s="34"/>
      <c r="D376" s="153" t="s">
        <v>187</v>
      </c>
      <c r="E376" s="34"/>
      <c r="F376" s="154" t="s">
        <v>1162</v>
      </c>
      <c r="G376" s="34"/>
      <c r="H376" s="34"/>
      <c r="I376" s="155"/>
      <c r="J376" s="34"/>
      <c r="K376" s="34"/>
      <c r="L376" s="35"/>
      <c r="M376" s="156"/>
      <c r="N376" s="157"/>
      <c r="O376" s="55"/>
      <c r="P376" s="55"/>
      <c r="Q376" s="55"/>
      <c r="R376" s="55"/>
      <c r="S376" s="55"/>
      <c r="T376" s="56"/>
      <c r="U376" s="34"/>
      <c r="V376" s="34"/>
      <c r="W376" s="34"/>
      <c r="X376" s="34"/>
      <c r="Y376" s="34"/>
      <c r="Z376" s="34"/>
      <c r="AA376" s="34"/>
      <c r="AB376" s="34"/>
      <c r="AC376" s="34"/>
      <c r="AD376" s="34"/>
      <c r="AE376" s="34"/>
      <c r="AT376" s="19" t="s">
        <v>187</v>
      </c>
      <c r="AU376" s="19" t="s">
        <v>87</v>
      </c>
    </row>
    <row r="377" spans="1:65" s="2" customFormat="1">
      <c r="A377" s="34"/>
      <c r="B377" s="35"/>
      <c r="C377" s="34"/>
      <c r="D377" s="158" t="s">
        <v>189</v>
      </c>
      <c r="E377" s="34"/>
      <c r="F377" s="159" t="s">
        <v>1163</v>
      </c>
      <c r="G377" s="34"/>
      <c r="H377" s="34"/>
      <c r="I377" s="155"/>
      <c r="J377" s="34"/>
      <c r="K377" s="34"/>
      <c r="L377" s="35"/>
      <c r="M377" s="156"/>
      <c r="N377" s="157"/>
      <c r="O377" s="55"/>
      <c r="P377" s="55"/>
      <c r="Q377" s="55"/>
      <c r="R377" s="55"/>
      <c r="S377" s="55"/>
      <c r="T377" s="56"/>
      <c r="U377" s="34"/>
      <c r="V377" s="34"/>
      <c r="W377" s="34"/>
      <c r="X377" s="34"/>
      <c r="Y377" s="34"/>
      <c r="Z377" s="34"/>
      <c r="AA377" s="34"/>
      <c r="AB377" s="34"/>
      <c r="AC377" s="34"/>
      <c r="AD377" s="34"/>
      <c r="AE377" s="34"/>
      <c r="AT377" s="19" t="s">
        <v>189</v>
      </c>
      <c r="AU377" s="19" t="s">
        <v>87</v>
      </c>
    </row>
    <row r="378" spans="1:65" s="2" customFormat="1" ht="107.25">
      <c r="A378" s="34"/>
      <c r="B378" s="35"/>
      <c r="C378" s="34"/>
      <c r="D378" s="153" t="s">
        <v>191</v>
      </c>
      <c r="E378" s="34"/>
      <c r="F378" s="160" t="s">
        <v>396</v>
      </c>
      <c r="G378" s="34"/>
      <c r="H378" s="34"/>
      <c r="I378" s="155"/>
      <c r="J378" s="34"/>
      <c r="K378" s="34"/>
      <c r="L378" s="35"/>
      <c r="M378" s="156"/>
      <c r="N378" s="157"/>
      <c r="O378" s="55"/>
      <c r="P378" s="55"/>
      <c r="Q378" s="55"/>
      <c r="R378" s="55"/>
      <c r="S378" s="55"/>
      <c r="T378" s="56"/>
      <c r="U378" s="34"/>
      <c r="V378" s="34"/>
      <c r="W378" s="34"/>
      <c r="X378" s="34"/>
      <c r="Y378" s="34"/>
      <c r="Z378" s="34"/>
      <c r="AA378" s="34"/>
      <c r="AB378" s="34"/>
      <c r="AC378" s="34"/>
      <c r="AD378" s="34"/>
      <c r="AE378" s="34"/>
      <c r="AT378" s="19" t="s">
        <v>191</v>
      </c>
      <c r="AU378" s="19" t="s">
        <v>87</v>
      </c>
    </row>
    <row r="379" spans="1:65" s="14" customFormat="1">
      <c r="B379" s="169"/>
      <c r="D379" s="153" t="s">
        <v>193</v>
      </c>
      <c r="E379" s="170" t="s">
        <v>3</v>
      </c>
      <c r="F379" s="171" t="s">
        <v>1164</v>
      </c>
      <c r="H379" s="170" t="s">
        <v>3</v>
      </c>
      <c r="I379" s="172"/>
      <c r="L379" s="169"/>
      <c r="M379" s="173"/>
      <c r="N379" s="174"/>
      <c r="O379" s="174"/>
      <c r="P379" s="174"/>
      <c r="Q379" s="174"/>
      <c r="R379" s="174"/>
      <c r="S379" s="174"/>
      <c r="T379" s="175"/>
      <c r="AT379" s="170" t="s">
        <v>193</v>
      </c>
      <c r="AU379" s="170" t="s">
        <v>87</v>
      </c>
      <c r="AV379" s="14" t="s">
        <v>85</v>
      </c>
      <c r="AW379" s="14" t="s">
        <v>36</v>
      </c>
      <c r="AX379" s="14" t="s">
        <v>77</v>
      </c>
      <c r="AY379" s="170" t="s">
        <v>177</v>
      </c>
    </row>
    <row r="380" spans="1:65" s="13" customFormat="1">
      <c r="B380" s="161"/>
      <c r="D380" s="153" t="s">
        <v>193</v>
      </c>
      <c r="E380" s="162" t="s">
        <v>3</v>
      </c>
      <c r="F380" s="163" t="s">
        <v>1165</v>
      </c>
      <c r="H380" s="164">
        <v>66.501999999999995</v>
      </c>
      <c r="I380" s="165"/>
      <c r="L380" s="161"/>
      <c r="M380" s="166"/>
      <c r="N380" s="167"/>
      <c r="O380" s="167"/>
      <c r="P380" s="167"/>
      <c r="Q380" s="167"/>
      <c r="R380" s="167"/>
      <c r="S380" s="167"/>
      <c r="T380" s="168"/>
      <c r="AT380" s="162" t="s">
        <v>193</v>
      </c>
      <c r="AU380" s="162" t="s">
        <v>87</v>
      </c>
      <c r="AV380" s="13" t="s">
        <v>87</v>
      </c>
      <c r="AW380" s="13" t="s">
        <v>36</v>
      </c>
      <c r="AX380" s="13" t="s">
        <v>85</v>
      </c>
      <c r="AY380" s="162" t="s">
        <v>177</v>
      </c>
    </row>
    <row r="381" spans="1:65" s="2" customFormat="1" ht="16.5" customHeight="1">
      <c r="A381" s="34"/>
      <c r="B381" s="139"/>
      <c r="C381" s="140" t="s">
        <v>1166</v>
      </c>
      <c r="D381" s="140" t="s">
        <v>180</v>
      </c>
      <c r="E381" s="141" t="s">
        <v>454</v>
      </c>
      <c r="F381" s="142" t="s">
        <v>455</v>
      </c>
      <c r="G381" s="143" t="s">
        <v>332</v>
      </c>
      <c r="H381" s="144">
        <v>16.312999999999999</v>
      </c>
      <c r="I381" s="145"/>
      <c r="J381" s="146">
        <f>ROUND(I381*H381,2)</f>
        <v>0</v>
      </c>
      <c r="K381" s="142" t="s">
        <v>184</v>
      </c>
      <c r="L381" s="35"/>
      <c r="M381" s="147" t="s">
        <v>3</v>
      </c>
      <c r="N381" s="148" t="s">
        <v>48</v>
      </c>
      <c r="O381" s="55"/>
      <c r="P381" s="149">
        <f>O381*H381</f>
        <v>0</v>
      </c>
      <c r="Q381" s="149">
        <v>1.5299999999999999E-3</v>
      </c>
      <c r="R381" s="149">
        <f>Q381*H381</f>
        <v>2.4958889999999997E-2</v>
      </c>
      <c r="S381" s="149">
        <v>0</v>
      </c>
      <c r="T381" s="150">
        <f>S381*H381</f>
        <v>0</v>
      </c>
      <c r="U381" s="34"/>
      <c r="V381" s="34"/>
      <c r="W381" s="34"/>
      <c r="X381" s="34"/>
      <c r="Y381" s="34"/>
      <c r="Z381" s="34"/>
      <c r="AA381" s="34"/>
      <c r="AB381" s="34"/>
      <c r="AC381" s="34"/>
      <c r="AD381" s="34"/>
      <c r="AE381" s="34"/>
      <c r="AR381" s="151" t="s">
        <v>185</v>
      </c>
      <c r="AT381" s="151" t="s">
        <v>180</v>
      </c>
      <c r="AU381" s="151" t="s">
        <v>87</v>
      </c>
      <c r="AY381" s="19" t="s">
        <v>177</v>
      </c>
      <c r="BE381" s="152">
        <f>IF(N381="základní",J381,0)</f>
        <v>0</v>
      </c>
      <c r="BF381" s="152">
        <f>IF(N381="snížená",J381,0)</f>
        <v>0</v>
      </c>
      <c r="BG381" s="152">
        <f>IF(N381="zákl. přenesená",J381,0)</f>
        <v>0</v>
      </c>
      <c r="BH381" s="152">
        <f>IF(N381="sníž. přenesená",J381,0)</f>
        <v>0</v>
      </c>
      <c r="BI381" s="152">
        <f>IF(N381="nulová",J381,0)</f>
        <v>0</v>
      </c>
      <c r="BJ381" s="19" t="s">
        <v>85</v>
      </c>
      <c r="BK381" s="152">
        <f>ROUND(I381*H381,2)</f>
        <v>0</v>
      </c>
      <c r="BL381" s="19" t="s">
        <v>185</v>
      </c>
      <c r="BM381" s="151" t="s">
        <v>1167</v>
      </c>
    </row>
    <row r="382" spans="1:65" s="2" customFormat="1">
      <c r="A382" s="34"/>
      <c r="B382" s="35"/>
      <c r="C382" s="34"/>
      <c r="D382" s="153" t="s">
        <v>187</v>
      </c>
      <c r="E382" s="34"/>
      <c r="F382" s="154" t="s">
        <v>457</v>
      </c>
      <c r="G382" s="34"/>
      <c r="H382" s="34"/>
      <c r="I382" s="155"/>
      <c r="J382" s="34"/>
      <c r="K382" s="34"/>
      <c r="L382" s="35"/>
      <c r="M382" s="156"/>
      <c r="N382" s="157"/>
      <c r="O382" s="55"/>
      <c r="P382" s="55"/>
      <c r="Q382" s="55"/>
      <c r="R382" s="55"/>
      <c r="S382" s="55"/>
      <c r="T382" s="56"/>
      <c r="U382" s="34"/>
      <c r="V382" s="34"/>
      <c r="W382" s="34"/>
      <c r="X382" s="34"/>
      <c r="Y382" s="34"/>
      <c r="Z382" s="34"/>
      <c r="AA382" s="34"/>
      <c r="AB382" s="34"/>
      <c r="AC382" s="34"/>
      <c r="AD382" s="34"/>
      <c r="AE382" s="34"/>
      <c r="AT382" s="19" t="s">
        <v>187</v>
      </c>
      <c r="AU382" s="19" t="s">
        <v>87</v>
      </c>
    </row>
    <row r="383" spans="1:65" s="2" customFormat="1">
      <c r="A383" s="34"/>
      <c r="B383" s="35"/>
      <c r="C383" s="34"/>
      <c r="D383" s="158" t="s">
        <v>189</v>
      </c>
      <c r="E383" s="34"/>
      <c r="F383" s="159" t="s">
        <v>458</v>
      </c>
      <c r="G383" s="34"/>
      <c r="H383" s="34"/>
      <c r="I383" s="155"/>
      <c r="J383" s="34"/>
      <c r="K383" s="34"/>
      <c r="L383" s="35"/>
      <c r="M383" s="156"/>
      <c r="N383" s="157"/>
      <c r="O383" s="55"/>
      <c r="P383" s="55"/>
      <c r="Q383" s="55"/>
      <c r="R383" s="55"/>
      <c r="S383" s="55"/>
      <c r="T383" s="56"/>
      <c r="U383" s="34"/>
      <c r="V383" s="34"/>
      <c r="W383" s="34"/>
      <c r="X383" s="34"/>
      <c r="Y383" s="34"/>
      <c r="Z383" s="34"/>
      <c r="AA383" s="34"/>
      <c r="AB383" s="34"/>
      <c r="AC383" s="34"/>
      <c r="AD383" s="34"/>
      <c r="AE383" s="34"/>
      <c r="AT383" s="19" t="s">
        <v>189</v>
      </c>
      <c r="AU383" s="19" t="s">
        <v>87</v>
      </c>
    </row>
    <row r="384" spans="1:65" s="2" customFormat="1" ht="39">
      <c r="A384" s="34"/>
      <c r="B384" s="35"/>
      <c r="C384" s="34"/>
      <c r="D384" s="153" t="s">
        <v>191</v>
      </c>
      <c r="E384" s="34"/>
      <c r="F384" s="160" t="s">
        <v>459</v>
      </c>
      <c r="G384" s="34"/>
      <c r="H384" s="34"/>
      <c r="I384" s="155"/>
      <c r="J384" s="34"/>
      <c r="K384" s="34"/>
      <c r="L384" s="35"/>
      <c r="M384" s="156"/>
      <c r="N384" s="157"/>
      <c r="O384" s="55"/>
      <c r="P384" s="55"/>
      <c r="Q384" s="55"/>
      <c r="R384" s="55"/>
      <c r="S384" s="55"/>
      <c r="T384" s="56"/>
      <c r="U384" s="34"/>
      <c r="V384" s="34"/>
      <c r="W384" s="34"/>
      <c r="X384" s="34"/>
      <c r="Y384" s="34"/>
      <c r="Z384" s="34"/>
      <c r="AA384" s="34"/>
      <c r="AB384" s="34"/>
      <c r="AC384" s="34"/>
      <c r="AD384" s="34"/>
      <c r="AE384" s="34"/>
      <c r="AT384" s="19" t="s">
        <v>191</v>
      </c>
      <c r="AU384" s="19" t="s">
        <v>87</v>
      </c>
    </row>
    <row r="385" spans="1:65" s="13" customFormat="1">
      <c r="B385" s="161"/>
      <c r="D385" s="153" t="s">
        <v>193</v>
      </c>
      <c r="E385" s="162" t="s">
        <v>3</v>
      </c>
      <c r="F385" s="163" t="s">
        <v>1168</v>
      </c>
      <c r="H385" s="164">
        <v>16.312999999999999</v>
      </c>
      <c r="I385" s="165"/>
      <c r="L385" s="161"/>
      <c r="M385" s="166"/>
      <c r="N385" s="167"/>
      <c r="O385" s="167"/>
      <c r="P385" s="167"/>
      <c r="Q385" s="167"/>
      <c r="R385" s="167"/>
      <c r="S385" s="167"/>
      <c r="T385" s="168"/>
      <c r="AT385" s="162" t="s">
        <v>193</v>
      </c>
      <c r="AU385" s="162" t="s">
        <v>87</v>
      </c>
      <c r="AV385" s="13" t="s">
        <v>87</v>
      </c>
      <c r="AW385" s="13" t="s">
        <v>36</v>
      </c>
      <c r="AX385" s="13" t="s">
        <v>85</v>
      </c>
      <c r="AY385" s="162" t="s">
        <v>177</v>
      </c>
    </row>
    <row r="386" spans="1:65" s="2" customFormat="1" ht="16.5" customHeight="1">
      <c r="A386" s="34"/>
      <c r="B386" s="139"/>
      <c r="C386" s="140" t="s">
        <v>1169</v>
      </c>
      <c r="D386" s="140" t="s">
        <v>180</v>
      </c>
      <c r="E386" s="141" t="s">
        <v>1170</v>
      </c>
      <c r="F386" s="142" t="s">
        <v>1171</v>
      </c>
      <c r="G386" s="143" t="s">
        <v>332</v>
      </c>
      <c r="H386" s="144">
        <v>66.501999999999995</v>
      </c>
      <c r="I386" s="145"/>
      <c r="J386" s="146">
        <f>ROUND(I386*H386,2)</f>
        <v>0</v>
      </c>
      <c r="K386" s="142" t="s">
        <v>184</v>
      </c>
      <c r="L386" s="35"/>
      <c r="M386" s="147" t="s">
        <v>3</v>
      </c>
      <c r="N386" s="148" t="s">
        <v>48</v>
      </c>
      <c r="O386" s="55"/>
      <c r="P386" s="149">
        <f>O386*H386</f>
        <v>0</v>
      </c>
      <c r="Q386" s="149">
        <v>1.34E-3</v>
      </c>
      <c r="R386" s="149">
        <f>Q386*H386</f>
        <v>8.911268E-2</v>
      </c>
      <c r="S386" s="149">
        <v>0</v>
      </c>
      <c r="T386" s="150">
        <f>S386*H386</f>
        <v>0</v>
      </c>
      <c r="U386" s="34"/>
      <c r="V386" s="34"/>
      <c r="W386" s="34"/>
      <c r="X386" s="34"/>
      <c r="Y386" s="34"/>
      <c r="Z386" s="34"/>
      <c r="AA386" s="34"/>
      <c r="AB386" s="34"/>
      <c r="AC386" s="34"/>
      <c r="AD386" s="34"/>
      <c r="AE386" s="34"/>
      <c r="AR386" s="151" t="s">
        <v>185</v>
      </c>
      <c r="AT386" s="151" t="s">
        <v>180</v>
      </c>
      <c r="AU386" s="151" t="s">
        <v>87</v>
      </c>
      <c r="AY386" s="19" t="s">
        <v>177</v>
      </c>
      <c r="BE386" s="152">
        <f>IF(N386="základní",J386,0)</f>
        <v>0</v>
      </c>
      <c r="BF386" s="152">
        <f>IF(N386="snížená",J386,0)</f>
        <v>0</v>
      </c>
      <c r="BG386" s="152">
        <f>IF(N386="zákl. přenesená",J386,0)</f>
        <v>0</v>
      </c>
      <c r="BH386" s="152">
        <f>IF(N386="sníž. přenesená",J386,0)</f>
        <v>0</v>
      </c>
      <c r="BI386" s="152">
        <f>IF(N386="nulová",J386,0)</f>
        <v>0</v>
      </c>
      <c r="BJ386" s="19" t="s">
        <v>85</v>
      </c>
      <c r="BK386" s="152">
        <f>ROUND(I386*H386,2)</f>
        <v>0</v>
      </c>
      <c r="BL386" s="19" t="s">
        <v>185</v>
      </c>
      <c r="BM386" s="151" t="s">
        <v>1172</v>
      </c>
    </row>
    <row r="387" spans="1:65" s="2" customFormat="1">
      <c r="A387" s="34"/>
      <c r="B387" s="35"/>
      <c r="C387" s="34"/>
      <c r="D387" s="153" t="s">
        <v>187</v>
      </c>
      <c r="E387" s="34"/>
      <c r="F387" s="154" t="s">
        <v>1173</v>
      </c>
      <c r="G387" s="34"/>
      <c r="H387" s="34"/>
      <c r="I387" s="155"/>
      <c r="J387" s="34"/>
      <c r="K387" s="34"/>
      <c r="L387" s="35"/>
      <c r="M387" s="156"/>
      <c r="N387" s="157"/>
      <c r="O387" s="55"/>
      <c r="P387" s="55"/>
      <c r="Q387" s="55"/>
      <c r="R387" s="55"/>
      <c r="S387" s="55"/>
      <c r="T387" s="56"/>
      <c r="U387" s="34"/>
      <c r="V387" s="34"/>
      <c r="W387" s="34"/>
      <c r="X387" s="34"/>
      <c r="Y387" s="34"/>
      <c r="Z387" s="34"/>
      <c r="AA387" s="34"/>
      <c r="AB387" s="34"/>
      <c r="AC387" s="34"/>
      <c r="AD387" s="34"/>
      <c r="AE387" s="34"/>
      <c r="AT387" s="19" t="s">
        <v>187</v>
      </c>
      <c r="AU387" s="19" t="s">
        <v>87</v>
      </c>
    </row>
    <row r="388" spans="1:65" s="2" customFormat="1">
      <c r="A388" s="34"/>
      <c r="B388" s="35"/>
      <c r="C388" s="34"/>
      <c r="D388" s="158" t="s">
        <v>189</v>
      </c>
      <c r="E388" s="34"/>
      <c r="F388" s="159" t="s">
        <v>1174</v>
      </c>
      <c r="G388" s="34"/>
      <c r="H388" s="34"/>
      <c r="I388" s="155"/>
      <c r="J388" s="34"/>
      <c r="K388" s="34"/>
      <c r="L388" s="35"/>
      <c r="M388" s="156"/>
      <c r="N388" s="157"/>
      <c r="O388" s="55"/>
      <c r="P388" s="55"/>
      <c r="Q388" s="55"/>
      <c r="R388" s="55"/>
      <c r="S388" s="55"/>
      <c r="T388" s="56"/>
      <c r="U388" s="34"/>
      <c r="V388" s="34"/>
      <c r="W388" s="34"/>
      <c r="X388" s="34"/>
      <c r="Y388" s="34"/>
      <c r="Z388" s="34"/>
      <c r="AA388" s="34"/>
      <c r="AB388" s="34"/>
      <c r="AC388" s="34"/>
      <c r="AD388" s="34"/>
      <c r="AE388" s="34"/>
      <c r="AT388" s="19" t="s">
        <v>189</v>
      </c>
      <c r="AU388" s="19" t="s">
        <v>87</v>
      </c>
    </row>
    <row r="389" spans="1:65" s="2" customFormat="1" ht="39">
      <c r="A389" s="34"/>
      <c r="B389" s="35"/>
      <c r="C389" s="34"/>
      <c r="D389" s="153" t="s">
        <v>191</v>
      </c>
      <c r="E389" s="34"/>
      <c r="F389" s="160" t="s">
        <v>459</v>
      </c>
      <c r="G389" s="34"/>
      <c r="H389" s="34"/>
      <c r="I389" s="155"/>
      <c r="J389" s="34"/>
      <c r="K389" s="34"/>
      <c r="L389" s="35"/>
      <c r="M389" s="156"/>
      <c r="N389" s="157"/>
      <c r="O389" s="55"/>
      <c r="P389" s="55"/>
      <c r="Q389" s="55"/>
      <c r="R389" s="55"/>
      <c r="S389" s="55"/>
      <c r="T389" s="56"/>
      <c r="U389" s="34"/>
      <c r="V389" s="34"/>
      <c r="W389" s="34"/>
      <c r="X389" s="34"/>
      <c r="Y389" s="34"/>
      <c r="Z389" s="34"/>
      <c r="AA389" s="34"/>
      <c r="AB389" s="34"/>
      <c r="AC389" s="34"/>
      <c r="AD389" s="34"/>
      <c r="AE389" s="34"/>
      <c r="AT389" s="19" t="s">
        <v>191</v>
      </c>
      <c r="AU389" s="19" t="s">
        <v>87</v>
      </c>
    </row>
    <row r="390" spans="1:65" s="2" customFormat="1" ht="16.5" customHeight="1">
      <c r="A390" s="34"/>
      <c r="B390" s="139"/>
      <c r="C390" s="140" t="s">
        <v>1175</v>
      </c>
      <c r="D390" s="140" t="s">
        <v>180</v>
      </c>
      <c r="E390" s="141" t="s">
        <v>462</v>
      </c>
      <c r="F390" s="142" t="s">
        <v>463</v>
      </c>
      <c r="G390" s="143" t="s">
        <v>332</v>
      </c>
      <c r="H390" s="144">
        <v>144.92599999999999</v>
      </c>
      <c r="I390" s="145"/>
      <c r="J390" s="146">
        <f>ROUND(I390*H390,2)</f>
        <v>0</v>
      </c>
      <c r="K390" s="142" t="s">
        <v>184</v>
      </c>
      <c r="L390" s="35"/>
      <c r="M390" s="147" t="s">
        <v>3</v>
      </c>
      <c r="N390" s="148" t="s">
        <v>48</v>
      </c>
      <c r="O390" s="55"/>
      <c r="P390" s="149">
        <f>O390*H390</f>
        <v>0</v>
      </c>
      <c r="Q390" s="149">
        <v>2.0999999999999999E-3</v>
      </c>
      <c r="R390" s="149">
        <f>Q390*H390</f>
        <v>0.30434459999999997</v>
      </c>
      <c r="S390" s="149">
        <v>0</v>
      </c>
      <c r="T390" s="150">
        <f>S390*H390</f>
        <v>0</v>
      </c>
      <c r="U390" s="34"/>
      <c r="V390" s="34"/>
      <c r="W390" s="34"/>
      <c r="X390" s="34"/>
      <c r="Y390" s="34"/>
      <c r="Z390" s="34"/>
      <c r="AA390" s="34"/>
      <c r="AB390" s="34"/>
      <c r="AC390" s="34"/>
      <c r="AD390" s="34"/>
      <c r="AE390" s="34"/>
      <c r="AR390" s="151" t="s">
        <v>185</v>
      </c>
      <c r="AT390" s="151" t="s">
        <v>180</v>
      </c>
      <c r="AU390" s="151" t="s">
        <v>87</v>
      </c>
      <c r="AY390" s="19" t="s">
        <v>177</v>
      </c>
      <c r="BE390" s="152">
        <f>IF(N390="základní",J390,0)</f>
        <v>0</v>
      </c>
      <c r="BF390" s="152">
        <f>IF(N390="snížená",J390,0)</f>
        <v>0</v>
      </c>
      <c r="BG390" s="152">
        <f>IF(N390="zákl. přenesená",J390,0)</f>
        <v>0</v>
      </c>
      <c r="BH390" s="152">
        <f>IF(N390="sníž. přenesená",J390,0)</f>
        <v>0</v>
      </c>
      <c r="BI390" s="152">
        <f>IF(N390="nulová",J390,0)</f>
        <v>0</v>
      </c>
      <c r="BJ390" s="19" t="s">
        <v>85</v>
      </c>
      <c r="BK390" s="152">
        <f>ROUND(I390*H390,2)</f>
        <v>0</v>
      </c>
      <c r="BL390" s="19" t="s">
        <v>185</v>
      </c>
      <c r="BM390" s="151" t="s">
        <v>1176</v>
      </c>
    </row>
    <row r="391" spans="1:65" s="2" customFormat="1">
      <c r="A391" s="34"/>
      <c r="B391" s="35"/>
      <c r="C391" s="34"/>
      <c r="D391" s="153" t="s">
        <v>187</v>
      </c>
      <c r="E391" s="34"/>
      <c r="F391" s="154" t="s">
        <v>465</v>
      </c>
      <c r="G391" s="34"/>
      <c r="H391" s="34"/>
      <c r="I391" s="155"/>
      <c r="J391" s="34"/>
      <c r="K391" s="34"/>
      <c r="L391" s="35"/>
      <c r="M391" s="156"/>
      <c r="N391" s="157"/>
      <c r="O391" s="55"/>
      <c r="P391" s="55"/>
      <c r="Q391" s="55"/>
      <c r="R391" s="55"/>
      <c r="S391" s="55"/>
      <c r="T391" s="56"/>
      <c r="U391" s="34"/>
      <c r="V391" s="34"/>
      <c r="W391" s="34"/>
      <c r="X391" s="34"/>
      <c r="Y391" s="34"/>
      <c r="Z391" s="34"/>
      <c r="AA391" s="34"/>
      <c r="AB391" s="34"/>
      <c r="AC391" s="34"/>
      <c r="AD391" s="34"/>
      <c r="AE391" s="34"/>
      <c r="AT391" s="19" t="s">
        <v>187</v>
      </c>
      <c r="AU391" s="19" t="s">
        <v>87</v>
      </c>
    </row>
    <row r="392" spans="1:65" s="2" customFormat="1">
      <c r="A392" s="34"/>
      <c r="B392" s="35"/>
      <c r="C392" s="34"/>
      <c r="D392" s="158" t="s">
        <v>189</v>
      </c>
      <c r="E392" s="34"/>
      <c r="F392" s="159" t="s">
        <v>466</v>
      </c>
      <c r="G392" s="34"/>
      <c r="H392" s="34"/>
      <c r="I392" s="155"/>
      <c r="J392" s="34"/>
      <c r="K392" s="34"/>
      <c r="L392" s="35"/>
      <c r="M392" s="156"/>
      <c r="N392" s="157"/>
      <c r="O392" s="55"/>
      <c r="P392" s="55"/>
      <c r="Q392" s="55"/>
      <c r="R392" s="55"/>
      <c r="S392" s="55"/>
      <c r="T392" s="56"/>
      <c r="U392" s="34"/>
      <c r="V392" s="34"/>
      <c r="W392" s="34"/>
      <c r="X392" s="34"/>
      <c r="Y392" s="34"/>
      <c r="Z392" s="34"/>
      <c r="AA392" s="34"/>
      <c r="AB392" s="34"/>
      <c r="AC392" s="34"/>
      <c r="AD392" s="34"/>
      <c r="AE392" s="34"/>
      <c r="AT392" s="19" t="s">
        <v>189</v>
      </c>
      <c r="AU392" s="19" t="s">
        <v>87</v>
      </c>
    </row>
    <row r="393" spans="1:65" s="13" customFormat="1">
      <c r="B393" s="161"/>
      <c r="D393" s="153" t="s">
        <v>193</v>
      </c>
      <c r="E393" s="162" t="s">
        <v>3</v>
      </c>
      <c r="F393" s="163" t="s">
        <v>1177</v>
      </c>
      <c r="H393" s="164">
        <v>116.378</v>
      </c>
      <c r="I393" s="165"/>
      <c r="L393" s="161"/>
      <c r="M393" s="166"/>
      <c r="N393" s="167"/>
      <c r="O393" s="167"/>
      <c r="P393" s="167"/>
      <c r="Q393" s="167"/>
      <c r="R393" s="167"/>
      <c r="S393" s="167"/>
      <c r="T393" s="168"/>
      <c r="AT393" s="162" t="s">
        <v>193</v>
      </c>
      <c r="AU393" s="162" t="s">
        <v>87</v>
      </c>
      <c r="AV393" s="13" t="s">
        <v>87</v>
      </c>
      <c r="AW393" s="13" t="s">
        <v>36</v>
      </c>
      <c r="AX393" s="13" t="s">
        <v>77</v>
      </c>
      <c r="AY393" s="162" t="s">
        <v>177</v>
      </c>
    </row>
    <row r="394" spans="1:65" s="13" customFormat="1">
      <c r="B394" s="161"/>
      <c r="D394" s="153" t="s">
        <v>193</v>
      </c>
      <c r="E394" s="162" t="s">
        <v>3</v>
      </c>
      <c r="F394" s="163" t="s">
        <v>1178</v>
      </c>
      <c r="H394" s="164">
        <v>28.547999999999998</v>
      </c>
      <c r="I394" s="165"/>
      <c r="L394" s="161"/>
      <c r="M394" s="166"/>
      <c r="N394" s="167"/>
      <c r="O394" s="167"/>
      <c r="P394" s="167"/>
      <c r="Q394" s="167"/>
      <c r="R394" s="167"/>
      <c r="S394" s="167"/>
      <c r="T394" s="168"/>
      <c r="AT394" s="162" t="s">
        <v>193</v>
      </c>
      <c r="AU394" s="162" t="s">
        <v>87</v>
      </c>
      <c r="AV394" s="13" t="s">
        <v>87</v>
      </c>
      <c r="AW394" s="13" t="s">
        <v>36</v>
      </c>
      <c r="AX394" s="13" t="s">
        <v>77</v>
      </c>
      <c r="AY394" s="162" t="s">
        <v>177</v>
      </c>
    </row>
    <row r="395" spans="1:65" s="16" customFormat="1">
      <c r="B395" s="184"/>
      <c r="D395" s="153" t="s">
        <v>193</v>
      </c>
      <c r="E395" s="185" t="s">
        <v>3</v>
      </c>
      <c r="F395" s="186" t="s">
        <v>201</v>
      </c>
      <c r="H395" s="187">
        <v>144.92599999999999</v>
      </c>
      <c r="I395" s="188"/>
      <c r="L395" s="184"/>
      <c r="M395" s="189"/>
      <c r="N395" s="190"/>
      <c r="O395" s="190"/>
      <c r="P395" s="190"/>
      <c r="Q395" s="190"/>
      <c r="R395" s="190"/>
      <c r="S395" s="190"/>
      <c r="T395" s="191"/>
      <c r="AT395" s="185" t="s">
        <v>193</v>
      </c>
      <c r="AU395" s="185" t="s">
        <v>87</v>
      </c>
      <c r="AV395" s="16" t="s">
        <v>185</v>
      </c>
      <c r="AW395" s="16" t="s">
        <v>36</v>
      </c>
      <c r="AX395" s="16" t="s">
        <v>85</v>
      </c>
      <c r="AY395" s="185" t="s">
        <v>177</v>
      </c>
    </row>
    <row r="396" spans="1:65" s="2" customFormat="1" ht="16.5" customHeight="1">
      <c r="A396" s="34"/>
      <c r="B396" s="139"/>
      <c r="C396" s="140" t="s">
        <v>1179</v>
      </c>
      <c r="D396" s="140" t="s">
        <v>180</v>
      </c>
      <c r="E396" s="141" t="s">
        <v>474</v>
      </c>
      <c r="F396" s="142" t="s">
        <v>475</v>
      </c>
      <c r="G396" s="143" t="s">
        <v>476</v>
      </c>
      <c r="H396" s="144">
        <v>51.771000000000001</v>
      </c>
      <c r="I396" s="145"/>
      <c r="J396" s="146">
        <f>ROUND(I396*H396,2)</f>
        <v>0</v>
      </c>
      <c r="K396" s="142" t="s">
        <v>184</v>
      </c>
      <c r="L396" s="35"/>
      <c r="M396" s="147" t="s">
        <v>3</v>
      </c>
      <c r="N396" s="148" t="s">
        <v>48</v>
      </c>
      <c r="O396" s="55"/>
      <c r="P396" s="149">
        <f>O396*H396</f>
        <v>0</v>
      </c>
      <c r="Q396" s="149">
        <v>4.3140000000000002E-4</v>
      </c>
      <c r="R396" s="149">
        <f>Q396*H396</f>
        <v>2.23340094E-2</v>
      </c>
      <c r="S396" s="149">
        <v>0</v>
      </c>
      <c r="T396" s="150">
        <f>S396*H396</f>
        <v>0</v>
      </c>
      <c r="U396" s="34"/>
      <c r="V396" s="34"/>
      <c r="W396" s="34"/>
      <c r="X396" s="34"/>
      <c r="Y396" s="34"/>
      <c r="Z396" s="34"/>
      <c r="AA396" s="34"/>
      <c r="AB396" s="34"/>
      <c r="AC396" s="34"/>
      <c r="AD396" s="34"/>
      <c r="AE396" s="34"/>
      <c r="AR396" s="151" t="s">
        <v>185</v>
      </c>
      <c r="AT396" s="151" t="s">
        <v>180</v>
      </c>
      <c r="AU396" s="151" t="s">
        <v>87</v>
      </c>
      <c r="AY396" s="19" t="s">
        <v>177</v>
      </c>
      <c r="BE396" s="152">
        <f>IF(N396="základní",J396,0)</f>
        <v>0</v>
      </c>
      <c r="BF396" s="152">
        <f>IF(N396="snížená",J396,0)</f>
        <v>0</v>
      </c>
      <c r="BG396" s="152">
        <f>IF(N396="zákl. přenesená",J396,0)</f>
        <v>0</v>
      </c>
      <c r="BH396" s="152">
        <f>IF(N396="sníž. přenesená",J396,0)</f>
        <v>0</v>
      </c>
      <c r="BI396" s="152">
        <f>IF(N396="nulová",J396,0)</f>
        <v>0</v>
      </c>
      <c r="BJ396" s="19" t="s">
        <v>85</v>
      </c>
      <c r="BK396" s="152">
        <f>ROUND(I396*H396,2)</f>
        <v>0</v>
      </c>
      <c r="BL396" s="19" t="s">
        <v>185</v>
      </c>
      <c r="BM396" s="151" t="s">
        <v>1180</v>
      </c>
    </row>
    <row r="397" spans="1:65" s="2" customFormat="1">
      <c r="A397" s="34"/>
      <c r="B397" s="35"/>
      <c r="C397" s="34"/>
      <c r="D397" s="153" t="s">
        <v>187</v>
      </c>
      <c r="E397" s="34"/>
      <c r="F397" s="154" t="s">
        <v>478</v>
      </c>
      <c r="G397" s="34"/>
      <c r="H397" s="34"/>
      <c r="I397" s="155"/>
      <c r="J397" s="34"/>
      <c r="K397" s="34"/>
      <c r="L397" s="35"/>
      <c r="M397" s="156"/>
      <c r="N397" s="157"/>
      <c r="O397" s="55"/>
      <c r="P397" s="55"/>
      <c r="Q397" s="55"/>
      <c r="R397" s="55"/>
      <c r="S397" s="55"/>
      <c r="T397" s="56"/>
      <c r="U397" s="34"/>
      <c r="V397" s="34"/>
      <c r="W397" s="34"/>
      <c r="X397" s="34"/>
      <c r="Y397" s="34"/>
      <c r="Z397" s="34"/>
      <c r="AA397" s="34"/>
      <c r="AB397" s="34"/>
      <c r="AC397" s="34"/>
      <c r="AD397" s="34"/>
      <c r="AE397" s="34"/>
      <c r="AT397" s="19" t="s">
        <v>187</v>
      </c>
      <c r="AU397" s="19" t="s">
        <v>87</v>
      </c>
    </row>
    <row r="398" spans="1:65" s="2" customFormat="1">
      <c r="A398" s="34"/>
      <c r="B398" s="35"/>
      <c r="C398" s="34"/>
      <c r="D398" s="158" t="s">
        <v>189</v>
      </c>
      <c r="E398" s="34"/>
      <c r="F398" s="159" t="s">
        <v>479</v>
      </c>
      <c r="G398" s="34"/>
      <c r="H398" s="34"/>
      <c r="I398" s="155"/>
      <c r="J398" s="34"/>
      <c r="K398" s="34"/>
      <c r="L398" s="35"/>
      <c r="M398" s="156"/>
      <c r="N398" s="157"/>
      <c r="O398" s="55"/>
      <c r="P398" s="55"/>
      <c r="Q398" s="55"/>
      <c r="R398" s="55"/>
      <c r="S398" s="55"/>
      <c r="T398" s="56"/>
      <c r="U398" s="34"/>
      <c r="V398" s="34"/>
      <c r="W398" s="34"/>
      <c r="X398" s="34"/>
      <c r="Y398" s="34"/>
      <c r="Z398" s="34"/>
      <c r="AA398" s="34"/>
      <c r="AB398" s="34"/>
      <c r="AC398" s="34"/>
      <c r="AD398" s="34"/>
      <c r="AE398" s="34"/>
      <c r="AT398" s="19" t="s">
        <v>189</v>
      </c>
      <c r="AU398" s="19" t="s">
        <v>87</v>
      </c>
    </row>
    <row r="399" spans="1:65" s="2" customFormat="1" ht="78">
      <c r="A399" s="34"/>
      <c r="B399" s="35"/>
      <c r="C399" s="34"/>
      <c r="D399" s="153" t="s">
        <v>191</v>
      </c>
      <c r="E399" s="34"/>
      <c r="F399" s="160" t="s">
        <v>480</v>
      </c>
      <c r="G399" s="34"/>
      <c r="H399" s="34"/>
      <c r="I399" s="155"/>
      <c r="J399" s="34"/>
      <c r="K399" s="34"/>
      <c r="L399" s="35"/>
      <c r="M399" s="156"/>
      <c r="N399" s="157"/>
      <c r="O399" s="55"/>
      <c r="P399" s="55"/>
      <c r="Q399" s="55"/>
      <c r="R399" s="55"/>
      <c r="S399" s="55"/>
      <c r="T399" s="56"/>
      <c r="U399" s="34"/>
      <c r="V399" s="34"/>
      <c r="W399" s="34"/>
      <c r="X399" s="34"/>
      <c r="Y399" s="34"/>
      <c r="Z399" s="34"/>
      <c r="AA399" s="34"/>
      <c r="AB399" s="34"/>
      <c r="AC399" s="34"/>
      <c r="AD399" s="34"/>
      <c r="AE399" s="34"/>
      <c r="AT399" s="19" t="s">
        <v>191</v>
      </c>
      <c r="AU399" s="19" t="s">
        <v>87</v>
      </c>
    </row>
    <row r="400" spans="1:65" s="14" customFormat="1">
      <c r="B400" s="169"/>
      <c r="D400" s="153" t="s">
        <v>193</v>
      </c>
      <c r="E400" s="170" t="s">
        <v>3</v>
      </c>
      <c r="F400" s="171" t="s">
        <v>481</v>
      </c>
      <c r="H400" s="170" t="s">
        <v>3</v>
      </c>
      <c r="I400" s="172"/>
      <c r="L400" s="169"/>
      <c r="M400" s="173"/>
      <c r="N400" s="174"/>
      <c r="O400" s="174"/>
      <c r="P400" s="174"/>
      <c r="Q400" s="174"/>
      <c r="R400" s="174"/>
      <c r="S400" s="174"/>
      <c r="T400" s="175"/>
      <c r="AT400" s="170" t="s">
        <v>193</v>
      </c>
      <c r="AU400" s="170" t="s">
        <v>87</v>
      </c>
      <c r="AV400" s="14" t="s">
        <v>85</v>
      </c>
      <c r="AW400" s="14" t="s">
        <v>36</v>
      </c>
      <c r="AX400" s="14" t="s">
        <v>77</v>
      </c>
      <c r="AY400" s="170" t="s">
        <v>177</v>
      </c>
    </row>
    <row r="401" spans="1:65" s="13" customFormat="1">
      <c r="B401" s="161"/>
      <c r="D401" s="153" t="s">
        <v>193</v>
      </c>
      <c r="E401" s="162" t="s">
        <v>3</v>
      </c>
      <c r="F401" s="163" t="s">
        <v>1181</v>
      </c>
      <c r="H401" s="164">
        <v>51.771000000000001</v>
      </c>
      <c r="I401" s="165"/>
      <c r="L401" s="161"/>
      <c r="M401" s="166"/>
      <c r="N401" s="167"/>
      <c r="O401" s="167"/>
      <c r="P401" s="167"/>
      <c r="Q401" s="167"/>
      <c r="R401" s="167"/>
      <c r="S401" s="167"/>
      <c r="T401" s="168"/>
      <c r="AT401" s="162" t="s">
        <v>193</v>
      </c>
      <c r="AU401" s="162" t="s">
        <v>87</v>
      </c>
      <c r="AV401" s="13" t="s">
        <v>87</v>
      </c>
      <c r="AW401" s="13" t="s">
        <v>36</v>
      </c>
      <c r="AX401" s="13" t="s">
        <v>85</v>
      </c>
      <c r="AY401" s="162" t="s">
        <v>177</v>
      </c>
    </row>
    <row r="402" spans="1:65" s="2" customFormat="1" ht="16.5" customHeight="1">
      <c r="A402" s="34"/>
      <c r="B402" s="139"/>
      <c r="C402" s="195" t="s">
        <v>1182</v>
      </c>
      <c r="D402" s="195" t="s">
        <v>484</v>
      </c>
      <c r="E402" s="196" t="s">
        <v>485</v>
      </c>
      <c r="F402" s="197" t="s">
        <v>486</v>
      </c>
      <c r="G402" s="198" t="s">
        <v>183</v>
      </c>
      <c r="H402" s="199">
        <v>5.0999999999999997E-2</v>
      </c>
      <c r="I402" s="200"/>
      <c r="J402" s="201">
        <f>ROUND(I402*H402,2)</f>
        <v>0</v>
      </c>
      <c r="K402" s="197" t="s">
        <v>184</v>
      </c>
      <c r="L402" s="202"/>
      <c r="M402" s="203" t="s">
        <v>3</v>
      </c>
      <c r="N402" s="204" t="s">
        <v>48</v>
      </c>
      <c r="O402" s="55"/>
      <c r="P402" s="149">
        <f>O402*H402</f>
        <v>0</v>
      </c>
      <c r="Q402" s="149">
        <v>1</v>
      </c>
      <c r="R402" s="149">
        <f>Q402*H402</f>
        <v>5.0999999999999997E-2</v>
      </c>
      <c r="S402" s="149">
        <v>0</v>
      </c>
      <c r="T402" s="150">
        <f>S402*H402</f>
        <v>0</v>
      </c>
      <c r="U402" s="34"/>
      <c r="V402" s="34"/>
      <c r="W402" s="34"/>
      <c r="X402" s="34"/>
      <c r="Y402" s="34"/>
      <c r="Z402" s="34"/>
      <c r="AA402" s="34"/>
      <c r="AB402" s="34"/>
      <c r="AC402" s="34"/>
      <c r="AD402" s="34"/>
      <c r="AE402" s="34"/>
      <c r="AR402" s="151" t="s">
        <v>248</v>
      </c>
      <c r="AT402" s="151" t="s">
        <v>484</v>
      </c>
      <c r="AU402" s="151" t="s">
        <v>87</v>
      </c>
      <c r="AY402" s="19" t="s">
        <v>177</v>
      </c>
      <c r="BE402" s="152">
        <f>IF(N402="základní",J402,0)</f>
        <v>0</v>
      </c>
      <c r="BF402" s="152">
        <f>IF(N402="snížená",J402,0)</f>
        <v>0</v>
      </c>
      <c r="BG402" s="152">
        <f>IF(N402="zákl. přenesená",J402,0)</f>
        <v>0</v>
      </c>
      <c r="BH402" s="152">
        <f>IF(N402="sníž. přenesená",J402,0)</f>
        <v>0</v>
      </c>
      <c r="BI402" s="152">
        <f>IF(N402="nulová",J402,0)</f>
        <v>0</v>
      </c>
      <c r="BJ402" s="19" t="s">
        <v>85</v>
      </c>
      <c r="BK402" s="152">
        <f>ROUND(I402*H402,2)</f>
        <v>0</v>
      </c>
      <c r="BL402" s="19" t="s">
        <v>185</v>
      </c>
      <c r="BM402" s="151" t="s">
        <v>1183</v>
      </c>
    </row>
    <row r="403" spans="1:65" s="2" customFormat="1">
      <c r="A403" s="34"/>
      <c r="B403" s="35"/>
      <c r="C403" s="34"/>
      <c r="D403" s="153" t="s">
        <v>187</v>
      </c>
      <c r="E403" s="34"/>
      <c r="F403" s="154" t="s">
        <v>488</v>
      </c>
      <c r="G403" s="34"/>
      <c r="H403" s="34"/>
      <c r="I403" s="155"/>
      <c r="J403" s="34"/>
      <c r="K403" s="34"/>
      <c r="L403" s="35"/>
      <c r="M403" s="156"/>
      <c r="N403" s="157"/>
      <c r="O403" s="55"/>
      <c r="P403" s="55"/>
      <c r="Q403" s="55"/>
      <c r="R403" s="55"/>
      <c r="S403" s="55"/>
      <c r="T403" s="56"/>
      <c r="U403" s="34"/>
      <c r="V403" s="34"/>
      <c r="W403" s="34"/>
      <c r="X403" s="34"/>
      <c r="Y403" s="34"/>
      <c r="Z403" s="34"/>
      <c r="AA403" s="34"/>
      <c r="AB403" s="34"/>
      <c r="AC403" s="34"/>
      <c r="AD403" s="34"/>
      <c r="AE403" s="34"/>
      <c r="AT403" s="19" t="s">
        <v>187</v>
      </c>
      <c r="AU403" s="19" t="s">
        <v>87</v>
      </c>
    </row>
    <row r="404" spans="1:65" s="13" customFormat="1">
      <c r="B404" s="161"/>
      <c r="D404" s="153" t="s">
        <v>193</v>
      </c>
      <c r="E404" s="162" t="s">
        <v>3</v>
      </c>
      <c r="F404" s="163" t="s">
        <v>1184</v>
      </c>
      <c r="H404" s="164">
        <v>5.0999999999999997E-2</v>
      </c>
      <c r="I404" s="165"/>
      <c r="L404" s="161"/>
      <c r="M404" s="166"/>
      <c r="N404" s="167"/>
      <c r="O404" s="167"/>
      <c r="P404" s="167"/>
      <c r="Q404" s="167"/>
      <c r="R404" s="167"/>
      <c r="S404" s="167"/>
      <c r="T404" s="168"/>
      <c r="AT404" s="162" t="s">
        <v>193</v>
      </c>
      <c r="AU404" s="162" t="s">
        <v>87</v>
      </c>
      <c r="AV404" s="13" t="s">
        <v>87</v>
      </c>
      <c r="AW404" s="13" t="s">
        <v>36</v>
      </c>
      <c r="AX404" s="13" t="s">
        <v>85</v>
      </c>
      <c r="AY404" s="162" t="s">
        <v>177</v>
      </c>
    </row>
    <row r="405" spans="1:65" s="12" customFormat="1" ht="22.9" customHeight="1">
      <c r="B405" s="126"/>
      <c r="D405" s="127" t="s">
        <v>76</v>
      </c>
      <c r="E405" s="137" t="s">
        <v>178</v>
      </c>
      <c r="F405" s="137" t="s">
        <v>179</v>
      </c>
      <c r="I405" s="129"/>
      <c r="J405" s="138">
        <f>BK405</f>
        <v>0</v>
      </c>
      <c r="L405" s="126"/>
      <c r="M405" s="131"/>
      <c r="N405" s="132"/>
      <c r="O405" s="132"/>
      <c r="P405" s="133">
        <f>SUM(P406:P456)</f>
        <v>0</v>
      </c>
      <c r="Q405" s="132"/>
      <c r="R405" s="133">
        <f>SUM(R406:R456)</f>
        <v>0</v>
      </c>
      <c r="S405" s="132"/>
      <c r="T405" s="134">
        <f>SUM(T406:T456)</f>
        <v>0</v>
      </c>
      <c r="AR405" s="127" t="s">
        <v>85</v>
      </c>
      <c r="AT405" s="135" t="s">
        <v>76</v>
      </c>
      <c r="AU405" s="135" t="s">
        <v>85</v>
      </c>
      <c r="AY405" s="127" t="s">
        <v>177</v>
      </c>
      <c r="BK405" s="136">
        <f>SUM(BK406:BK456)</f>
        <v>0</v>
      </c>
    </row>
    <row r="406" spans="1:65" s="2" customFormat="1" ht="16.5" customHeight="1">
      <c r="A406" s="34"/>
      <c r="B406" s="139"/>
      <c r="C406" s="140" t="s">
        <v>1185</v>
      </c>
      <c r="D406" s="140" t="s">
        <v>180</v>
      </c>
      <c r="E406" s="141" t="s">
        <v>181</v>
      </c>
      <c r="F406" s="142" t="s">
        <v>182</v>
      </c>
      <c r="G406" s="143" t="s">
        <v>183</v>
      </c>
      <c r="H406" s="144">
        <v>203.28800000000001</v>
      </c>
      <c r="I406" s="145"/>
      <c r="J406" s="146">
        <f>ROUND(I406*H406,2)</f>
        <v>0</v>
      </c>
      <c r="K406" s="142" t="s">
        <v>184</v>
      </c>
      <c r="L406" s="35"/>
      <c r="M406" s="147" t="s">
        <v>3</v>
      </c>
      <c r="N406" s="148" t="s">
        <v>48</v>
      </c>
      <c r="O406" s="55"/>
      <c r="P406" s="149">
        <f>O406*H406</f>
        <v>0</v>
      </c>
      <c r="Q406" s="149">
        <v>0</v>
      </c>
      <c r="R406" s="149">
        <f>Q406*H406</f>
        <v>0</v>
      </c>
      <c r="S406" s="149">
        <v>0</v>
      </c>
      <c r="T406" s="150">
        <f>S406*H406</f>
        <v>0</v>
      </c>
      <c r="U406" s="34"/>
      <c r="V406" s="34"/>
      <c r="W406" s="34"/>
      <c r="X406" s="34"/>
      <c r="Y406" s="34"/>
      <c r="Z406" s="34"/>
      <c r="AA406" s="34"/>
      <c r="AB406" s="34"/>
      <c r="AC406" s="34"/>
      <c r="AD406" s="34"/>
      <c r="AE406" s="34"/>
      <c r="AR406" s="151" t="s">
        <v>185</v>
      </c>
      <c r="AT406" s="151" t="s">
        <v>180</v>
      </c>
      <c r="AU406" s="151" t="s">
        <v>87</v>
      </c>
      <c r="AY406" s="19" t="s">
        <v>177</v>
      </c>
      <c r="BE406" s="152">
        <f>IF(N406="základní",J406,0)</f>
        <v>0</v>
      </c>
      <c r="BF406" s="152">
        <f>IF(N406="snížená",J406,0)</f>
        <v>0</v>
      </c>
      <c r="BG406" s="152">
        <f>IF(N406="zákl. přenesená",J406,0)</f>
        <v>0</v>
      </c>
      <c r="BH406" s="152">
        <f>IF(N406="sníž. přenesená",J406,0)</f>
        <v>0</v>
      </c>
      <c r="BI406" s="152">
        <f>IF(N406="nulová",J406,0)</f>
        <v>0</v>
      </c>
      <c r="BJ406" s="19" t="s">
        <v>85</v>
      </c>
      <c r="BK406" s="152">
        <f>ROUND(I406*H406,2)</f>
        <v>0</v>
      </c>
      <c r="BL406" s="19" t="s">
        <v>185</v>
      </c>
      <c r="BM406" s="151" t="s">
        <v>1186</v>
      </c>
    </row>
    <row r="407" spans="1:65" s="2" customFormat="1">
      <c r="A407" s="34"/>
      <c r="B407" s="35"/>
      <c r="C407" s="34"/>
      <c r="D407" s="153" t="s">
        <v>187</v>
      </c>
      <c r="E407" s="34"/>
      <c r="F407" s="154" t="s">
        <v>188</v>
      </c>
      <c r="G407" s="34"/>
      <c r="H407" s="34"/>
      <c r="I407" s="155"/>
      <c r="J407" s="34"/>
      <c r="K407" s="34"/>
      <c r="L407" s="35"/>
      <c r="M407" s="156"/>
      <c r="N407" s="157"/>
      <c r="O407" s="55"/>
      <c r="P407" s="55"/>
      <c r="Q407" s="55"/>
      <c r="R407" s="55"/>
      <c r="S407" s="55"/>
      <c r="T407" s="56"/>
      <c r="U407" s="34"/>
      <c r="V407" s="34"/>
      <c r="W407" s="34"/>
      <c r="X407" s="34"/>
      <c r="Y407" s="34"/>
      <c r="Z407" s="34"/>
      <c r="AA407" s="34"/>
      <c r="AB407" s="34"/>
      <c r="AC407" s="34"/>
      <c r="AD407" s="34"/>
      <c r="AE407" s="34"/>
      <c r="AT407" s="19" t="s">
        <v>187</v>
      </c>
      <c r="AU407" s="19" t="s">
        <v>87</v>
      </c>
    </row>
    <row r="408" spans="1:65" s="2" customFormat="1">
      <c r="A408" s="34"/>
      <c r="B408" s="35"/>
      <c r="C408" s="34"/>
      <c r="D408" s="158" t="s">
        <v>189</v>
      </c>
      <c r="E408" s="34"/>
      <c r="F408" s="159" t="s">
        <v>190</v>
      </c>
      <c r="G408" s="34"/>
      <c r="H408" s="34"/>
      <c r="I408" s="155"/>
      <c r="J408" s="34"/>
      <c r="K408" s="34"/>
      <c r="L408" s="35"/>
      <c r="M408" s="156"/>
      <c r="N408" s="157"/>
      <c r="O408" s="55"/>
      <c r="P408" s="55"/>
      <c r="Q408" s="55"/>
      <c r="R408" s="55"/>
      <c r="S408" s="55"/>
      <c r="T408" s="56"/>
      <c r="U408" s="34"/>
      <c r="V408" s="34"/>
      <c r="W408" s="34"/>
      <c r="X408" s="34"/>
      <c r="Y408" s="34"/>
      <c r="Z408" s="34"/>
      <c r="AA408" s="34"/>
      <c r="AB408" s="34"/>
      <c r="AC408" s="34"/>
      <c r="AD408" s="34"/>
      <c r="AE408" s="34"/>
      <c r="AT408" s="19" t="s">
        <v>189</v>
      </c>
      <c r="AU408" s="19" t="s">
        <v>87</v>
      </c>
    </row>
    <row r="409" spans="1:65" s="2" customFormat="1" ht="107.25">
      <c r="A409" s="34"/>
      <c r="B409" s="35"/>
      <c r="C409" s="34"/>
      <c r="D409" s="153" t="s">
        <v>191</v>
      </c>
      <c r="E409" s="34"/>
      <c r="F409" s="160" t="s">
        <v>192</v>
      </c>
      <c r="G409" s="34"/>
      <c r="H409" s="34"/>
      <c r="I409" s="155"/>
      <c r="J409" s="34"/>
      <c r="K409" s="34"/>
      <c r="L409" s="35"/>
      <c r="M409" s="156"/>
      <c r="N409" s="157"/>
      <c r="O409" s="55"/>
      <c r="P409" s="55"/>
      <c r="Q409" s="55"/>
      <c r="R409" s="55"/>
      <c r="S409" s="55"/>
      <c r="T409" s="56"/>
      <c r="U409" s="34"/>
      <c r="V409" s="34"/>
      <c r="W409" s="34"/>
      <c r="X409" s="34"/>
      <c r="Y409" s="34"/>
      <c r="Z409" s="34"/>
      <c r="AA409" s="34"/>
      <c r="AB409" s="34"/>
      <c r="AC409" s="34"/>
      <c r="AD409" s="34"/>
      <c r="AE409" s="34"/>
      <c r="AT409" s="19" t="s">
        <v>191</v>
      </c>
      <c r="AU409" s="19" t="s">
        <v>87</v>
      </c>
    </row>
    <row r="410" spans="1:65" s="2" customFormat="1" ht="21.75" customHeight="1">
      <c r="A410" s="34"/>
      <c r="B410" s="139"/>
      <c r="C410" s="140" t="s">
        <v>1187</v>
      </c>
      <c r="D410" s="140" t="s">
        <v>180</v>
      </c>
      <c r="E410" s="141" t="s">
        <v>202</v>
      </c>
      <c r="F410" s="142" t="s">
        <v>203</v>
      </c>
      <c r="G410" s="143" t="s">
        <v>183</v>
      </c>
      <c r="H410" s="144">
        <v>406.57600000000002</v>
      </c>
      <c r="I410" s="145"/>
      <c r="J410" s="146">
        <f>ROUND(I410*H410,2)</f>
        <v>0</v>
      </c>
      <c r="K410" s="142" t="s">
        <v>184</v>
      </c>
      <c r="L410" s="35"/>
      <c r="M410" s="147" t="s">
        <v>3</v>
      </c>
      <c r="N410" s="148" t="s">
        <v>48</v>
      </c>
      <c r="O410" s="55"/>
      <c r="P410" s="149">
        <f>O410*H410</f>
        <v>0</v>
      </c>
      <c r="Q410" s="149">
        <v>0</v>
      </c>
      <c r="R410" s="149">
        <f>Q410*H410</f>
        <v>0</v>
      </c>
      <c r="S410" s="149">
        <v>0</v>
      </c>
      <c r="T410" s="150">
        <f>S410*H410</f>
        <v>0</v>
      </c>
      <c r="U410" s="34"/>
      <c r="V410" s="34"/>
      <c r="W410" s="34"/>
      <c r="X410" s="34"/>
      <c r="Y410" s="34"/>
      <c r="Z410" s="34"/>
      <c r="AA410" s="34"/>
      <c r="AB410" s="34"/>
      <c r="AC410" s="34"/>
      <c r="AD410" s="34"/>
      <c r="AE410" s="34"/>
      <c r="AR410" s="151" t="s">
        <v>185</v>
      </c>
      <c r="AT410" s="151" t="s">
        <v>180</v>
      </c>
      <c r="AU410" s="151" t="s">
        <v>87</v>
      </c>
      <c r="AY410" s="19" t="s">
        <v>177</v>
      </c>
      <c r="BE410" s="152">
        <f>IF(N410="základní",J410,0)</f>
        <v>0</v>
      </c>
      <c r="BF410" s="152">
        <f>IF(N410="snížená",J410,0)</f>
        <v>0</v>
      </c>
      <c r="BG410" s="152">
        <f>IF(N410="zákl. přenesená",J410,0)</f>
        <v>0</v>
      </c>
      <c r="BH410" s="152">
        <f>IF(N410="sníž. přenesená",J410,0)</f>
        <v>0</v>
      </c>
      <c r="BI410" s="152">
        <f>IF(N410="nulová",J410,0)</f>
        <v>0</v>
      </c>
      <c r="BJ410" s="19" t="s">
        <v>85</v>
      </c>
      <c r="BK410" s="152">
        <f>ROUND(I410*H410,2)</f>
        <v>0</v>
      </c>
      <c r="BL410" s="19" t="s">
        <v>185</v>
      </c>
      <c r="BM410" s="151" t="s">
        <v>1188</v>
      </c>
    </row>
    <row r="411" spans="1:65" s="2" customFormat="1" ht="19.5">
      <c r="A411" s="34"/>
      <c r="B411" s="35"/>
      <c r="C411" s="34"/>
      <c r="D411" s="153" t="s">
        <v>187</v>
      </c>
      <c r="E411" s="34"/>
      <c r="F411" s="154" t="s">
        <v>205</v>
      </c>
      <c r="G411" s="34"/>
      <c r="H411" s="34"/>
      <c r="I411" s="155"/>
      <c r="J411" s="34"/>
      <c r="K411" s="34"/>
      <c r="L411" s="35"/>
      <c r="M411" s="156"/>
      <c r="N411" s="157"/>
      <c r="O411" s="55"/>
      <c r="P411" s="55"/>
      <c r="Q411" s="55"/>
      <c r="R411" s="55"/>
      <c r="S411" s="55"/>
      <c r="T411" s="56"/>
      <c r="U411" s="34"/>
      <c r="V411" s="34"/>
      <c r="W411" s="34"/>
      <c r="X411" s="34"/>
      <c r="Y411" s="34"/>
      <c r="Z411" s="34"/>
      <c r="AA411" s="34"/>
      <c r="AB411" s="34"/>
      <c r="AC411" s="34"/>
      <c r="AD411" s="34"/>
      <c r="AE411" s="34"/>
      <c r="AT411" s="19" t="s">
        <v>187</v>
      </c>
      <c r="AU411" s="19" t="s">
        <v>87</v>
      </c>
    </row>
    <row r="412" spans="1:65" s="2" customFormat="1">
      <c r="A412" s="34"/>
      <c r="B412" s="35"/>
      <c r="C412" s="34"/>
      <c r="D412" s="158" t="s">
        <v>189</v>
      </c>
      <c r="E412" s="34"/>
      <c r="F412" s="159" t="s">
        <v>206</v>
      </c>
      <c r="G412" s="34"/>
      <c r="H412" s="34"/>
      <c r="I412" s="155"/>
      <c r="J412" s="34"/>
      <c r="K412" s="34"/>
      <c r="L412" s="35"/>
      <c r="M412" s="156"/>
      <c r="N412" s="157"/>
      <c r="O412" s="55"/>
      <c r="P412" s="55"/>
      <c r="Q412" s="55"/>
      <c r="R412" s="55"/>
      <c r="S412" s="55"/>
      <c r="T412" s="56"/>
      <c r="U412" s="34"/>
      <c r="V412" s="34"/>
      <c r="W412" s="34"/>
      <c r="X412" s="34"/>
      <c r="Y412" s="34"/>
      <c r="Z412" s="34"/>
      <c r="AA412" s="34"/>
      <c r="AB412" s="34"/>
      <c r="AC412" s="34"/>
      <c r="AD412" s="34"/>
      <c r="AE412" s="34"/>
      <c r="AT412" s="19" t="s">
        <v>189</v>
      </c>
      <c r="AU412" s="19" t="s">
        <v>87</v>
      </c>
    </row>
    <row r="413" spans="1:65" s="2" customFormat="1" ht="107.25">
      <c r="A413" s="34"/>
      <c r="B413" s="35"/>
      <c r="C413" s="34"/>
      <c r="D413" s="153" t="s">
        <v>191</v>
      </c>
      <c r="E413" s="34"/>
      <c r="F413" s="160" t="s">
        <v>192</v>
      </c>
      <c r="G413" s="34"/>
      <c r="H413" s="34"/>
      <c r="I413" s="155"/>
      <c r="J413" s="34"/>
      <c r="K413" s="34"/>
      <c r="L413" s="35"/>
      <c r="M413" s="156"/>
      <c r="N413" s="157"/>
      <c r="O413" s="55"/>
      <c r="P413" s="55"/>
      <c r="Q413" s="55"/>
      <c r="R413" s="55"/>
      <c r="S413" s="55"/>
      <c r="T413" s="56"/>
      <c r="U413" s="34"/>
      <c r="V413" s="34"/>
      <c r="W413" s="34"/>
      <c r="X413" s="34"/>
      <c r="Y413" s="34"/>
      <c r="Z413" s="34"/>
      <c r="AA413" s="34"/>
      <c r="AB413" s="34"/>
      <c r="AC413" s="34"/>
      <c r="AD413" s="34"/>
      <c r="AE413" s="34"/>
      <c r="AT413" s="19" t="s">
        <v>191</v>
      </c>
      <c r="AU413" s="19" t="s">
        <v>87</v>
      </c>
    </row>
    <row r="414" spans="1:65" s="13" customFormat="1">
      <c r="B414" s="161"/>
      <c r="D414" s="153" t="s">
        <v>193</v>
      </c>
      <c r="F414" s="163" t="s">
        <v>1189</v>
      </c>
      <c r="H414" s="164">
        <v>406.57600000000002</v>
      </c>
      <c r="I414" s="165"/>
      <c r="L414" s="161"/>
      <c r="M414" s="166"/>
      <c r="N414" s="167"/>
      <c r="O414" s="167"/>
      <c r="P414" s="167"/>
      <c r="Q414" s="167"/>
      <c r="R414" s="167"/>
      <c r="S414" s="167"/>
      <c r="T414" s="168"/>
      <c r="AT414" s="162" t="s">
        <v>193</v>
      </c>
      <c r="AU414" s="162" t="s">
        <v>87</v>
      </c>
      <c r="AV414" s="13" t="s">
        <v>87</v>
      </c>
      <c r="AW414" s="13" t="s">
        <v>4</v>
      </c>
      <c r="AX414" s="13" t="s">
        <v>85</v>
      </c>
      <c r="AY414" s="162" t="s">
        <v>177</v>
      </c>
    </row>
    <row r="415" spans="1:65" s="2" customFormat="1" ht="16.5" customHeight="1">
      <c r="A415" s="34"/>
      <c r="B415" s="139"/>
      <c r="C415" s="140" t="s">
        <v>1190</v>
      </c>
      <c r="D415" s="140" t="s">
        <v>180</v>
      </c>
      <c r="E415" s="141" t="s">
        <v>208</v>
      </c>
      <c r="F415" s="142" t="s">
        <v>209</v>
      </c>
      <c r="G415" s="143" t="s">
        <v>183</v>
      </c>
      <c r="H415" s="144">
        <v>203.28800000000001</v>
      </c>
      <c r="I415" s="145"/>
      <c r="J415" s="146">
        <f>ROUND(I415*H415,2)</f>
        <v>0</v>
      </c>
      <c r="K415" s="142" t="s">
        <v>184</v>
      </c>
      <c r="L415" s="35"/>
      <c r="M415" s="147" t="s">
        <v>3</v>
      </c>
      <c r="N415" s="148" t="s">
        <v>48</v>
      </c>
      <c r="O415" s="55"/>
      <c r="P415" s="149">
        <f>O415*H415</f>
        <v>0</v>
      </c>
      <c r="Q415" s="149">
        <v>0</v>
      </c>
      <c r="R415" s="149">
        <f>Q415*H415</f>
        <v>0</v>
      </c>
      <c r="S415" s="149">
        <v>0</v>
      </c>
      <c r="T415" s="150">
        <f>S415*H415</f>
        <v>0</v>
      </c>
      <c r="U415" s="34"/>
      <c r="V415" s="34"/>
      <c r="W415" s="34"/>
      <c r="X415" s="34"/>
      <c r="Y415" s="34"/>
      <c r="Z415" s="34"/>
      <c r="AA415" s="34"/>
      <c r="AB415" s="34"/>
      <c r="AC415" s="34"/>
      <c r="AD415" s="34"/>
      <c r="AE415" s="34"/>
      <c r="AR415" s="151" t="s">
        <v>185</v>
      </c>
      <c r="AT415" s="151" t="s">
        <v>180</v>
      </c>
      <c r="AU415" s="151" t="s">
        <v>87</v>
      </c>
      <c r="AY415" s="19" t="s">
        <v>177</v>
      </c>
      <c r="BE415" s="152">
        <f>IF(N415="základní",J415,0)</f>
        <v>0</v>
      </c>
      <c r="BF415" s="152">
        <f>IF(N415="snížená",J415,0)</f>
        <v>0</v>
      </c>
      <c r="BG415" s="152">
        <f>IF(N415="zákl. přenesená",J415,0)</f>
        <v>0</v>
      </c>
      <c r="BH415" s="152">
        <f>IF(N415="sníž. přenesená",J415,0)</f>
        <v>0</v>
      </c>
      <c r="BI415" s="152">
        <f>IF(N415="nulová",J415,0)</f>
        <v>0</v>
      </c>
      <c r="BJ415" s="19" t="s">
        <v>85</v>
      </c>
      <c r="BK415" s="152">
        <f>ROUND(I415*H415,2)</f>
        <v>0</v>
      </c>
      <c r="BL415" s="19" t="s">
        <v>185</v>
      </c>
      <c r="BM415" s="151" t="s">
        <v>1191</v>
      </c>
    </row>
    <row r="416" spans="1:65" s="2" customFormat="1">
      <c r="A416" s="34"/>
      <c r="B416" s="35"/>
      <c r="C416" s="34"/>
      <c r="D416" s="153" t="s">
        <v>187</v>
      </c>
      <c r="E416" s="34"/>
      <c r="F416" s="154" t="s">
        <v>211</v>
      </c>
      <c r="G416" s="34"/>
      <c r="H416" s="34"/>
      <c r="I416" s="155"/>
      <c r="J416" s="34"/>
      <c r="K416" s="34"/>
      <c r="L416" s="35"/>
      <c r="M416" s="156"/>
      <c r="N416" s="157"/>
      <c r="O416" s="55"/>
      <c r="P416" s="55"/>
      <c r="Q416" s="55"/>
      <c r="R416" s="55"/>
      <c r="S416" s="55"/>
      <c r="T416" s="56"/>
      <c r="U416" s="34"/>
      <c r="V416" s="34"/>
      <c r="W416" s="34"/>
      <c r="X416" s="34"/>
      <c r="Y416" s="34"/>
      <c r="Z416" s="34"/>
      <c r="AA416" s="34"/>
      <c r="AB416" s="34"/>
      <c r="AC416" s="34"/>
      <c r="AD416" s="34"/>
      <c r="AE416" s="34"/>
      <c r="AT416" s="19" t="s">
        <v>187</v>
      </c>
      <c r="AU416" s="19" t="s">
        <v>87</v>
      </c>
    </row>
    <row r="417" spans="1:65" s="2" customFormat="1">
      <c r="A417" s="34"/>
      <c r="B417" s="35"/>
      <c r="C417" s="34"/>
      <c r="D417" s="158" t="s">
        <v>189</v>
      </c>
      <c r="E417" s="34"/>
      <c r="F417" s="159" t="s">
        <v>212</v>
      </c>
      <c r="G417" s="34"/>
      <c r="H417" s="34"/>
      <c r="I417" s="155"/>
      <c r="J417" s="34"/>
      <c r="K417" s="34"/>
      <c r="L417" s="35"/>
      <c r="M417" s="156"/>
      <c r="N417" s="157"/>
      <c r="O417" s="55"/>
      <c r="P417" s="55"/>
      <c r="Q417" s="55"/>
      <c r="R417" s="55"/>
      <c r="S417" s="55"/>
      <c r="T417" s="56"/>
      <c r="U417" s="34"/>
      <c r="V417" s="34"/>
      <c r="W417" s="34"/>
      <c r="X417" s="34"/>
      <c r="Y417" s="34"/>
      <c r="Z417" s="34"/>
      <c r="AA417" s="34"/>
      <c r="AB417" s="34"/>
      <c r="AC417" s="34"/>
      <c r="AD417" s="34"/>
      <c r="AE417" s="34"/>
      <c r="AT417" s="19" t="s">
        <v>189</v>
      </c>
      <c r="AU417" s="19" t="s">
        <v>87</v>
      </c>
    </row>
    <row r="418" spans="1:65" s="2" customFormat="1" ht="58.5">
      <c r="A418" s="34"/>
      <c r="B418" s="35"/>
      <c r="C418" s="34"/>
      <c r="D418" s="153" t="s">
        <v>191</v>
      </c>
      <c r="E418" s="34"/>
      <c r="F418" s="160" t="s">
        <v>213</v>
      </c>
      <c r="G418" s="34"/>
      <c r="H418" s="34"/>
      <c r="I418" s="155"/>
      <c r="J418" s="34"/>
      <c r="K418" s="34"/>
      <c r="L418" s="35"/>
      <c r="M418" s="156"/>
      <c r="N418" s="157"/>
      <c r="O418" s="55"/>
      <c r="P418" s="55"/>
      <c r="Q418" s="55"/>
      <c r="R418" s="55"/>
      <c r="S418" s="55"/>
      <c r="T418" s="56"/>
      <c r="U418" s="34"/>
      <c r="V418" s="34"/>
      <c r="W418" s="34"/>
      <c r="X418" s="34"/>
      <c r="Y418" s="34"/>
      <c r="Z418" s="34"/>
      <c r="AA418" s="34"/>
      <c r="AB418" s="34"/>
      <c r="AC418" s="34"/>
      <c r="AD418" s="34"/>
      <c r="AE418" s="34"/>
      <c r="AT418" s="19" t="s">
        <v>191</v>
      </c>
      <c r="AU418" s="19" t="s">
        <v>87</v>
      </c>
    </row>
    <row r="419" spans="1:65" s="2" customFormat="1" ht="16.5" customHeight="1">
      <c r="A419" s="34"/>
      <c r="B419" s="139"/>
      <c r="C419" s="140" t="s">
        <v>1192</v>
      </c>
      <c r="D419" s="140" t="s">
        <v>180</v>
      </c>
      <c r="E419" s="141" t="s">
        <v>214</v>
      </c>
      <c r="F419" s="142" t="s">
        <v>215</v>
      </c>
      <c r="G419" s="143" t="s">
        <v>183</v>
      </c>
      <c r="H419" s="144">
        <v>3862.4720000000002</v>
      </c>
      <c r="I419" s="145"/>
      <c r="J419" s="146">
        <f>ROUND(I419*H419,2)</f>
        <v>0</v>
      </c>
      <c r="K419" s="142" t="s">
        <v>184</v>
      </c>
      <c r="L419" s="35"/>
      <c r="M419" s="147" t="s">
        <v>3</v>
      </c>
      <c r="N419" s="148" t="s">
        <v>48</v>
      </c>
      <c r="O419" s="55"/>
      <c r="P419" s="149">
        <f>O419*H419</f>
        <v>0</v>
      </c>
      <c r="Q419" s="149">
        <v>0</v>
      </c>
      <c r="R419" s="149">
        <f>Q419*H419</f>
        <v>0</v>
      </c>
      <c r="S419" s="149">
        <v>0</v>
      </c>
      <c r="T419" s="150">
        <f>S419*H419</f>
        <v>0</v>
      </c>
      <c r="U419" s="34"/>
      <c r="V419" s="34"/>
      <c r="W419" s="34"/>
      <c r="X419" s="34"/>
      <c r="Y419" s="34"/>
      <c r="Z419" s="34"/>
      <c r="AA419" s="34"/>
      <c r="AB419" s="34"/>
      <c r="AC419" s="34"/>
      <c r="AD419" s="34"/>
      <c r="AE419" s="34"/>
      <c r="AR419" s="151" t="s">
        <v>185</v>
      </c>
      <c r="AT419" s="151" t="s">
        <v>180</v>
      </c>
      <c r="AU419" s="151" t="s">
        <v>87</v>
      </c>
      <c r="AY419" s="19" t="s">
        <v>177</v>
      </c>
      <c r="BE419" s="152">
        <f>IF(N419="základní",J419,0)</f>
        <v>0</v>
      </c>
      <c r="BF419" s="152">
        <f>IF(N419="snížená",J419,0)</f>
        <v>0</v>
      </c>
      <c r="BG419" s="152">
        <f>IF(N419="zákl. přenesená",J419,0)</f>
        <v>0</v>
      </c>
      <c r="BH419" s="152">
        <f>IF(N419="sníž. přenesená",J419,0)</f>
        <v>0</v>
      </c>
      <c r="BI419" s="152">
        <f>IF(N419="nulová",J419,0)</f>
        <v>0</v>
      </c>
      <c r="BJ419" s="19" t="s">
        <v>85</v>
      </c>
      <c r="BK419" s="152">
        <f>ROUND(I419*H419,2)</f>
        <v>0</v>
      </c>
      <c r="BL419" s="19" t="s">
        <v>185</v>
      </c>
      <c r="BM419" s="151" t="s">
        <v>1193</v>
      </c>
    </row>
    <row r="420" spans="1:65" s="2" customFormat="1" ht="19.5">
      <c r="A420" s="34"/>
      <c r="B420" s="35"/>
      <c r="C420" s="34"/>
      <c r="D420" s="153" t="s">
        <v>187</v>
      </c>
      <c r="E420" s="34"/>
      <c r="F420" s="154" t="s">
        <v>217</v>
      </c>
      <c r="G420" s="34"/>
      <c r="H420" s="34"/>
      <c r="I420" s="155"/>
      <c r="J420" s="34"/>
      <c r="K420" s="34"/>
      <c r="L420" s="35"/>
      <c r="M420" s="156"/>
      <c r="N420" s="157"/>
      <c r="O420" s="55"/>
      <c r="P420" s="55"/>
      <c r="Q420" s="55"/>
      <c r="R420" s="55"/>
      <c r="S420" s="55"/>
      <c r="T420" s="56"/>
      <c r="U420" s="34"/>
      <c r="V420" s="34"/>
      <c r="W420" s="34"/>
      <c r="X420" s="34"/>
      <c r="Y420" s="34"/>
      <c r="Z420" s="34"/>
      <c r="AA420" s="34"/>
      <c r="AB420" s="34"/>
      <c r="AC420" s="34"/>
      <c r="AD420" s="34"/>
      <c r="AE420" s="34"/>
      <c r="AT420" s="19" t="s">
        <v>187</v>
      </c>
      <c r="AU420" s="19" t="s">
        <v>87</v>
      </c>
    </row>
    <row r="421" spans="1:65" s="2" customFormat="1">
      <c r="A421" s="34"/>
      <c r="B421" s="35"/>
      <c r="C421" s="34"/>
      <c r="D421" s="158" t="s">
        <v>189</v>
      </c>
      <c r="E421" s="34"/>
      <c r="F421" s="159" t="s">
        <v>218</v>
      </c>
      <c r="G421" s="34"/>
      <c r="H421" s="34"/>
      <c r="I421" s="155"/>
      <c r="J421" s="34"/>
      <c r="K421" s="34"/>
      <c r="L421" s="35"/>
      <c r="M421" s="156"/>
      <c r="N421" s="157"/>
      <c r="O421" s="55"/>
      <c r="P421" s="55"/>
      <c r="Q421" s="55"/>
      <c r="R421" s="55"/>
      <c r="S421" s="55"/>
      <c r="T421" s="56"/>
      <c r="U421" s="34"/>
      <c r="V421" s="34"/>
      <c r="W421" s="34"/>
      <c r="X421" s="34"/>
      <c r="Y421" s="34"/>
      <c r="Z421" s="34"/>
      <c r="AA421" s="34"/>
      <c r="AB421" s="34"/>
      <c r="AC421" s="34"/>
      <c r="AD421" s="34"/>
      <c r="AE421" s="34"/>
      <c r="AT421" s="19" t="s">
        <v>189</v>
      </c>
      <c r="AU421" s="19" t="s">
        <v>87</v>
      </c>
    </row>
    <row r="422" spans="1:65" s="2" customFormat="1" ht="58.5">
      <c r="A422" s="34"/>
      <c r="B422" s="35"/>
      <c r="C422" s="34"/>
      <c r="D422" s="153" t="s">
        <v>191</v>
      </c>
      <c r="E422" s="34"/>
      <c r="F422" s="160" t="s">
        <v>213</v>
      </c>
      <c r="G422" s="34"/>
      <c r="H422" s="34"/>
      <c r="I422" s="155"/>
      <c r="J422" s="34"/>
      <c r="K422" s="34"/>
      <c r="L422" s="35"/>
      <c r="M422" s="156"/>
      <c r="N422" s="157"/>
      <c r="O422" s="55"/>
      <c r="P422" s="55"/>
      <c r="Q422" s="55"/>
      <c r="R422" s="55"/>
      <c r="S422" s="55"/>
      <c r="T422" s="56"/>
      <c r="U422" s="34"/>
      <c r="V422" s="34"/>
      <c r="W422" s="34"/>
      <c r="X422" s="34"/>
      <c r="Y422" s="34"/>
      <c r="Z422" s="34"/>
      <c r="AA422" s="34"/>
      <c r="AB422" s="34"/>
      <c r="AC422" s="34"/>
      <c r="AD422" s="34"/>
      <c r="AE422" s="34"/>
      <c r="AT422" s="19" t="s">
        <v>191</v>
      </c>
      <c r="AU422" s="19" t="s">
        <v>87</v>
      </c>
    </row>
    <row r="423" spans="1:65" s="13" customFormat="1">
      <c r="B423" s="161"/>
      <c r="D423" s="153" t="s">
        <v>193</v>
      </c>
      <c r="F423" s="163" t="s">
        <v>1194</v>
      </c>
      <c r="H423" s="164">
        <v>3862.4720000000002</v>
      </c>
      <c r="I423" s="165"/>
      <c r="L423" s="161"/>
      <c r="M423" s="166"/>
      <c r="N423" s="167"/>
      <c r="O423" s="167"/>
      <c r="P423" s="167"/>
      <c r="Q423" s="167"/>
      <c r="R423" s="167"/>
      <c r="S423" s="167"/>
      <c r="T423" s="168"/>
      <c r="AT423" s="162" t="s">
        <v>193</v>
      </c>
      <c r="AU423" s="162" t="s">
        <v>87</v>
      </c>
      <c r="AV423" s="13" t="s">
        <v>87</v>
      </c>
      <c r="AW423" s="13" t="s">
        <v>4</v>
      </c>
      <c r="AX423" s="13" t="s">
        <v>85</v>
      </c>
      <c r="AY423" s="162" t="s">
        <v>177</v>
      </c>
    </row>
    <row r="424" spans="1:65" s="2" customFormat="1" ht="21.75" customHeight="1">
      <c r="A424" s="34"/>
      <c r="B424" s="139"/>
      <c r="C424" s="140" t="s">
        <v>1195</v>
      </c>
      <c r="D424" s="140" t="s">
        <v>180</v>
      </c>
      <c r="E424" s="141" t="s">
        <v>1196</v>
      </c>
      <c r="F424" s="142" t="s">
        <v>1197</v>
      </c>
      <c r="G424" s="143" t="s">
        <v>183</v>
      </c>
      <c r="H424" s="144">
        <v>0.98699999999999999</v>
      </c>
      <c r="I424" s="145"/>
      <c r="J424" s="146">
        <f>ROUND(I424*H424,2)</f>
        <v>0</v>
      </c>
      <c r="K424" s="142" t="s">
        <v>184</v>
      </c>
      <c r="L424" s="35"/>
      <c r="M424" s="147" t="s">
        <v>3</v>
      </c>
      <c r="N424" s="148" t="s">
        <v>48</v>
      </c>
      <c r="O424" s="55"/>
      <c r="P424" s="149">
        <f>O424*H424</f>
        <v>0</v>
      </c>
      <c r="Q424" s="149">
        <v>0</v>
      </c>
      <c r="R424" s="149">
        <f>Q424*H424</f>
        <v>0</v>
      </c>
      <c r="S424" s="149">
        <v>0</v>
      </c>
      <c r="T424" s="150">
        <f>S424*H424</f>
        <v>0</v>
      </c>
      <c r="U424" s="34"/>
      <c r="V424" s="34"/>
      <c r="W424" s="34"/>
      <c r="X424" s="34"/>
      <c r="Y424" s="34"/>
      <c r="Z424" s="34"/>
      <c r="AA424" s="34"/>
      <c r="AB424" s="34"/>
      <c r="AC424" s="34"/>
      <c r="AD424" s="34"/>
      <c r="AE424" s="34"/>
      <c r="AR424" s="151" t="s">
        <v>185</v>
      </c>
      <c r="AT424" s="151" t="s">
        <v>180</v>
      </c>
      <c r="AU424" s="151" t="s">
        <v>87</v>
      </c>
      <c r="AY424" s="19" t="s">
        <v>177</v>
      </c>
      <c r="BE424" s="152">
        <f>IF(N424="základní",J424,0)</f>
        <v>0</v>
      </c>
      <c r="BF424" s="152">
        <f>IF(N424="snížená",J424,0)</f>
        <v>0</v>
      </c>
      <c r="BG424" s="152">
        <f>IF(N424="zákl. přenesená",J424,0)</f>
        <v>0</v>
      </c>
      <c r="BH424" s="152">
        <f>IF(N424="sníž. přenesená",J424,0)</f>
        <v>0</v>
      </c>
      <c r="BI424" s="152">
        <f>IF(N424="nulová",J424,0)</f>
        <v>0</v>
      </c>
      <c r="BJ424" s="19" t="s">
        <v>85</v>
      </c>
      <c r="BK424" s="152">
        <f>ROUND(I424*H424,2)</f>
        <v>0</v>
      </c>
      <c r="BL424" s="19" t="s">
        <v>185</v>
      </c>
      <c r="BM424" s="151" t="s">
        <v>1198</v>
      </c>
    </row>
    <row r="425" spans="1:65" s="2" customFormat="1">
      <c r="A425" s="34"/>
      <c r="B425" s="35"/>
      <c r="C425" s="34"/>
      <c r="D425" s="153" t="s">
        <v>187</v>
      </c>
      <c r="E425" s="34"/>
      <c r="F425" s="154" t="s">
        <v>1199</v>
      </c>
      <c r="G425" s="34"/>
      <c r="H425" s="34"/>
      <c r="I425" s="155"/>
      <c r="J425" s="34"/>
      <c r="K425" s="34"/>
      <c r="L425" s="35"/>
      <c r="M425" s="156"/>
      <c r="N425" s="157"/>
      <c r="O425" s="55"/>
      <c r="P425" s="55"/>
      <c r="Q425" s="55"/>
      <c r="R425" s="55"/>
      <c r="S425" s="55"/>
      <c r="T425" s="56"/>
      <c r="U425" s="34"/>
      <c r="V425" s="34"/>
      <c r="W425" s="34"/>
      <c r="X425" s="34"/>
      <c r="Y425" s="34"/>
      <c r="Z425" s="34"/>
      <c r="AA425" s="34"/>
      <c r="AB425" s="34"/>
      <c r="AC425" s="34"/>
      <c r="AD425" s="34"/>
      <c r="AE425" s="34"/>
      <c r="AT425" s="19" t="s">
        <v>187</v>
      </c>
      <c r="AU425" s="19" t="s">
        <v>87</v>
      </c>
    </row>
    <row r="426" spans="1:65" s="2" customFormat="1">
      <c r="A426" s="34"/>
      <c r="B426" s="35"/>
      <c r="C426" s="34"/>
      <c r="D426" s="158" t="s">
        <v>189</v>
      </c>
      <c r="E426" s="34"/>
      <c r="F426" s="159" t="s">
        <v>1200</v>
      </c>
      <c r="G426" s="34"/>
      <c r="H426" s="34"/>
      <c r="I426" s="155"/>
      <c r="J426" s="34"/>
      <c r="K426" s="34"/>
      <c r="L426" s="35"/>
      <c r="M426" s="156"/>
      <c r="N426" s="157"/>
      <c r="O426" s="55"/>
      <c r="P426" s="55"/>
      <c r="Q426" s="55"/>
      <c r="R426" s="55"/>
      <c r="S426" s="55"/>
      <c r="T426" s="56"/>
      <c r="U426" s="34"/>
      <c r="V426" s="34"/>
      <c r="W426" s="34"/>
      <c r="X426" s="34"/>
      <c r="Y426" s="34"/>
      <c r="Z426" s="34"/>
      <c r="AA426" s="34"/>
      <c r="AB426" s="34"/>
      <c r="AC426" s="34"/>
      <c r="AD426" s="34"/>
      <c r="AE426" s="34"/>
      <c r="AT426" s="19" t="s">
        <v>189</v>
      </c>
      <c r="AU426" s="19" t="s">
        <v>87</v>
      </c>
    </row>
    <row r="427" spans="1:65" s="2" customFormat="1" ht="58.5">
      <c r="A427" s="34"/>
      <c r="B427" s="35"/>
      <c r="C427" s="34"/>
      <c r="D427" s="153" t="s">
        <v>191</v>
      </c>
      <c r="E427" s="34"/>
      <c r="F427" s="160" t="s">
        <v>1201</v>
      </c>
      <c r="G427" s="34"/>
      <c r="H427" s="34"/>
      <c r="I427" s="155"/>
      <c r="J427" s="34"/>
      <c r="K427" s="34"/>
      <c r="L427" s="35"/>
      <c r="M427" s="156"/>
      <c r="N427" s="157"/>
      <c r="O427" s="55"/>
      <c r="P427" s="55"/>
      <c r="Q427" s="55"/>
      <c r="R427" s="55"/>
      <c r="S427" s="55"/>
      <c r="T427" s="56"/>
      <c r="U427" s="34"/>
      <c r="V427" s="34"/>
      <c r="W427" s="34"/>
      <c r="X427" s="34"/>
      <c r="Y427" s="34"/>
      <c r="Z427" s="34"/>
      <c r="AA427" s="34"/>
      <c r="AB427" s="34"/>
      <c r="AC427" s="34"/>
      <c r="AD427" s="34"/>
      <c r="AE427" s="34"/>
      <c r="AT427" s="19" t="s">
        <v>191</v>
      </c>
      <c r="AU427" s="19" t="s">
        <v>87</v>
      </c>
    </row>
    <row r="428" spans="1:65" s="13" customFormat="1">
      <c r="B428" s="161"/>
      <c r="D428" s="153" t="s">
        <v>193</v>
      </c>
      <c r="E428" s="162" t="s">
        <v>3</v>
      </c>
      <c r="F428" s="163" t="s">
        <v>1202</v>
      </c>
      <c r="H428" s="164">
        <v>0.98699999999999999</v>
      </c>
      <c r="I428" s="165"/>
      <c r="L428" s="161"/>
      <c r="M428" s="166"/>
      <c r="N428" s="167"/>
      <c r="O428" s="167"/>
      <c r="P428" s="167"/>
      <c r="Q428" s="167"/>
      <c r="R428" s="167"/>
      <c r="S428" s="167"/>
      <c r="T428" s="168"/>
      <c r="AT428" s="162" t="s">
        <v>193</v>
      </c>
      <c r="AU428" s="162" t="s">
        <v>87</v>
      </c>
      <c r="AV428" s="13" t="s">
        <v>87</v>
      </c>
      <c r="AW428" s="13" t="s">
        <v>36</v>
      </c>
      <c r="AX428" s="13" t="s">
        <v>85</v>
      </c>
      <c r="AY428" s="162" t="s">
        <v>177</v>
      </c>
    </row>
    <row r="429" spans="1:65" s="2" customFormat="1" ht="16.5" customHeight="1">
      <c r="A429" s="34"/>
      <c r="B429" s="139"/>
      <c r="C429" s="140" t="s">
        <v>1203</v>
      </c>
      <c r="D429" s="140" t="s">
        <v>180</v>
      </c>
      <c r="E429" s="141" t="s">
        <v>1204</v>
      </c>
      <c r="F429" s="142" t="s">
        <v>1205</v>
      </c>
      <c r="G429" s="143" t="s">
        <v>183</v>
      </c>
      <c r="H429" s="144">
        <v>25.411000000000001</v>
      </c>
      <c r="I429" s="145"/>
      <c r="J429" s="146">
        <f>ROUND(I429*H429,2)</f>
        <v>0</v>
      </c>
      <c r="K429" s="142" t="s">
        <v>184</v>
      </c>
      <c r="L429" s="35"/>
      <c r="M429" s="147" t="s">
        <v>3</v>
      </c>
      <c r="N429" s="148" t="s">
        <v>48</v>
      </c>
      <c r="O429" s="55"/>
      <c r="P429" s="149">
        <f>O429*H429</f>
        <v>0</v>
      </c>
      <c r="Q429" s="149">
        <v>0</v>
      </c>
      <c r="R429" s="149">
        <f>Q429*H429</f>
        <v>0</v>
      </c>
      <c r="S429" s="149">
        <v>0</v>
      </c>
      <c r="T429" s="150">
        <f>S429*H429</f>
        <v>0</v>
      </c>
      <c r="U429" s="34"/>
      <c r="V429" s="34"/>
      <c r="W429" s="34"/>
      <c r="X429" s="34"/>
      <c r="Y429" s="34"/>
      <c r="Z429" s="34"/>
      <c r="AA429" s="34"/>
      <c r="AB429" s="34"/>
      <c r="AC429" s="34"/>
      <c r="AD429" s="34"/>
      <c r="AE429" s="34"/>
      <c r="AR429" s="151" t="s">
        <v>185</v>
      </c>
      <c r="AT429" s="151" t="s">
        <v>180</v>
      </c>
      <c r="AU429" s="151" t="s">
        <v>87</v>
      </c>
      <c r="AY429" s="19" t="s">
        <v>177</v>
      </c>
      <c r="BE429" s="152">
        <f>IF(N429="základní",J429,0)</f>
        <v>0</v>
      </c>
      <c r="BF429" s="152">
        <f>IF(N429="snížená",J429,0)</f>
        <v>0</v>
      </c>
      <c r="BG429" s="152">
        <f>IF(N429="zákl. přenesená",J429,0)</f>
        <v>0</v>
      </c>
      <c r="BH429" s="152">
        <f>IF(N429="sníž. přenesená",J429,0)</f>
        <v>0</v>
      </c>
      <c r="BI429" s="152">
        <f>IF(N429="nulová",J429,0)</f>
        <v>0</v>
      </c>
      <c r="BJ429" s="19" t="s">
        <v>85</v>
      </c>
      <c r="BK429" s="152">
        <f>ROUND(I429*H429,2)</f>
        <v>0</v>
      </c>
      <c r="BL429" s="19" t="s">
        <v>185</v>
      </c>
      <c r="BM429" s="151" t="s">
        <v>1206</v>
      </c>
    </row>
    <row r="430" spans="1:65" s="2" customFormat="1" ht="19.5">
      <c r="A430" s="34"/>
      <c r="B430" s="35"/>
      <c r="C430" s="34"/>
      <c r="D430" s="153" t="s">
        <v>187</v>
      </c>
      <c r="E430" s="34"/>
      <c r="F430" s="154" t="s">
        <v>1207</v>
      </c>
      <c r="G430" s="34"/>
      <c r="H430" s="34"/>
      <c r="I430" s="155"/>
      <c r="J430" s="34"/>
      <c r="K430" s="34"/>
      <c r="L430" s="35"/>
      <c r="M430" s="156"/>
      <c r="N430" s="157"/>
      <c r="O430" s="55"/>
      <c r="P430" s="55"/>
      <c r="Q430" s="55"/>
      <c r="R430" s="55"/>
      <c r="S430" s="55"/>
      <c r="T430" s="56"/>
      <c r="U430" s="34"/>
      <c r="V430" s="34"/>
      <c r="W430" s="34"/>
      <c r="X430" s="34"/>
      <c r="Y430" s="34"/>
      <c r="Z430" s="34"/>
      <c r="AA430" s="34"/>
      <c r="AB430" s="34"/>
      <c r="AC430" s="34"/>
      <c r="AD430" s="34"/>
      <c r="AE430" s="34"/>
      <c r="AT430" s="19" t="s">
        <v>187</v>
      </c>
      <c r="AU430" s="19" t="s">
        <v>87</v>
      </c>
    </row>
    <row r="431" spans="1:65" s="2" customFormat="1">
      <c r="A431" s="34"/>
      <c r="B431" s="35"/>
      <c r="C431" s="34"/>
      <c r="D431" s="158" t="s">
        <v>189</v>
      </c>
      <c r="E431" s="34"/>
      <c r="F431" s="159" t="s">
        <v>1208</v>
      </c>
      <c r="G431" s="34"/>
      <c r="H431" s="34"/>
      <c r="I431" s="155"/>
      <c r="J431" s="34"/>
      <c r="K431" s="34"/>
      <c r="L431" s="35"/>
      <c r="M431" s="156"/>
      <c r="N431" s="157"/>
      <c r="O431" s="55"/>
      <c r="P431" s="55"/>
      <c r="Q431" s="55"/>
      <c r="R431" s="55"/>
      <c r="S431" s="55"/>
      <c r="T431" s="56"/>
      <c r="U431" s="34"/>
      <c r="V431" s="34"/>
      <c r="W431" s="34"/>
      <c r="X431" s="34"/>
      <c r="Y431" s="34"/>
      <c r="Z431" s="34"/>
      <c r="AA431" s="34"/>
      <c r="AB431" s="34"/>
      <c r="AC431" s="34"/>
      <c r="AD431" s="34"/>
      <c r="AE431" s="34"/>
      <c r="AT431" s="19" t="s">
        <v>189</v>
      </c>
      <c r="AU431" s="19" t="s">
        <v>87</v>
      </c>
    </row>
    <row r="432" spans="1:65" s="2" customFormat="1" ht="58.5">
      <c r="A432" s="34"/>
      <c r="B432" s="35"/>
      <c r="C432" s="34"/>
      <c r="D432" s="153" t="s">
        <v>191</v>
      </c>
      <c r="E432" s="34"/>
      <c r="F432" s="160" t="s">
        <v>1201</v>
      </c>
      <c r="G432" s="34"/>
      <c r="H432" s="34"/>
      <c r="I432" s="155"/>
      <c r="J432" s="34"/>
      <c r="K432" s="34"/>
      <c r="L432" s="35"/>
      <c r="M432" s="156"/>
      <c r="N432" s="157"/>
      <c r="O432" s="55"/>
      <c r="P432" s="55"/>
      <c r="Q432" s="55"/>
      <c r="R432" s="55"/>
      <c r="S432" s="55"/>
      <c r="T432" s="56"/>
      <c r="U432" s="34"/>
      <c r="V432" s="34"/>
      <c r="W432" s="34"/>
      <c r="X432" s="34"/>
      <c r="Y432" s="34"/>
      <c r="Z432" s="34"/>
      <c r="AA432" s="34"/>
      <c r="AB432" s="34"/>
      <c r="AC432" s="34"/>
      <c r="AD432" s="34"/>
      <c r="AE432" s="34"/>
      <c r="AT432" s="19" t="s">
        <v>191</v>
      </c>
      <c r="AU432" s="19" t="s">
        <v>87</v>
      </c>
    </row>
    <row r="433" spans="1:65" s="13" customFormat="1">
      <c r="B433" s="161"/>
      <c r="D433" s="153" t="s">
        <v>193</v>
      </c>
      <c r="E433" s="162" t="s">
        <v>3</v>
      </c>
      <c r="F433" s="163" t="s">
        <v>1209</v>
      </c>
      <c r="H433" s="164">
        <v>25.411000000000001</v>
      </c>
      <c r="I433" s="165"/>
      <c r="L433" s="161"/>
      <c r="M433" s="166"/>
      <c r="N433" s="167"/>
      <c r="O433" s="167"/>
      <c r="P433" s="167"/>
      <c r="Q433" s="167"/>
      <c r="R433" s="167"/>
      <c r="S433" s="167"/>
      <c r="T433" s="168"/>
      <c r="AT433" s="162" t="s">
        <v>193</v>
      </c>
      <c r="AU433" s="162" t="s">
        <v>87</v>
      </c>
      <c r="AV433" s="13" t="s">
        <v>87</v>
      </c>
      <c r="AW433" s="13" t="s">
        <v>36</v>
      </c>
      <c r="AX433" s="13" t="s">
        <v>85</v>
      </c>
      <c r="AY433" s="162" t="s">
        <v>177</v>
      </c>
    </row>
    <row r="434" spans="1:65" s="2" customFormat="1" ht="21.75" customHeight="1">
      <c r="A434" s="34"/>
      <c r="B434" s="139"/>
      <c r="C434" s="140" t="s">
        <v>1210</v>
      </c>
      <c r="D434" s="140" t="s">
        <v>180</v>
      </c>
      <c r="E434" s="141" t="s">
        <v>1211</v>
      </c>
      <c r="F434" s="142" t="s">
        <v>1212</v>
      </c>
      <c r="G434" s="143" t="s">
        <v>183</v>
      </c>
      <c r="H434" s="144">
        <v>7.2350000000000003</v>
      </c>
      <c r="I434" s="145"/>
      <c r="J434" s="146">
        <f>ROUND(I434*H434,2)</f>
        <v>0</v>
      </c>
      <c r="K434" s="142" t="s">
        <v>184</v>
      </c>
      <c r="L434" s="35"/>
      <c r="M434" s="147" t="s">
        <v>3</v>
      </c>
      <c r="N434" s="148" t="s">
        <v>48</v>
      </c>
      <c r="O434" s="55"/>
      <c r="P434" s="149">
        <f>O434*H434</f>
        <v>0</v>
      </c>
      <c r="Q434" s="149">
        <v>0</v>
      </c>
      <c r="R434" s="149">
        <f>Q434*H434</f>
        <v>0</v>
      </c>
      <c r="S434" s="149">
        <v>0</v>
      </c>
      <c r="T434" s="150">
        <f>S434*H434</f>
        <v>0</v>
      </c>
      <c r="U434" s="34"/>
      <c r="V434" s="34"/>
      <c r="W434" s="34"/>
      <c r="X434" s="34"/>
      <c r="Y434" s="34"/>
      <c r="Z434" s="34"/>
      <c r="AA434" s="34"/>
      <c r="AB434" s="34"/>
      <c r="AC434" s="34"/>
      <c r="AD434" s="34"/>
      <c r="AE434" s="34"/>
      <c r="AR434" s="151" t="s">
        <v>185</v>
      </c>
      <c r="AT434" s="151" t="s">
        <v>180</v>
      </c>
      <c r="AU434" s="151" t="s">
        <v>87</v>
      </c>
      <c r="AY434" s="19" t="s">
        <v>177</v>
      </c>
      <c r="BE434" s="152">
        <f>IF(N434="základní",J434,0)</f>
        <v>0</v>
      </c>
      <c r="BF434" s="152">
        <f>IF(N434="snížená",J434,0)</f>
        <v>0</v>
      </c>
      <c r="BG434" s="152">
        <f>IF(N434="zákl. přenesená",J434,0)</f>
        <v>0</v>
      </c>
      <c r="BH434" s="152">
        <f>IF(N434="sníž. přenesená",J434,0)</f>
        <v>0</v>
      </c>
      <c r="BI434" s="152">
        <f>IF(N434="nulová",J434,0)</f>
        <v>0</v>
      </c>
      <c r="BJ434" s="19" t="s">
        <v>85</v>
      </c>
      <c r="BK434" s="152">
        <f>ROUND(I434*H434,2)</f>
        <v>0</v>
      </c>
      <c r="BL434" s="19" t="s">
        <v>185</v>
      </c>
      <c r="BM434" s="151" t="s">
        <v>1213</v>
      </c>
    </row>
    <row r="435" spans="1:65" s="2" customFormat="1" ht="19.5">
      <c r="A435" s="34"/>
      <c r="B435" s="35"/>
      <c r="C435" s="34"/>
      <c r="D435" s="153" t="s">
        <v>187</v>
      </c>
      <c r="E435" s="34"/>
      <c r="F435" s="154" t="s">
        <v>1214</v>
      </c>
      <c r="G435" s="34"/>
      <c r="H435" s="34"/>
      <c r="I435" s="155"/>
      <c r="J435" s="34"/>
      <c r="K435" s="34"/>
      <c r="L435" s="35"/>
      <c r="M435" s="156"/>
      <c r="N435" s="157"/>
      <c r="O435" s="55"/>
      <c r="P435" s="55"/>
      <c r="Q435" s="55"/>
      <c r="R435" s="55"/>
      <c r="S435" s="55"/>
      <c r="T435" s="56"/>
      <c r="U435" s="34"/>
      <c r="V435" s="34"/>
      <c r="W435" s="34"/>
      <c r="X435" s="34"/>
      <c r="Y435" s="34"/>
      <c r="Z435" s="34"/>
      <c r="AA435" s="34"/>
      <c r="AB435" s="34"/>
      <c r="AC435" s="34"/>
      <c r="AD435" s="34"/>
      <c r="AE435" s="34"/>
      <c r="AT435" s="19" t="s">
        <v>187</v>
      </c>
      <c r="AU435" s="19" t="s">
        <v>87</v>
      </c>
    </row>
    <row r="436" spans="1:65" s="2" customFormat="1">
      <c r="A436" s="34"/>
      <c r="B436" s="35"/>
      <c r="C436" s="34"/>
      <c r="D436" s="158" t="s">
        <v>189</v>
      </c>
      <c r="E436" s="34"/>
      <c r="F436" s="159" t="s">
        <v>1215</v>
      </c>
      <c r="G436" s="34"/>
      <c r="H436" s="34"/>
      <c r="I436" s="155"/>
      <c r="J436" s="34"/>
      <c r="K436" s="34"/>
      <c r="L436" s="35"/>
      <c r="M436" s="156"/>
      <c r="N436" s="157"/>
      <c r="O436" s="55"/>
      <c r="P436" s="55"/>
      <c r="Q436" s="55"/>
      <c r="R436" s="55"/>
      <c r="S436" s="55"/>
      <c r="T436" s="56"/>
      <c r="U436" s="34"/>
      <c r="V436" s="34"/>
      <c r="W436" s="34"/>
      <c r="X436" s="34"/>
      <c r="Y436" s="34"/>
      <c r="Z436" s="34"/>
      <c r="AA436" s="34"/>
      <c r="AB436" s="34"/>
      <c r="AC436" s="34"/>
      <c r="AD436" s="34"/>
      <c r="AE436" s="34"/>
      <c r="AT436" s="19" t="s">
        <v>189</v>
      </c>
      <c r="AU436" s="19" t="s">
        <v>87</v>
      </c>
    </row>
    <row r="437" spans="1:65" s="2" customFormat="1" ht="58.5">
      <c r="A437" s="34"/>
      <c r="B437" s="35"/>
      <c r="C437" s="34"/>
      <c r="D437" s="153" t="s">
        <v>191</v>
      </c>
      <c r="E437" s="34"/>
      <c r="F437" s="160" t="s">
        <v>1201</v>
      </c>
      <c r="G437" s="34"/>
      <c r="H437" s="34"/>
      <c r="I437" s="155"/>
      <c r="J437" s="34"/>
      <c r="K437" s="34"/>
      <c r="L437" s="35"/>
      <c r="M437" s="156"/>
      <c r="N437" s="157"/>
      <c r="O437" s="55"/>
      <c r="P437" s="55"/>
      <c r="Q437" s="55"/>
      <c r="R437" s="55"/>
      <c r="S437" s="55"/>
      <c r="T437" s="56"/>
      <c r="U437" s="34"/>
      <c r="V437" s="34"/>
      <c r="W437" s="34"/>
      <c r="X437" s="34"/>
      <c r="Y437" s="34"/>
      <c r="Z437" s="34"/>
      <c r="AA437" s="34"/>
      <c r="AB437" s="34"/>
      <c r="AC437" s="34"/>
      <c r="AD437" s="34"/>
      <c r="AE437" s="34"/>
      <c r="AT437" s="19" t="s">
        <v>191</v>
      </c>
      <c r="AU437" s="19" t="s">
        <v>87</v>
      </c>
    </row>
    <row r="438" spans="1:65" s="2" customFormat="1" ht="24.2" customHeight="1">
      <c r="A438" s="34"/>
      <c r="B438" s="139"/>
      <c r="C438" s="140" t="s">
        <v>1216</v>
      </c>
      <c r="D438" s="140" t="s">
        <v>180</v>
      </c>
      <c r="E438" s="141" t="s">
        <v>1217</v>
      </c>
      <c r="F438" s="142" t="s">
        <v>1218</v>
      </c>
      <c r="G438" s="143" t="s">
        <v>183</v>
      </c>
      <c r="H438" s="144">
        <v>146.65100000000001</v>
      </c>
      <c r="I438" s="145"/>
      <c r="J438" s="146">
        <f>ROUND(I438*H438,2)</f>
        <v>0</v>
      </c>
      <c r="K438" s="142" t="s">
        <v>184</v>
      </c>
      <c r="L438" s="35"/>
      <c r="M438" s="147" t="s">
        <v>3</v>
      </c>
      <c r="N438" s="148" t="s">
        <v>48</v>
      </c>
      <c r="O438" s="55"/>
      <c r="P438" s="149">
        <f>O438*H438</f>
        <v>0</v>
      </c>
      <c r="Q438" s="149">
        <v>0</v>
      </c>
      <c r="R438" s="149">
        <f>Q438*H438</f>
        <v>0</v>
      </c>
      <c r="S438" s="149">
        <v>0</v>
      </c>
      <c r="T438" s="150">
        <f>S438*H438</f>
        <v>0</v>
      </c>
      <c r="U438" s="34"/>
      <c r="V438" s="34"/>
      <c r="W438" s="34"/>
      <c r="X438" s="34"/>
      <c r="Y438" s="34"/>
      <c r="Z438" s="34"/>
      <c r="AA438" s="34"/>
      <c r="AB438" s="34"/>
      <c r="AC438" s="34"/>
      <c r="AD438" s="34"/>
      <c r="AE438" s="34"/>
      <c r="AR438" s="151" t="s">
        <v>185</v>
      </c>
      <c r="AT438" s="151" t="s">
        <v>180</v>
      </c>
      <c r="AU438" s="151" t="s">
        <v>87</v>
      </c>
      <c r="AY438" s="19" t="s">
        <v>177</v>
      </c>
      <c r="BE438" s="152">
        <f>IF(N438="základní",J438,0)</f>
        <v>0</v>
      </c>
      <c r="BF438" s="152">
        <f>IF(N438="snížená",J438,0)</f>
        <v>0</v>
      </c>
      <c r="BG438" s="152">
        <f>IF(N438="zákl. přenesená",J438,0)</f>
        <v>0</v>
      </c>
      <c r="BH438" s="152">
        <f>IF(N438="sníž. přenesená",J438,0)</f>
        <v>0</v>
      </c>
      <c r="BI438" s="152">
        <f>IF(N438="nulová",J438,0)</f>
        <v>0</v>
      </c>
      <c r="BJ438" s="19" t="s">
        <v>85</v>
      </c>
      <c r="BK438" s="152">
        <f>ROUND(I438*H438,2)</f>
        <v>0</v>
      </c>
      <c r="BL438" s="19" t="s">
        <v>185</v>
      </c>
      <c r="BM438" s="151" t="s">
        <v>1219</v>
      </c>
    </row>
    <row r="439" spans="1:65" s="2" customFormat="1" ht="19.5">
      <c r="A439" s="34"/>
      <c r="B439" s="35"/>
      <c r="C439" s="34"/>
      <c r="D439" s="153" t="s">
        <v>187</v>
      </c>
      <c r="E439" s="34"/>
      <c r="F439" s="154" t="s">
        <v>1220</v>
      </c>
      <c r="G439" s="34"/>
      <c r="H439" s="34"/>
      <c r="I439" s="155"/>
      <c r="J439" s="34"/>
      <c r="K439" s="34"/>
      <c r="L439" s="35"/>
      <c r="M439" s="156"/>
      <c r="N439" s="157"/>
      <c r="O439" s="55"/>
      <c r="P439" s="55"/>
      <c r="Q439" s="55"/>
      <c r="R439" s="55"/>
      <c r="S439" s="55"/>
      <c r="T439" s="56"/>
      <c r="U439" s="34"/>
      <c r="V439" s="34"/>
      <c r="W439" s="34"/>
      <c r="X439" s="34"/>
      <c r="Y439" s="34"/>
      <c r="Z439" s="34"/>
      <c r="AA439" s="34"/>
      <c r="AB439" s="34"/>
      <c r="AC439" s="34"/>
      <c r="AD439" s="34"/>
      <c r="AE439" s="34"/>
      <c r="AT439" s="19" t="s">
        <v>187</v>
      </c>
      <c r="AU439" s="19" t="s">
        <v>87</v>
      </c>
    </row>
    <row r="440" spans="1:65" s="2" customFormat="1">
      <c r="A440" s="34"/>
      <c r="B440" s="35"/>
      <c r="C440" s="34"/>
      <c r="D440" s="158" t="s">
        <v>189</v>
      </c>
      <c r="E440" s="34"/>
      <c r="F440" s="159" t="s">
        <v>1221</v>
      </c>
      <c r="G440" s="34"/>
      <c r="H440" s="34"/>
      <c r="I440" s="155"/>
      <c r="J440" s="34"/>
      <c r="K440" s="34"/>
      <c r="L440" s="35"/>
      <c r="M440" s="156"/>
      <c r="N440" s="157"/>
      <c r="O440" s="55"/>
      <c r="P440" s="55"/>
      <c r="Q440" s="55"/>
      <c r="R440" s="55"/>
      <c r="S440" s="55"/>
      <c r="T440" s="56"/>
      <c r="U440" s="34"/>
      <c r="V440" s="34"/>
      <c r="W440" s="34"/>
      <c r="X440" s="34"/>
      <c r="Y440" s="34"/>
      <c r="Z440" s="34"/>
      <c r="AA440" s="34"/>
      <c r="AB440" s="34"/>
      <c r="AC440" s="34"/>
      <c r="AD440" s="34"/>
      <c r="AE440" s="34"/>
      <c r="AT440" s="19" t="s">
        <v>189</v>
      </c>
      <c r="AU440" s="19" t="s">
        <v>87</v>
      </c>
    </row>
    <row r="441" spans="1:65" s="2" customFormat="1" ht="39">
      <c r="A441" s="34"/>
      <c r="B441" s="35"/>
      <c r="C441" s="34"/>
      <c r="D441" s="153" t="s">
        <v>191</v>
      </c>
      <c r="E441" s="34"/>
      <c r="F441" s="160" t="s">
        <v>228</v>
      </c>
      <c r="G441" s="34"/>
      <c r="H441" s="34"/>
      <c r="I441" s="155"/>
      <c r="J441" s="34"/>
      <c r="K441" s="34"/>
      <c r="L441" s="35"/>
      <c r="M441" s="156"/>
      <c r="N441" s="157"/>
      <c r="O441" s="55"/>
      <c r="P441" s="55"/>
      <c r="Q441" s="55"/>
      <c r="R441" s="55"/>
      <c r="S441" s="55"/>
      <c r="T441" s="56"/>
      <c r="U441" s="34"/>
      <c r="V441" s="34"/>
      <c r="W441" s="34"/>
      <c r="X441" s="34"/>
      <c r="Y441" s="34"/>
      <c r="Z441" s="34"/>
      <c r="AA441" s="34"/>
      <c r="AB441" s="34"/>
      <c r="AC441" s="34"/>
      <c r="AD441" s="34"/>
      <c r="AE441" s="34"/>
      <c r="AT441" s="19" t="s">
        <v>191</v>
      </c>
      <c r="AU441" s="19" t="s">
        <v>87</v>
      </c>
    </row>
    <row r="442" spans="1:65" s="13" customFormat="1">
      <c r="B442" s="161"/>
      <c r="D442" s="153" t="s">
        <v>193</v>
      </c>
      <c r="E442" s="162" t="s">
        <v>3</v>
      </c>
      <c r="F442" s="163" t="s">
        <v>1222</v>
      </c>
      <c r="H442" s="164">
        <v>189.14500000000001</v>
      </c>
      <c r="I442" s="165"/>
      <c r="L442" s="161"/>
      <c r="M442" s="166"/>
      <c r="N442" s="167"/>
      <c r="O442" s="167"/>
      <c r="P442" s="167"/>
      <c r="Q442" s="167"/>
      <c r="R442" s="167"/>
      <c r="S442" s="167"/>
      <c r="T442" s="168"/>
      <c r="AT442" s="162" t="s">
        <v>193</v>
      </c>
      <c r="AU442" s="162" t="s">
        <v>87</v>
      </c>
      <c r="AV442" s="13" t="s">
        <v>87</v>
      </c>
      <c r="AW442" s="13" t="s">
        <v>36</v>
      </c>
      <c r="AX442" s="13" t="s">
        <v>77</v>
      </c>
      <c r="AY442" s="162" t="s">
        <v>177</v>
      </c>
    </row>
    <row r="443" spans="1:65" s="13" customFormat="1">
      <c r="B443" s="161"/>
      <c r="D443" s="153" t="s">
        <v>193</v>
      </c>
      <c r="E443" s="162" t="s">
        <v>3</v>
      </c>
      <c r="F443" s="163" t="s">
        <v>1223</v>
      </c>
      <c r="H443" s="164">
        <v>-42.494</v>
      </c>
      <c r="I443" s="165"/>
      <c r="L443" s="161"/>
      <c r="M443" s="166"/>
      <c r="N443" s="167"/>
      <c r="O443" s="167"/>
      <c r="P443" s="167"/>
      <c r="Q443" s="167"/>
      <c r="R443" s="167"/>
      <c r="S443" s="167"/>
      <c r="T443" s="168"/>
      <c r="AT443" s="162" t="s">
        <v>193</v>
      </c>
      <c r="AU443" s="162" t="s">
        <v>87</v>
      </c>
      <c r="AV443" s="13" t="s">
        <v>87</v>
      </c>
      <c r="AW443" s="13" t="s">
        <v>36</v>
      </c>
      <c r="AX443" s="13" t="s">
        <v>77</v>
      </c>
      <c r="AY443" s="162" t="s">
        <v>177</v>
      </c>
    </row>
    <row r="444" spans="1:65" s="16" customFormat="1">
      <c r="B444" s="184"/>
      <c r="D444" s="153" t="s">
        <v>193</v>
      </c>
      <c r="E444" s="185" t="s">
        <v>3</v>
      </c>
      <c r="F444" s="186" t="s">
        <v>201</v>
      </c>
      <c r="H444" s="187">
        <v>146.65100000000001</v>
      </c>
      <c r="I444" s="188"/>
      <c r="L444" s="184"/>
      <c r="M444" s="189"/>
      <c r="N444" s="190"/>
      <c r="O444" s="190"/>
      <c r="P444" s="190"/>
      <c r="Q444" s="190"/>
      <c r="R444" s="190"/>
      <c r="S444" s="190"/>
      <c r="T444" s="191"/>
      <c r="AT444" s="185" t="s">
        <v>193</v>
      </c>
      <c r="AU444" s="185" t="s">
        <v>87</v>
      </c>
      <c r="AV444" s="16" t="s">
        <v>185</v>
      </c>
      <c r="AW444" s="16" t="s">
        <v>36</v>
      </c>
      <c r="AX444" s="16" t="s">
        <v>85</v>
      </c>
      <c r="AY444" s="185" t="s">
        <v>177</v>
      </c>
    </row>
    <row r="445" spans="1:65" s="2" customFormat="1" ht="24.2" customHeight="1">
      <c r="A445" s="34"/>
      <c r="B445" s="139"/>
      <c r="C445" s="140" t="s">
        <v>1224</v>
      </c>
      <c r="D445" s="140" t="s">
        <v>180</v>
      </c>
      <c r="E445" s="141" t="s">
        <v>1225</v>
      </c>
      <c r="F445" s="142" t="s">
        <v>1226</v>
      </c>
      <c r="G445" s="143" t="s">
        <v>183</v>
      </c>
      <c r="H445" s="144">
        <v>5.4119999999999999</v>
      </c>
      <c r="I445" s="145"/>
      <c r="J445" s="146">
        <f>ROUND(I445*H445,2)</f>
        <v>0</v>
      </c>
      <c r="K445" s="142" t="s">
        <v>184</v>
      </c>
      <c r="L445" s="35"/>
      <c r="M445" s="147" t="s">
        <v>3</v>
      </c>
      <c r="N445" s="148" t="s">
        <v>48</v>
      </c>
      <c r="O445" s="55"/>
      <c r="P445" s="149">
        <f>O445*H445</f>
        <v>0</v>
      </c>
      <c r="Q445" s="149">
        <v>0</v>
      </c>
      <c r="R445" s="149">
        <f>Q445*H445</f>
        <v>0</v>
      </c>
      <c r="S445" s="149">
        <v>0</v>
      </c>
      <c r="T445" s="150">
        <f>S445*H445</f>
        <v>0</v>
      </c>
      <c r="U445" s="34"/>
      <c r="V445" s="34"/>
      <c r="W445" s="34"/>
      <c r="X445" s="34"/>
      <c r="Y445" s="34"/>
      <c r="Z445" s="34"/>
      <c r="AA445" s="34"/>
      <c r="AB445" s="34"/>
      <c r="AC445" s="34"/>
      <c r="AD445" s="34"/>
      <c r="AE445" s="34"/>
      <c r="AR445" s="151" t="s">
        <v>185</v>
      </c>
      <c r="AT445" s="151" t="s">
        <v>180</v>
      </c>
      <c r="AU445" s="151" t="s">
        <v>87</v>
      </c>
      <c r="AY445" s="19" t="s">
        <v>177</v>
      </c>
      <c r="BE445" s="152">
        <f>IF(N445="základní",J445,0)</f>
        <v>0</v>
      </c>
      <c r="BF445" s="152">
        <f>IF(N445="snížená",J445,0)</f>
        <v>0</v>
      </c>
      <c r="BG445" s="152">
        <f>IF(N445="zákl. přenesená",J445,0)</f>
        <v>0</v>
      </c>
      <c r="BH445" s="152">
        <f>IF(N445="sníž. přenesená",J445,0)</f>
        <v>0</v>
      </c>
      <c r="BI445" s="152">
        <f>IF(N445="nulová",J445,0)</f>
        <v>0</v>
      </c>
      <c r="BJ445" s="19" t="s">
        <v>85</v>
      </c>
      <c r="BK445" s="152">
        <f>ROUND(I445*H445,2)</f>
        <v>0</v>
      </c>
      <c r="BL445" s="19" t="s">
        <v>185</v>
      </c>
      <c r="BM445" s="151" t="s">
        <v>1227</v>
      </c>
    </row>
    <row r="446" spans="1:65" s="2" customFormat="1" ht="19.5">
      <c r="A446" s="34"/>
      <c r="B446" s="35"/>
      <c r="C446" s="34"/>
      <c r="D446" s="153" t="s">
        <v>187</v>
      </c>
      <c r="E446" s="34"/>
      <c r="F446" s="154" t="s">
        <v>1228</v>
      </c>
      <c r="G446" s="34"/>
      <c r="H446" s="34"/>
      <c r="I446" s="155"/>
      <c r="J446" s="34"/>
      <c r="K446" s="34"/>
      <c r="L446" s="35"/>
      <c r="M446" s="156"/>
      <c r="N446" s="157"/>
      <c r="O446" s="55"/>
      <c r="P446" s="55"/>
      <c r="Q446" s="55"/>
      <c r="R446" s="55"/>
      <c r="S446" s="55"/>
      <c r="T446" s="56"/>
      <c r="U446" s="34"/>
      <c r="V446" s="34"/>
      <c r="W446" s="34"/>
      <c r="X446" s="34"/>
      <c r="Y446" s="34"/>
      <c r="Z446" s="34"/>
      <c r="AA446" s="34"/>
      <c r="AB446" s="34"/>
      <c r="AC446" s="34"/>
      <c r="AD446" s="34"/>
      <c r="AE446" s="34"/>
      <c r="AT446" s="19" t="s">
        <v>187</v>
      </c>
      <c r="AU446" s="19" t="s">
        <v>87</v>
      </c>
    </row>
    <row r="447" spans="1:65" s="2" customFormat="1">
      <c r="A447" s="34"/>
      <c r="B447" s="35"/>
      <c r="C447" s="34"/>
      <c r="D447" s="158" t="s">
        <v>189</v>
      </c>
      <c r="E447" s="34"/>
      <c r="F447" s="159" t="s">
        <v>1229</v>
      </c>
      <c r="G447" s="34"/>
      <c r="H447" s="34"/>
      <c r="I447" s="155"/>
      <c r="J447" s="34"/>
      <c r="K447" s="34"/>
      <c r="L447" s="35"/>
      <c r="M447" s="156"/>
      <c r="N447" s="157"/>
      <c r="O447" s="55"/>
      <c r="P447" s="55"/>
      <c r="Q447" s="55"/>
      <c r="R447" s="55"/>
      <c r="S447" s="55"/>
      <c r="T447" s="56"/>
      <c r="U447" s="34"/>
      <c r="V447" s="34"/>
      <c r="W447" s="34"/>
      <c r="X447" s="34"/>
      <c r="Y447" s="34"/>
      <c r="Z447" s="34"/>
      <c r="AA447" s="34"/>
      <c r="AB447" s="34"/>
      <c r="AC447" s="34"/>
      <c r="AD447" s="34"/>
      <c r="AE447" s="34"/>
      <c r="AT447" s="19" t="s">
        <v>189</v>
      </c>
      <c r="AU447" s="19" t="s">
        <v>87</v>
      </c>
    </row>
    <row r="448" spans="1:65" s="2" customFormat="1" ht="39">
      <c r="A448" s="34"/>
      <c r="B448" s="35"/>
      <c r="C448" s="34"/>
      <c r="D448" s="153" t="s">
        <v>191</v>
      </c>
      <c r="E448" s="34"/>
      <c r="F448" s="160" t="s">
        <v>228</v>
      </c>
      <c r="G448" s="34"/>
      <c r="H448" s="34"/>
      <c r="I448" s="155"/>
      <c r="J448" s="34"/>
      <c r="K448" s="34"/>
      <c r="L448" s="35"/>
      <c r="M448" s="156"/>
      <c r="N448" s="157"/>
      <c r="O448" s="55"/>
      <c r="P448" s="55"/>
      <c r="Q448" s="55"/>
      <c r="R448" s="55"/>
      <c r="S448" s="55"/>
      <c r="T448" s="56"/>
      <c r="U448" s="34"/>
      <c r="V448" s="34"/>
      <c r="W448" s="34"/>
      <c r="X448" s="34"/>
      <c r="Y448" s="34"/>
      <c r="Z448" s="34"/>
      <c r="AA448" s="34"/>
      <c r="AB448" s="34"/>
      <c r="AC448" s="34"/>
      <c r="AD448" s="34"/>
      <c r="AE448" s="34"/>
      <c r="AT448" s="19" t="s">
        <v>191</v>
      </c>
      <c r="AU448" s="19" t="s">
        <v>87</v>
      </c>
    </row>
    <row r="449" spans="1:65" s="13" customFormat="1">
      <c r="B449" s="161"/>
      <c r="D449" s="153" t="s">
        <v>193</v>
      </c>
      <c r="E449" s="162" t="s">
        <v>3</v>
      </c>
      <c r="F449" s="163" t="s">
        <v>1230</v>
      </c>
      <c r="H449" s="164">
        <v>5.4119999999999999</v>
      </c>
      <c r="I449" s="165"/>
      <c r="L449" s="161"/>
      <c r="M449" s="166"/>
      <c r="N449" s="167"/>
      <c r="O449" s="167"/>
      <c r="P449" s="167"/>
      <c r="Q449" s="167"/>
      <c r="R449" s="167"/>
      <c r="S449" s="167"/>
      <c r="T449" s="168"/>
      <c r="AT449" s="162" t="s">
        <v>193</v>
      </c>
      <c r="AU449" s="162" t="s">
        <v>87</v>
      </c>
      <c r="AV449" s="13" t="s">
        <v>87</v>
      </c>
      <c r="AW449" s="13" t="s">
        <v>36</v>
      </c>
      <c r="AX449" s="13" t="s">
        <v>85</v>
      </c>
      <c r="AY449" s="162" t="s">
        <v>177</v>
      </c>
    </row>
    <row r="450" spans="1:65" s="2" customFormat="1" ht="24.2" customHeight="1">
      <c r="A450" s="34"/>
      <c r="B450" s="139"/>
      <c r="C450" s="140" t="s">
        <v>1231</v>
      </c>
      <c r="D450" s="140" t="s">
        <v>180</v>
      </c>
      <c r="E450" s="141" t="s">
        <v>223</v>
      </c>
      <c r="F450" s="142" t="s">
        <v>224</v>
      </c>
      <c r="G450" s="143" t="s">
        <v>183</v>
      </c>
      <c r="H450" s="144">
        <v>3.4489999999999998</v>
      </c>
      <c r="I450" s="145"/>
      <c r="J450" s="146">
        <f>ROUND(I450*H450,2)</f>
        <v>0</v>
      </c>
      <c r="K450" s="142" t="s">
        <v>184</v>
      </c>
      <c r="L450" s="35"/>
      <c r="M450" s="147" t="s">
        <v>3</v>
      </c>
      <c r="N450" s="148" t="s">
        <v>48</v>
      </c>
      <c r="O450" s="55"/>
      <c r="P450" s="149">
        <f>O450*H450</f>
        <v>0</v>
      </c>
      <c r="Q450" s="149">
        <v>0</v>
      </c>
      <c r="R450" s="149">
        <f>Q450*H450</f>
        <v>0</v>
      </c>
      <c r="S450" s="149">
        <v>0</v>
      </c>
      <c r="T450" s="150">
        <f>S450*H450</f>
        <v>0</v>
      </c>
      <c r="U450" s="34"/>
      <c r="V450" s="34"/>
      <c r="W450" s="34"/>
      <c r="X450" s="34"/>
      <c r="Y450" s="34"/>
      <c r="Z450" s="34"/>
      <c r="AA450" s="34"/>
      <c r="AB450" s="34"/>
      <c r="AC450" s="34"/>
      <c r="AD450" s="34"/>
      <c r="AE450" s="34"/>
      <c r="AR450" s="151" t="s">
        <v>185</v>
      </c>
      <c r="AT450" s="151" t="s">
        <v>180</v>
      </c>
      <c r="AU450" s="151" t="s">
        <v>87</v>
      </c>
      <c r="AY450" s="19" t="s">
        <v>177</v>
      </c>
      <c r="BE450" s="152">
        <f>IF(N450="základní",J450,0)</f>
        <v>0</v>
      </c>
      <c r="BF450" s="152">
        <f>IF(N450="snížená",J450,0)</f>
        <v>0</v>
      </c>
      <c r="BG450" s="152">
        <f>IF(N450="zákl. přenesená",J450,0)</f>
        <v>0</v>
      </c>
      <c r="BH450" s="152">
        <f>IF(N450="sníž. přenesená",J450,0)</f>
        <v>0</v>
      </c>
      <c r="BI450" s="152">
        <f>IF(N450="nulová",J450,0)</f>
        <v>0</v>
      </c>
      <c r="BJ450" s="19" t="s">
        <v>85</v>
      </c>
      <c r="BK450" s="152">
        <f>ROUND(I450*H450,2)</f>
        <v>0</v>
      </c>
      <c r="BL450" s="19" t="s">
        <v>185</v>
      </c>
      <c r="BM450" s="151" t="s">
        <v>1232</v>
      </c>
    </row>
    <row r="451" spans="1:65" s="2" customFormat="1" ht="19.5">
      <c r="A451" s="34"/>
      <c r="B451" s="35"/>
      <c r="C451" s="34"/>
      <c r="D451" s="153" t="s">
        <v>187</v>
      </c>
      <c r="E451" s="34"/>
      <c r="F451" s="154" t="s">
        <v>226</v>
      </c>
      <c r="G451" s="34"/>
      <c r="H451" s="34"/>
      <c r="I451" s="155"/>
      <c r="J451" s="34"/>
      <c r="K451" s="34"/>
      <c r="L451" s="35"/>
      <c r="M451" s="156"/>
      <c r="N451" s="157"/>
      <c r="O451" s="55"/>
      <c r="P451" s="55"/>
      <c r="Q451" s="55"/>
      <c r="R451" s="55"/>
      <c r="S451" s="55"/>
      <c r="T451" s="56"/>
      <c r="U451" s="34"/>
      <c r="V451" s="34"/>
      <c r="W451" s="34"/>
      <c r="X451" s="34"/>
      <c r="Y451" s="34"/>
      <c r="Z451" s="34"/>
      <c r="AA451" s="34"/>
      <c r="AB451" s="34"/>
      <c r="AC451" s="34"/>
      <c r="AD451" s="34"/>
      <c r="AE451" s="34"/>
      <c r="AT451" s="19" t="s">
        <v>187</v>
      </c>
      <c r="AU451" s="19" t="s">
        <v>87</v>
      </c>
    </row>
    <row r="452" spans="1:65" s="2" customFormat="1">
      <c r="A452" s="34"/>
      <c r="B452" s="35"/>
      <c r="C452" s="34"/>
      <c r="D452" s="158" t="s">
        <v>189</v>
      </c>
      <c r="E452" s="34"/>
      <c r="F452" s="159" t="s">
        <v>227</v>
      </c>
      <c r="G452" s="34"/>
      <c r="H452" s="34"/>
      <c r="I452" s="155"/>
      <c r="J452" s="34"/>
      <c r="K452" s="34"/>
      <c r="L452" s="35"/>
      <c r="M452" s="156"/>
      <c r="N452" s="157"/>
      <c r="O452" s="55"/>
      <c r="P452" s="55"/>
      <c r="Q452" s="55"/>
      <c r="R452" s="55"/>
      <c r="S452" s="55"/>
      <c r="T452" s="56"/>
      <c r="U452" s="34"/>
      <c r="V452" s="34"/>
      <c r="W452" s="34"/>
      <c r="X452" s="34"/>
      <c r="Y452" s="34"/>
      <c r="Z452" s="34"/>
      <c r="AA452" s="34"/>
      <c r="AB452" s="34"/>
      <c r="AC452" s="34"/>
      <c r="AD452" s="34"/>
      <c r="AE452" s="34"/>
      <c r="AT452" s="19" t="s">
        <v>189</v>
      </c>
      <c r="AU452" s="19" t="s">
        <v>87</v>
      </c>
    </row>
    <row r="453" spans="1:65" s="2" customFormat="1" ht="39">
      <c r="A453" s="34"/>
      <c r="B453" s="35"/>
      <c r="C453" s="34"/>
      <c r="D453" s="153" t="s">
        <v>191</v>
      </c>
      <c r="E453" s="34"/>
      <c r="F453" s="160" t="s">
        <v>228</v>
      </c>
      <c r="G453" s="34"/>
      <c r="H453" s="34"/>
      <c r="I453" s="155"/>
      <c r="J453" s="34"/>
      <c r="K453" s="34"/>
      <c r="L453" s="35"/>
      <c r="M453" s="156"/>
      <c r="N453" s="157"/>
      <c r="O453" s="55"/>
      <c r="P453" s="55"/>
      <c r="Q453" s="55"/>
      <c r="R453" s="55"/>
      <c r="S453" s="55"/>
      <c r="T453" s="56"/>
      <c r="U453" s="34"/>
      <c r="V453" s="34"/>
      <c r="W453" s="34"/>
      <c r="X453" s="34"/>
      <c r="Y453" s="34"/>
      <c r="Z453" s="34"/>
      <c r="AA453" s="34"/>
      <c r="AB453" s="34"/>
      <c r="AC453" s="34"/>
      <c r="AD453" s="34"/>
      <c r="AE453" s="34"/>
      <c r="AT453" s="19" t="s">
        <v>191</v>
      </c>
      <c r="AU453" s="19" t="s">
        <v>87</v>
      </c>
    </row>
    <row r="454" spans="1:65" s="13" customFormat="1">
      <c r="B454" s="161"/>
      <c r="D454" s="153" t="s">
        <v>193</v>
      </c>
      <c r="E454" s="162" t="s">
        <v>3</v>
      </c>
      <c r="F454" s="163" t="s">
        <v>1233</v>
      </c>
      <c r="H454" s="164">
        <v>0.77400000000000002</v>
      </c>
      <c r="I454" s="165"/>
      <c r="L454" s="161"/>
      <c r="M454" s="166"/>
      <c r="N454" s="167"/>
      <c r="O454" s="167"/>
      <c r="P454" s="167"/>
      <c r="Q454" s="167"/>
      <c r="R454" s="167"/>
      <c r="S454" s="167"/>
      <c r="T454" s="168"/>
      <c r="AT454" s="162" t="s">
        <v>193</v>
      </c>
      <c r="AU454" s="162" t="s">
        <v>87</v>
      </c>
      <c r="AV454" s="13" t="s">
        <v>87</v>
      </c>
      <c r="AW454" s="13" t="s">
        <v>36</v>
      </c>
      <c r="AX454" s="13" t="s">
        <v>77</v>
      </c>
      <c r="AY454" s="162" t="s">
        <v>177</v>
      </c>
    </row>
    <row r="455" spans="1:65" s="13" customFormat="1">
      <c r="B455" s="161"/>
      <c r="D455" s="153" t="s">
        <v>193</v>
      </c>
      <c r="E455" s="162" t="s">
        <v>3</v>
      </c>
      <c r="F455" s="163" t="s">
        <v>1234</v>
      </c>
      <c r="H455" s="164">
        <v>2.6749999999999998</v>
      </c>
      <c r="I455" s="165"/>
      <c r="L455" s="161"/>
      <c r="M455" s="166"/>
      <c r="N455" s="167"/>
      <c r="O455" s="167"/>
      <c r="P455" s="167"/>
      <c r="Q455" s="167"/>
      <c r="R455" s="167"/>
      <c r="S455" s="167"/>
      <c r="T455" s="168"/>
      <c r="AT455" s="162" t="s">
        <v>193</v>
      </c>
      <c r="AU455" s="162" t="s">
        <v>87</v>
      </c>
      <c r="AV455" s="13" t="s">
        <v>87</v>
      </c>
      <c r="AW455" s="13" t="s">
        <v>36</v>
      </c>
      <c r="AX455" s="13" t="s">
        <v>77</v>
      </c>
      <c r="AY455" s="162" t="s">
        <v>177</v>
      </c>
    </row>
    <row r="456" spans="1:65" s="16" customFormat="1">
      <c r="B456" s="184"/>
      <c r="D456" s="153" t="s">
        <v>193</v>
      </c>
      <c r="E456" s="185" t="s">
        <v>3</v>
      </c>
      <c r="F456" s="186" t="s">
        <v>201</v>
      </c>
      <c r="H456" s="187">
        <v>3.4489999999999998</v>
      </c>
      <c r="I456" s="188"/>
      <c r="L456" s="184"/>
      <c r="M456" s="189"/>
      <c r="N456" s="190"/>
      <c r="O456" s="190"/>
      <c r="P456" s="190"/>
      <c r="Q456" s="190"/>
      <c r="R456" s="190"/>
      <c r="S456" s="190"/>
      <c r="T456" s="191"/>
      <c r="AT456" s="185" t="s">
        <v>193</v>
      </c>
      <c r="AU456" s="185" t="s">
        <v>87</v>
      </c>
      <c r="AV456" s="16" t="s">
        <v>185</v>
      </c>
      <c r="AW456" s="16" t="s">
        <v>36</v>
      </c>
      <c r="AX456" s="16" t="s">
        <v>85</v>
      </c>
      <c r="AY456" s="185" t="s">
        <v>177</v>
      </c>
    </row>
    <row r="457" spans="1:65" s="12" customFormat="1" ht="22.9" customHeight="1">
      <c r="B457" s="126"/>
      <c r="D457" s="127" t="s">
        <v>76</v>
      </c>
      <c r="E457" s="137" t="s">
        <v>518</v>
      </c>
      <c r="F457" s="137" t="s">
        <v>519</v>
      </c>
      <c r="I457" s="129"/>
      <c r="J457" s="138">
        <f>BK457</f>
        <v>0</v>
      </c>
      <c r="L457" s="126"/>
      <c r="M457" s="131"/>
      <c r="N457" s="132"/>
      <c r="O457" s="132"/>
      <c r="P457" s="133">
        <f>SUM(P458:P461)</f>
        <v>0</v>
      </c>
      <c r="Q457" s="132"/>
      <c r="R457" s="133">
        <f>SUM(R458:R461)</f>
        <v>0</v>
      </c>
      <c r="S457" s="132"/>
      <c r="T457" s="134">
        <f>SUM(T458:T461)</f>
        <v>0</v>
      </c>
      <c r="AR457" s="127" t="s">
        <v>85</v>
      </c>
      <c r="AT457" s="135" t="s">
        <v>76</v>
      </c>
      <c r="AU457" s="135" t="s">
        <v>85</v>
      </c>
      <c r="AY457" s="127" t="s">
        <v>177</v>
      </c>
      <c r="BK457" s="136">
        <f>SUM(BK458:BK461)</f>
        <v>0</v>
      </c>
    </row>
    <row r="458" spans="1:65" s="2" customFormat="1" ht="16.5" customHeight="1">
      <c r="A458" s="34"/>
      <c r="B458" s="139"/>
      <c r="C458" s="140" t="s">
        <v>1235</v>
      </c>
      <c r="D458" s="140" t="s">
        <v>180</v>
      </c>
      <c r="E458" s="141" t="s">
        <v>521</v>
      </c>
      <c r="F458" s="142" t="s">
        <v>522</v>
      </c>
      <c r="G458" s="143" t="s">
        <v>183</v>
      </c>
      <c r="H458" s="144">
        <v>27.405999999999999</v>
      </c>
      <c r="I458" s="145"/>
      <c r="J458" s="146">
        <f>ROUND(I458*H458,2)</f>
        <v>0</v>
      </c>
      <c r="K458" s="142" t="s">
        <v>184</v>
      </c>
      <c r="L458" s="35"/>
      <c r="M458" s="147" t="s">
        <v>3</v>
      </c>
      <c r="N458" s="148" t="s">
        <v>48</v>
      </c>
      <c r="O458" s="55"/>
      <c r="P458" s="149">
        <f>O458*H458</f>
        <v>0</v>
      </c>
      <c r="Q458" s="149">
        <v>0</v>
      </c>
      <c r="R458" s="149">
        <f>Q458*H458</f>
        <v>0</v>
      </c>
      <c r="S458" s="149">
        <v>0</v>
      </c>
      <c r="T458" s="150">
        <f>S458*H458</f>
        <v>0</v>
      </c>
      <c r="U458" s="34"/>
      <c r="V458" s="34"/>
      <c r="W458" s="34"/>
      <c r="X458" s="34"/>
      <c r="Y458" s="34"/>
      <c r="Z458" s="34"/>
      <c r="AA458" s="34"/>
      <c r="AB458" s="34"/>
      <c r="AC458" s="34"/>
      <c r="AD458" s="34"/>
      <c r="AE458" s="34"/>
      <c r="AR458" s="151" t="s">
        <v>185</v>
      </c>
      <c r="AT458" s="151" t="s">
        <v>180</v>
      </c>
      <c r="AU458" s="151" t="s">
        <v>87</v>
      </c>
      <c r="AY458" s="19" t="s">
        <v>177</v>
      </c>
      <c r="BE458" s="152">
        <f>IF(N458="základní",J458,0)</f>
        <v>0</v>
      </c>
      <c r="BF458" s="152">
        <f>IF(N458="snížená",J458,0)</f>
        <v>0</v>
      </c>
      <c r="BG458" s="152">
        <f>IF(N458="zákl. přenesená",J458,0)</f>
        <v>0</v>
      </c>
      <c r="BH458" s="152">
        <f>IF(N458="sníž. přenesená",J458,0)</f>
        <v>0</v>
      </c>
      <c r="BI458" s="152">
        <f>IF(N458="nulová",J458,0)</f>
        <v>0</v>
      </c>
      <c r="BJ458" s="19" t="s">
        <v>85</v>
      </c>
      <c r="BK458" s="152">
        <f>ROUND(I458*H458,2)</f>
        <v>0</v>
      </c>
      <c r="BL458" s="19" t="s">
        <v>185</v>
      </c>
      <c r="BM458" s="151" t="s">
        <v>1236</v>
      </c>
    </row>
    <row r="459" spans="1:65" s="2" customFormat="1" ht="19.5">
      <c r="A459" s="34"/>
      <c r="B459" s="35"/>
      <c r="C459" s="34"/>
      <c r="D459" s="153" t="s">
        <v>187</v>
      </c>
      <c r="E459" s="34"/>
      <c r="F459" s="154" t="s">
        <v>524</v>
      </c>
      <c r="G459" s="34"/>
      <c r="H459" s="34"/>
      <c r="I459" s="155"/>
      <c r="J459" s="34"/>
      <c r="K459" s="34"/>
      <c r="L459" s="35"/>
      <c r="M459" s="156"/>
      <c r="N459" s="157"/>
      <c r="O459" s="55"/>
      <c r="P459" s="55"/>
      <c r="Q459" s="55"/>
      <c r="R459" s="55"/>
      <c r="S459" s="55"/>
      <c r="T459" s="56"/>
      <c r="U459" s="34"/>
      <c r="V459" s="34"/>
      <c r="W459" s="34"/>
      <c r="X459" s="34"/>
      <c r="Y459" s="34"/>
      <c r="Z459" s="34"/>
      <c r="AA459" s="34"/>
      <c r="AB459" s="34"/>
      <c r="AC459" s="34"/>
      <c r="AD459" s="34"/>
      <c r="AE459" s="34"/>
      <c r="AT459" s="19" t="s">
        <v>187</v>
      </c>
      <c r="AU459" s="19" t="s">
        <v>87</v>
      </c>
    </row>
    <row r="460" spans="1:65" s="2" customFormat="1">
      <c r="A460" s="34"/>
      <c r="B460" s="35"/>
      <c r="C460" s="34"/>
      <c r="D460" s="158" t="s">
        <v>189</v>
      </c>
      <c r="E460" s="34"/>
      <c r="F460" s="159" t="s">
        <v>525</v>
      </c>
      <c r="G460" s="34"/>
      <c r="H460" s="34"/>
      <c r="I460" s="155"/>
      <c r="J460" s="34"/>
      <c r="K460" s="34"/>
      <c r="L460" s="35"/>
      <c r="M460" s="156"/>
      <c r="N460" s="157"/>
      <c r="O460" s="55"/>
      <c r="P460" s="55"/>
      <c r="Q460" s="55"/>
      <c r="R460" s="55"/>
      <c r="S460" s="55"/>
      <c r="T460" s="56"/>
      <c r="U460" s="34"/>
      <c r="V460" s="34"/>
      <c r="W460" s="34"/>
      <c r="X460" s="34"/>
      <c r="Y460" s="34"/>
      <c r="Z460" s="34"/>
      <c r="AA460" s="34"/>
      <c r="AB460" s="34"/>
      <c r="AC460" s="34"/>
      <c r="AD460" s="34"/>
      <c r="AE460" s="34"/>
      <c r="AT460" s="19" t="s">
        <v>189</v>
      </c>
      <c r="AU460" s="19" t="s">
        <v>87</v>
      </c>
    </row>
    <row r="461" spans="1:65" s="2" customFormat="1" ht="58.5">
      <c r="A461" s="34"/>
      <c r="B461" s="35"/>
      <c r="C461" s="34"/>
      <c r="D461" s="153" t="s">
        <v>191</v>
      </c>
      <c r="E461" s="34"/>
      <c r="F461" s="160" t="s">
        <v>526</v>
      </c>
      <c r="G461" s="34"/>
      <c r="H461" s="34"/>
      <c r="I461" s="155"/>
      <c r="J461" s="34"/>
      <c r="K461" s="34"/>
      <c r="L461" s="35"/>
      <c r="M461" s="156"/>
      <c r="N461" s="157"/>
      <c r="O461" s="55"/>
      <c r="P461" s="55"/>
      <c r="Q461" s="55"/>
      <c r="R461" s="55"/>
      <c r="S461" s="55"/>
      <c r="T461" s="56"/>
      <c r="U461" s="34"/>
      <c r="V461" s="34"/>
      <c r="W461" s="34"/>
      <c r="X461" s="34"/>
      <c r="Y461" s="34"/>
      <c r="Z461" s="34"/>
      <c r="AA461" s="34"/>
      <c r="AB461" s="34"/>
      <c r="AC461" s="34"/>
      <c r="AD461" s="34"/>
      <c r="AE461" s="34"/>
      <c r="AT461" s="19" t="s">
        <v>191</v>
      </c>
      <c r="AU461" s="19" t="s">
        <v>87</v>
      </c>
    </row>
    <row r="462" spans="1:65" s="12" customFormat="1" ht="25.9" customHeight="1">
      <c r="B462" s="126"/>
      <c r="D462" s="127" t="s">
        <v>76</v>
      </c>
      <c r="E462" s="128" t="s">
        <v>229</v>
      </c>
      <c r="F462" s="128" t="s">
        <v>230</v>
      </c>
      <c r="I462" s="129"/>
      <c r="J462" s="130">
        <f>BK462</f>
        <v>0</v>
      </c>
      <c r="L462" s="126"/>
      <c r="M462" s="131"/>
      <c r="N462" s="132"/>
      <c r="O462" s="132"/>
      <c r="P462" s="133">
        <f>P463+P481+P493+P507+P531</f>
        <v>0</v>
      </c>
      <c r="Q462" s="132"/>
      <c r="R462" s="133">
        <f>R463+R481+R493+R507+R531</f>
        <v>0</v>
      </c>
      <c r="S462" s="132"/>
      <c r="T462" s="134">
        <f>T463+T481+T493+T507+T531</f>
        <v>45.654050119999994</v>
      </c>
      <c r="AR462" s="127" t="s">
        <v>87</v>
      </c>
      <c r="AT462" s="135" t="s">
        <v>76</v>
      </c>
      <c r="AU462" s="135" t="s">
        <v>77</v>
      </c>
      <c r="AY462" s="127" t="s">
        <v>177</v>
      </c>
      <c r="BK462" s="136">
        <f>BK463+BK481+BK493+BK507+BK531</f>
        <v>0</v>
      </c>
    </row>
    <row r="463" spans="1:65" s="12" customFormat="1" ht="22.9" customHeight="1">
      <c r="B463" s="126"/>
      <c r="D463" s="127" t="s">
        <v>76</v>
      </c>
      <c r="E463" s="137" t="s">
        <v>1237</v>
      </c>
      <c r="F463" s="137" t="s">
        <v>1238</v>
      </c>
      <c r="I463" s="129"/>
      <c r="J463" s="138">
        <f>BK463</f>
        <v>0</v>
      </c>
      <c r="L463" s="126"/>
      <c r="M463" s="131"/>
      <c r="N463" s="132"/>
      <c r="O463" s="132"/>
      <c r="P463" s="133">
        <f>SUM(P464:P480)</f>
        <v>0</v>
      </c>
      <c r="Q463" s="132"/>
      <c r="R463" s="133">
        <f>SUM(R464:R480)</f>
        <v>0</v>
      </c>
      <c r="S463" s="132"/>
      <c r="T463" s="134">
        <f>SUM(T464:T480)</f>
        <v>8.0209290000000006</v>
      </c>
      <c r="AR463" s="127" t="s">
        <v>87</v>
      </c>
      <c r="AT463" s="135" t="s">
        <v>76</v>
      </c>
      <c r="AU463" s="135" t="s">
        <v>85</v>
      </c>
      <c r="AY463" s="127" t="s">
        <v>177</v>
      </c>
      <c r="BK463" s="136">
        <f>SUM(BK464:BK480)</f>
        <v>0</v>
      </c>
    </row>
    <row r="464" spans="1:65" s="2" customFormat="1" ht="16.5" customHeight="1">
      <c r="A464" s="34"/>
      <c r="B464" s="139"/>
      <c r="C464" s="140" t="s">
        <v>1239</v>
      </c>
      <c r="D464" s="140" t="s">
        <v>180</v>
      </c>
      <c r="E464" s="141" t="s">
        <v>1240</v>
      </c>
      <c r="F464" s="142" t="s">
        <v>1241</v>
      </c>
      <c r="G464" s="143" t="s">
        <v>332</v>
      </c>
      <c r="H464" s="144">
        <v>378.65199999999999</v>
      </c>
      <c r="I464" s="145"/>
      <c r="J464" s="146">
        <f>ROUND(I464*H464,2)</f>
        <v>0</v>
      </c>
      <c r="K464" s="142" t="s">
        <v>184</v>
      </c>
      <c r="L464" s="35"/>
      <c r="M464" s="147" t="s">
        <v>3</v>
      </c>
      <c r="N464" s="148" t="s">
        <v>48</v>
      </c>
      <c r="O464" s="55"/>
      <c r="P464" s="149">
        <f>O464*H464</f>
        <v>0</v>
      </c>
      <c r="Q464" s="149">
        <v>0</v>
      </c>
      <c r="R464" s="149">
        <f>Q464*H464</f>
        <v>0</v>
      </c>
      <c r="S464" s="149">
        <v>1.6500000000000001E-2</v>
      </c>
      <c r="T464" s="150">
        <f>S464*H464</f>
        <v>6.2477580000000001</v>
      </c>
      <c r="U464" s="34"/>
      <c r="V464" s="34"/>
      <c r="W464" s="34"/>
      <c r="X464" s="34"/>
      <c r="Y464" s="34"/>
      <c r="Z464" s="34"/>
      <c r="AA464" s="34"/>
      <c r="AB464" s="34"/>
      <c r="AC464" s="34"/>
      <c r="AD464" s="34"/>
      <c r="AE464" s="34"/>
      <c r="AR464" s="151" t="s">
        <v>237</v>
      </c>
      <c r="AT464" s="151" t="s">
        <v>180</v>
      </c>
      <c r="AU464" s="151" t="s">
        <v>87</v>
      </c>
      <c r="AY464" s="19" t="s">
        <v>177</v>
      </c>
      <c r="BE464" s="152">
        <f>IF(N464="základní",J464,0)</f>
        <v>0</v>
      </c>
      <c r="BF464" s="152">
        <f>IF(N464="snížená",J464,0)</f>
        <v>0</v>
      </c>
      <c r="BG464" s="152">
        <f>IF(N464="zákl. přenesená",J464,0)</f>
        <v>0</v>
      </c>
      <c r="BH464" s="152">
        <f>IF(N464="sníž. přenesená",J464,0)</f>
        <v>0</v>
      </c>
      <c r="BI464" s="152">
        <f>IF(N464="nulová",J464,0)</f>
        <v>0</v>
      </c>
      <c r="BJ464" s="19" t="s">
        <v>85</v>
      </c>
      <c r="BK464" s="152">
        <f>ROUND(I464*H464,2)</f>
        <v>0</v>
      </c>
      <c r="BL464" s="19" t="s">
        <v>237</v>
      </c>
      <c r="BM464" s="151" t="s">
        <v>1242</v>
      </c>
    </row>
    <row r="465" spans="1:65" s="2" customFormat="1">
      <c r="A465" s="34"/>
      <c r="B465" s="35"/>
      <c r="C465" s="34"/>
      <c r="D465" s="153" t="s">
        <v>187</v>
      </c>
      <c r="E465" s="34"/>
      <c r="F465" s="154" t="s">
        <v>1243</v>
      </c>
      <c r="G465" s="34"/>
      <c r="H465" s="34"/>
      <c r="I465" s="155"/>
      <c r="J465" s="34"/>
      <c r="K465" s="34"/>
      <c r="L465" s="35"/>
      <c r="M465" s="156"/>
      <c r="N465" s="157"/>
      <c r="O465" s="55"/>
      <c r="P465" s="55"/>
      <c r="Q465" s="55"/>
      <c r="R465" s="55"/>
      <c r="S465" s="55"/>
      <c r="T465" s="56"/>
      <c r="U465" s="34"/>
      <c r="V465" s="34"/>
      <c r="W465" s="34"/>
      <c r="X465" s="34"/>
      <c r="Y465" s="34"/>
      <c r="Z465" s="34"/>
      <c r="AA465" s="34"/>
      <c r="AB465" s="34"/>
      <c r="AC465" s="34"/>
      <c r="AD465" s="34"/>
      <c r="AE465" s="34"/>
      <c r="AT465" s="19" t="s">
        <v>187</v>
      </c>
      <c r="AU465" s="19" t="s">
        <v>87</v>
      </c>
    </row>
    <row r="466" spans="1:65" s="2" customFormat="1">
      <c r="A466" s="34"/>
      <c r="B466" s="35"/>
      <c r="C466" s="34"/>
      <c r="D466" s="158" t="s">
        <v>189</v>
      </c>
      <c r="E466" s="34"/>
      <c r="F466" s="159" t="s">
        <v>1244</v>
      </c>
      <c r="G466" s="34"/>
      <c r="H466" s="34"/>
      <c r="I466" s="155"/>
      <c r="J466" s="34"/>
      <c r="K466" s="34"/>
      <c r="L466" s="35"/>
      <c r="M466" s="156"/>
      <c r="N466" s="157"/>
      <c r="O466" s="55"/>
      <c r="P466" s="55"/>
      <c r="Q466" s="55"/>
      <c r="R466" s="55"/>
      <c r="S466" s="55"/>
      <c r="T466" s="56"/>
      <c r="U466" s="34"/>
      <c r="V466" s="34"/>
      <c r="W466" s="34"/>
      <c r="X466" s="34"/>
      <c r="Y466" s="34"/>
      <c r="Z466" s="34"/>
      <c r="AA466" s="34"/>
      <c r="AB466" s="34"/>
      <c r="AC466" s="34"/>
      <c r="AD466" s="34"/>
      <c r="AE466" s="34"/>
      <c r="AT466" s="19" t="s">
        <v>189</v>
      </c>
      <c r="AU466" s="19" t="s">
        <v>87</v>
      </c>
    </row>
    <row r="467" spans="1:65" s="14" customFormat="1">
      <c r="B467" s="169"/>
      <c r="D467" s="153" t="s">
        <v>193</v>
      </c>
      <c r="E467" s="170" t="s">
        <v>3</v>
      </c>
      <c r="F467" s="171" t="s">
        <v>1008</v>
      </c>
      <c r="H467" s="170" t="s">
        <v>3</v>
      </c>
      <c r="I467" s="172"/>
      <c r="L467" s="169"/>
      <c r="M467" s="173"/>
      <c r="N467" s="174"/>
      <c r="O467" s="174"/>
      <c r="P467" s="174"/>
      <c r="Q467" s="174"/>
      <c r="R467" s="174"/>
      <c r="S467" s="174"/>
      <c r="T467" s="175"/>
      <c r="AT467" s="170" t="s">
        <v>193</v>
      </c>
      <c r="AU467" s="170" t="s">
        <v>87</v>
      </c>
      <c r="AV467" s="14" t="s">
        <v>85</v>
      </c>
      <c r="AW467" s="14" t="s">
        <v>36</v>
      </c>
      <c r="AX467" s="14" t="s">
        <v>77</v>
      </c>
      <c r="AY467" s="170" t="s">
        <v>177</v>
      </c>
    </row>
    <row r="468" spans="1:65" s="13" customFormat="1">
      <c r="B468" s="161"/>
      <c r="D468" s="153" t="s">
        <v>193</v>
      </c>
      <c r="E468" s="162" t="s">
        <v>3</v>
      </c>
      <c r="F468" s="163" t="s">
        <v>1245</v>
      </c>
      <c r="H468" s="164">
        <v>56.53</v>
      </c>
      <c r="I468" s="165"/>
      <c r="L468" s="161"/>
      <c r="M468" s="166"/>
      <c r="N468" s="167"/>
      <c r="O468" s="167"/>
      <c r="P468" s="167"/>
      <c r="Q468" s="167"/>
      <c r="R468" s="167"/>
      <c r="S468" s="167"/>
      <c r="T468" s="168"/>
      <c r="AT468" s="162" t="s">
        <v>193</v>
      </c>
      <c r="AU468" s="162" t="s">
        <v>87</v>
      </c>
      <c r="AV468" s="13" t="s">
        <v>87</v>
      </c>
      <c r="AW468" s="13" t="s">
        <v>36</v>
      </c>
      <c r="AX468" s="13" t="s">
        <v>77</v>
      </c>
      <c r="AY468" s="162" t="s">
        <v>177</v>
      </c>
    </row>
    <row r="469" spans="1:65" s="15" customFormat="1">
      <c r="B469" s="176"/>
      <c r="D469" s="153" t="s">
        <v>193</v>
      </c>
      <c r="E469" s="177" t="s">
        <v>3</v>
      </c>
      <c r="F469" s="178" t="s">
        <v>197</v>
      </c>
      <c r="H469" s="179">
        <v>56.53</v>
      </c>
      <c r="I469" s="180"/>
      <c r="L469" s="176"/>
      <c r="M469" s="181"/>
      <c r="N469" s="182"/>
      <c r="O469" s="182"/>
      <c r="P469" s="182"/>
      <c r="Q469" s="182"/>
      <c r="R469" s="182"/>
      <c r="S469" s="182"/>
      <c r="T469" s="183"/>
      <c r="AT469" s="177" t="s">
        <v>193</v>
      </c>
      <c r="AU469" s="177" t="s">
        <v>87</v>
      </c>
      <c r="AV469" s="15" t="s">
        <v>198</v>
      </c>
      <c r="AW469" s="15" t="s">
        <v>36</v>
      </c>
      <c r="AX469" s="15" t="s">
        <v>77</v>
      </c>
      <c r="AY469" s="177" t="s">
        <v>177</v>
      </c>
    </row>
    <row r="470" spans="1:65" s="14" customFormat="1">
      <c r="B470" s="169"/>
      <c r="D470" s="153" t="s">
        <v>193</v>
      </c>
      <c r="E470" s="170" t="s">
        <v>3</v>
      </c>
      <c r="F470" s="171" t="s">
        <v>1246</v>
      </c>
      <c r="H470" s="170" t="s">
        <v>3</v>
      </c>
      <c r="I470" s="172"/>
      <c r="L470" s="169"/>
      <c r="M470" s="173"/>
      <c r="N470" s="174"/>
      <c r="O470" s="174"/>
      <c r="P470" s="174"/>
      <c r="Q470" s="174"/>
      <c r="R470" s="174"/>
      <c r="S470" s="174"/>
      <c r="T470" s="175"/>
      <c r="AT470" s="170" t="s">
        <v>193</v>
      </c>
      <c r="AU470" s="170" t="s">
        <v>87</v>
      </c>
      <c r="AV470" s="14" t="s">
        <v>85</v>
      </c>
      <c r="AW470" s="14" t="s">
        <v>36</v>
      </c>
      <c r="AX470" s="14" t="s">
        <v>77</v>
      </c>
      <c r="AY470" s="170" t="s">
        <v>177</v>
      </c>
    </row>
    <row r="471" spans="1:65" s="13" customFormat="1">
      <c r="B471" s="161"/>
      <c r="D471" s="153" t="s">
        <v>193</v>
      </c>
      <c r="E471" s="162" t="s">
        <v>3</v>
      </c>
      <c r="F471" s="163" t="s">
        <v>1247</v>
      </c>
      <c r="H471" s="164">
        <v>289.22699999999998</v>
      </c>
      <c r="I471" s="165"/>
      <c r="L471" s="161"/>
      <c r="M471" s="166"/>
      <c r="N471" s="167"/>
      <c r="O471" s="167"/>
      <c r="P471" s="167"/>
      <c r="Q471" s="167"/>
      <c r="R471" s="167"/>
      <c r="S471" s="167"/>
      <c r="T471" s="168"/>
      <c r="AT471" s="162" t="s">
        <v>193</v>
      </c>
      <c r="AU471" s="162" t="s">
        <v>87</v>
      </c>
      <c r="AV471" s="13" t="s">
        <v>87</v>
      </c>
      <c r="AW471" s="13" t="s">
        <v>36</v>
      </c>
      <c r="AX471" s="13" t="s">
        <v>77</v>
      </c>
      <c r="AY471" s="162" t="s">
        <v>177</v>
      </c>
    </row>
    <row r="472" spans="1:65" s="13" customFormat="1">
      <c r="B472" s="161"/>
      <c r="D472" s="153" t="s">
        <v>193</v>
      </c>
      <c r="E472" s="162" t="s">
        <v>3</v>
      </c>
      <c r="F472" s="163" t="s">
        <v>1248</v>
      </c>
      <c r="H472" s="164">
        <v>32.895000000000003</v>
      </c>
      <c r="I472" s="165"/>
      <c r="L472" s="161"/>
      <c r="M472" s="166"/>
      <c r="N472" s="167"/>
      <c r="O472" s="167"/>
      <c r="P472" s="167"/>
      <c r="Q472" s="167"/>
      <c r="R472" s="167"/>
      <c r="S472" s="167"/>
      <c r="T472" s="168"/>
      <c r="AT472" s="162" t="s">
        <v>193</v>
      </c>
      <c r="AU472" s="162" t="s">
        <v>87</v>
      </c>
      <c r="AV472" s="13" t="s">
        <v>87</v>
      </c>
      <c r="AW472" s="13" t="s">
        <v>36</v>
      </c>
      <c r="AX472" s="13" t="s">
        <v>77</v>
      </c>
      <c r="AY472" s="162" t="s">
        <v>177</v>
      </c>
    </row>
    <row r="473" spans="1:65" s="15" customFormat="1">
      <c r="B473" s="176"/>
      <c r="D473" s="153" t="s">
        <v>193</v>
      </c>
      <c r="E473" s="177" t="s">
        <v>3</v>
      </c>
      <c r="F473" s="178" t="s">
        <v>197</v>
      </c>
      <c r="H473" s="179">
        <v>322.12200000000001</v>
      </c>
      <c r="I473" s="180"/>
      <c r="L473" s="176"/>
      <c r="M473" s="181"/>
      <c r="N473" s="182"/>
      <c r="O473" s="182"/>
      <c r="P473" s="182"/>
      <c r="Q473" s="182"/>
      <c r="R473" s="182"/>
      <c r="S473" s="182"/>
      <c r="T473" s="183"/>
      <c r="AT473" s="177" t="s">
        <v>193</v>
      </c>
      <c r="AU473" s="177" t="s">
        <v>87</v>
      </c>
      <c r="AV473" s="15" t="s">
        <v>198</v>
      </c>
      <c r="AW473" s="15" t="s">
        <v>36</v>
      </c>
      <c r="AX473" s="15" t="s">
        <v>77</v>
      </c>
      <c r="AY473" s="177" t="s">
        <v>177</v>
      </c>
    </row>
    <row r="474" spans="1:65" s="16" customFormat="1">
      <c r="B474" s="184"/>
      <c r="D474" s="153" t="s">
        <v>193</v>
      </c>
      <c r="E474" s="185" t="s">
        <v>3</v>
      </c>
      <c r="F474" s="186" t="s">
        <v>201</v>
      </c>
      <c r="H474" s="187">
        <v>378.65199999999999</v>
      </c>
      <c r="I474" s="188"/>
      <c r="L474" s="184"/>
      <c r="M474" s="189"/>
      <c r="N474" s="190"/>
      <c r="O474" s="190"/>
      <c r="P474" s="190"/>
      <c r="Q474" s="190"/>
      <c r="R474" s="190"/>
      <c r="S474" s="190"/>
      <c r="T474" s="191"/>
      <c r="AT474" s="185" t="s">
        <v>193</v>
      </c>
      <c r="AU474" s="185" t="s">
        <v>87</v>
      </c>
      <c r="AV474" s="16" t="s">
        <v>185</v>
      </c>
      <c r="AW474" s="16" t="s">
        <v>36</v>
      </c>
      <c r="AX474" s="16" t="s">
        <v>85</v>
      </c>
      <c r="AY474" s="185" t="s">
        <v>177</v>
      </c>
    </row>
    <row r="475" spans="1:65" s="2" customFormat="1" ht="21.75" customHeight="1">
      <c r="A475" s="34"/>
      <c r="B475" s="139"/>
      <c r="C475" s="140" t="s">
        <v>1249</v>
      </c>
      <c r="D475" s="140" t="s">
        <v>180</v>
      </c>
      <c r="E475" s="141" t="s">
        <v>1250</v>
      </c>
      <c r="F475" s="142" t="s">
        <v>1251</v>
      </c>
      <c r="G475" s="143" t="s">
        <v>332</v>
      </c>
      <c r="H475" s="144">
        <v>322.12200000000001</v>
      </c>
      <c r="I475" s="145"/>
      <c r="J475" s="146">
        <f>ROUND(I475*H475,2)</f>
        <v>0</v>
      </c>
      <c r="K475" s="142" t="s">
        <v>184</v>
      </c>
      <c r="L475" s="35"/>
      <c r="M475" s="147" t="s">
        <v>3</v>
      </c>
      <c r="N475" s="148" t="s">
        <v>48</v>
      </c>
      <c r="O475" s="55"/>
      <c r="P475" s="149">
        <f>O475*H475</f>
        <v>0</v>
      </c>
      <c r="Q475" s="149">
        <v>0</v>
      </c>
      <c r="R475" s="149">
        <f>Q475*H475</f>
        <v>0</v>
      </c>
      <c r="S475" s="149">
        <v>5.4999999999999997E-3</v>
      </c>
      <c r="T475" s="150">
        <f>S475*H475</f>
        <v>1.771671</v>
      </c>
      <c r="U475" s="34"/>
      <c r="V475" s="34"/>
      <c r="W475" s="34"/>
      <c r="X475" s="34"/>
      <c r="Y475" s="34"/>
      <c r="Z475" s="34"/>
      <c r="AA475" s="34"/>
      <c r="AB475" s="34"/>
      <c r="AC475" s="34"/>
      <c r="AD475" s="34"/>
      <c r="AE475" s="34"/>
      <c r="AR475" s="151" t="s">
        <v>237</v>
      </c>
      <c r="AT475" s="151" t="s">
        <v>180</v>
      </c>
      <c r="AU475" s="151" t="s">
        <v>87</v>
      </c>
      <c r="AY475" s="19" t="s">
        <v>177</v>
      </c>
      <c r="BE475" s="152">
        <f>IF(N475="základní",J475,0)</f>
        <v>0</v>
      </c>
      <c r="BF475" s="152">
        <f>IF(N475="snížená",J475,0)</f>
        <v>0</v>
      </c>
      <c r="BG475" s="152">
        <f>IF(N475="zákl. přenesená",J475,0)</f>
        <v>0</v>
      </c>
      <c r="BH475" s="152">
        <f>IF(N475="sníž. přenesená",J475,0)</f>
        <v>0</v>
      </c>
      <c r="BI475" s="152">
        <f>IF(N475="nulová",J475,0)</f>
        <v>0</v>
      </c>
      <c r="BJ475" s="19" t="s">
        <v>85</v>
      </c>
      <c r="BK475" s="152">
        <f>ROUND(I475*H475,2)</f>
        <v>0</v>
      </c>
      <c r="BL475" s="19" t="s">
        <v>237</v>
      </c>
      <c r="BM475" s="151" t="s">
        <v>1252</v>
      </c>
    </row>
    <row r="476" spans="1:65" s="2" customFormat="1" ht="19.5">
      <c r="A476" s="34"/>
      <c r="B476" s="35"/>
      <c r="C476" s="34"/>
      <c r="D476" s="153" t="s">
        <v>187</v>
      </c>
      <c r="E476" s="34"/>
      <c r="F476" s="154" t="s">
        <v>1253</v>
      </c>
      <c r="G476" s="34"/>
      <c r="H476" s="34"/>
      <c r="I476" s="155"/>
      <c r="J476" s="34"/>
      <c r="K476" s="34"/>
      <c r="L476" s="35"/>
      <c r="M476" s="156"/>
      <c r="N476" s="157"/>
      <c r="O476" s="55"/>
      <c r="P476" s="55"/>
      <c r="Q476" s="55"/>
      <c r="R476" s="55"/>
      <c r="S476" s="55"/>
      <c r="T476" s="56"/>
      <c r="U476" s="34"/>
      <c r="V476" s="34"/>
      <c r="W476" s="34"/>
      <c r="X476" s="34"/>
      <c r="Y476" s="34"/>
      <c r="Z476" s="34"/>
      <c r="AA476" s="34"/>
      <c r="AB476" s="34"/>
      <c r="AC476" s="34"/>
      <c r="AD476" s="34"/>
      <c r="AE476" s="34"/>
      <c r="AT476" s="19" t="s">
        <v>187</v>
      </c>
      <c r="AU476" s="19" t="s">
        <v>87</v>
      </c>
    </row>
    <row r="477" spans="1:65" s="2" customFormat="1">
      <c r="A477" s="34"/>
      <c r="B477" s="35"/>
      <c r="C477" s="34"/>
      <c r="D477" s="158" t="s">
        <v>189</v>
      </c>
      <c r="E477" s="34"/>
      <c r="F477" s="159" t="s">
        <v>1254</v>
      </c>
      <c r="G477" s="34"/>
      <c r="H477" s="34"/>
      <c r="I477" s="155"/>
      <c r="J477" s="34"/>
      <c r="K477" s="34"/>
      <c r="L477" s="35"/>
      <c r="M477" s="156"/>
      <c r="N477" s="157"/>
      <c r="O477" s="55"/>
      <c r="P477" s="55"/>
      <c r="Q477" s="55"/>
      <c r="R477" s="55"/>
      <c r="S477" s="55"/>
      <c r="T477" s="56"/>
      <c r="U477" s="34"/>
      <c r="V477" s="34"/>
      <c r="W477" s="34"/>
      <c r="X477" s="34"/>
      <c r="Y477" s="34"/>
      <c r="Z477" s="34"/>
      <c r="AA477" s="34"/>
      <c r="AB477" s="34"/>
      <c r="AC477" s="34"/>
      <c r="AD477" s="34"/>
      <c r="AE477" s="34"/>
      <c r="AT477" s="19" t="s">
        <v>189</v>
      </c>
      <c r="AU477" s="19" t="s">
        <v>87</v>
      </c>
    </row>
    <row r="478" spans="1:65" s="2" customFormat="1" ht="16.5" customHeight="1">
      <c r="A478" s="34"/>
      <c r="B478" s="139"/>
      <c r="C478" s="140" t="s">
        <v>1255</v>
      </c>
      <c r="D478" s="140" t="s">
        <v>180</v>
      </c>
      <c r="E478" s="141" t="s">
        <v>1256</v>
      </c>
      <c r="F478" s="142" t="s">
        <v>1257</v>
      </c>
      <c r="G478" s="143" t="s">
        <v>236</v>
      </c>
      <c r="H478" s="144">
        <v>5</v>
      </c>
      <c r="I478" s="145"/>
      <c r="J478" s="146">
        <f>ROUND(I478*H478,2)</f>
        <v>0</v>
      </c>
      <c r="K478" s="142" t="s">
        <v>184</v>
      </c>
      <c r="L478" s="35"/>
      <c r="M478" s="147" t="s">
        <v>3</v>
      </c>
      <c r="N478" s="148" t="s">
        <v>48</v>
      </c>
      <c r="O478" s="55"/>
      <c r="P478" s="149">
        <f>O478*H478</f>
        <v>0</v>
      </c>
      <c r="Q478" s="149">
        <v>0</v>
      </c>
      <c r="R478" s="149">
        <f>Q478*H478</f>
        <v>0</v>
      </c>
      <c r="S478" s="149">
        <v>2.9999999999999997E-4</v>
      </c>
      <c r="T478" s="150">
        <f>S478*H478</f>
        <v>1.4999999999999998E-3</v>
      </c>
      <c r="U478" s="34"/>
      <c r="V478" s="34"/>
      <c r="W478" s="34"/>
      <c r="X478" s="34"/>
      <c r="Y478" s="34"/>
      <c r="Z478" s="34"/>
      <c r="AA478" s="34"/>
      <c r="AB478" s="34"/>
      <c r="AC478" s="34"/>
      <c r="AD478" s="34"/>
      <c r="AE478" s="34"/>
      <c r="AR478" s="151" t="s">
        <v>237</v>
      </c>
      <c r="AT478" s="151" t="s">
        <v>180</v>
      </c>
      <c r="AU478" s="151" t="s">
        <v>87</v>
      </c>
      <c r="AY478" s="19" t="s">
        <v>177</v>
      </c>
      <c r="BE478" s="152">
        <f>IF(N478="základní",J478,0)</f>
        <v>0</v>
      </c>
      <c r="BF478" s="152">
        <f>IF(N478="snížená",J478,0)</f>
        <v>0</v>
      </c>
      <c r="BG478" s="152">
        <f>IF(N478="zákl. přenesená",J478,0)</f>
        <v>0</v>
      </c>
      <c r="BH478" s="152">
        <f>IF(N478="sníž. přenesená",J478,0)</f>
        <v>0</v>
      </c>
      <c r="BI478" s="152">
        <f>IF(N478="nulová",J478,0)</f>
        <v>0</v>
      </c>
      <c r="BJ478" s="19" t="s">
        <v>85</v>
      </c>
      <c r="BK478" s="152">
        <f>ROUND(I478*H478,2)</f>
        <v>0</v>
      </c>
      <c r="BL478" s="19" t="s">
        <v>237</v>
      </c>
      <c r="BM478" s="151" t="s">
        <v>1258</v>
      </c>
    </row>
    <row r="479" spans="1:65" s="2" customFormat="1">
      <c r="A479" s="34"/>
      <c r="B479" s="35"/>
      <c r="C479" s="34"/>
      <c r="D479" s="153" t="s">
        <v>187</v>
      </c>
      <c r="E479" s="34"/>
      <c r="F479" s="154" t="s">
        <v>1259</v>
      </c>
      <c r="G479" s="34"/>
      <c r="H479" s="34"/>
      <c r="I479" s="155"/>
      <c r="J479" s="34"/>
      <c r="K479" s="34"/>
      <c r="L479" s="35"/>
      <c r="M479" s="156"/>
      <c r="N479" s="157"/>
      <c r="O479" s="55"/>
      <c r="P479" s="55"/>
      <c r="Q479" s="55"/>
      <c r="R479" s="55"/>
      <c r="S479" s="55"/>
      <c r="T479" s="56"/>
      <c r="U479" s="34"/>
      <c r="V479" s="34"/>
      <c r="W479" s="34"/>
      <c r="X479" s="34"/>
      <c r="Y479" s="34"/>
      <c r="Z479" s="34"/>
      <c r="AA479" s="34"/>
      <c r="AB479" s="34"/>
      <c r="AC479" s="34"/>
      <c r="AD479" s="34"/>
      <c r="AE479" s="34"/>
      <c r="AT479" s="19" t="s">
        <v>187</v>
      </c>
      <c r="AU479" s="19" t="s">
        <v>87</v>
      </c>
    </row>
    <row r="480" spans="1:65" s="2" customFormat="1">
      <c r="A480" s="34"/>
      <c r="B480" s="35"/>
      <c r="C480" s="34"/>
      <c r="D480" s="158" t="s">
        <v>189</v>
      </c>
      <c r="E480" s="34"/>
      <c r="F480" s="159" t="s">
        <v>1260</v>
      </c>
      <c r="G480" s="34"/>
      <c r="H480" s="34"/>
      <c r="I480" s="155"/>
      <c r="J480" s="34"/>
      <c r="K480" s="34"/>
      <c r="L480" s="35"/>
      <c r="M480" s="156"/>
      <c r="N480" s="157"/>
      <c r="O480" s="55"/>
      <c r="P480" s="55"/>
      <c r="Q480" s="55"/>
      <c r="R480" s="55"/>
      <c r="S480" s="55"/>
      <c r="T480" s="56"/>
      <c r="U480" s="34"/>
      <c r="V480" s="34"/>
      <c r="W480" s="34"/>
      <c r="X480" s="34"/>
      <c r="Y480" s="34"/>
      <c r="Z480" s="34"/>
      <c r="AA480" s="34"/>
      <c r="AB480" s="34"/>
      <c r="AC480" s="34"/>
      <c r="AD480" s="34"/>
      <c r="AE480" s="34"/>
      <c r="AT480" s="19" t="s">
        <v>189</v>
      </c>
      <c r="AU480" s="19" t="s">
        <v>87</v>
      </c>
    </row>
    <row r="481" spans="1:65" s="12" customFormat="1" ht="22.9" customHeight="1">
      <c r="B481" s="126"/>
      <c r="D481" s="127" t="s">
        <v>76</v>
      </c>
      <c r="E481" s="137" t="s">
        <v>770</v>
      </c>
      <c r="F481" s="137" t="s">
        <v>771</v>
      </c>
      <c r="I481" s="129"/>
      <c r="J481" s="138">
        <f>BK481</f>
        <v>0</v>
      </c>
      <c r="L481" s="126"/>
      <c r="M481" s="131"/>
      <c r="N481" s="132"/>
      <c r="O481" s="132"/>
      <c r="P481" s="133">
        <f>SUM(P482:P492)</f>
        <v>0</v>
      </c>
      <c r="Q481" s="132"/>
      <c r="R481" s="133">
        <f>SUM(R482:R492)</f>
        <v>0</v>
      </c>
      <c r="S481" s="132"/>
      <c r="T481" s="134">
        <f>SUM(T482:T492)</f>
        <v>21.045671999999996</v>
      </c>
      <c r="AR481" s="127" t="s">
        <v>87</v>
      </c>
      <c r="AT481" s="135" t="s">
        <v>76</v>
      </c>
      <c r="AU481" s="135" t="s">
        <v>85</v>
      </c>
      <c r="AY481" s="127" t="s">
        <v>177</v>
      </c>
      <c r="BK481" s="136">
        <f>SUM(BK482:BK492)</f>
        <v>0</v>
      </c>
    </row>
    <row r="482" spans="1:65" s="2" customFormat="1" ht="24.2" customHeight="1">
      <c r="A482" s="34"/>
      <c r="B482" s="139"/>
      <c r="C482" s="140" t="s">
        <v>1261</v>
      </c>
      <c r="D482" s="140" t="s">
        <v>180</v>
      </c>
      <c r="E482" s="141" t="s">
        <v>1262</v>
      </c>
      <c r="F482" s="142" t="s">
        <v>1263</v>
      </c>
      <c r="G482" s="143" t="s">
        <v>332</v>
      </c>
      <c r="H482" s="144">
        <v>289.22699999999998</v>
      </c>
      <c r="I482" s="145"/>
      <c r="J482" s="146">
        <f>ROUND(I482*H482,2)</f>
        <v>0</v>
      </c>
      <c r="K482" s="142" t="s">
        <v>184</v>
      </c>
      <c r="L482" s="35"/>
      <c r="M482" s="147" t="s">
        <v>3</v>
      </c>
      <c r="N482" s="148" t="s">
        <v>48</v>
      </c>
      <c r="O482" s="55"/>
      <c r="P482" s="149">
        <f>O482*H482</f>
        <v>0</v>
      </c>
      <c r="Q482" s="149">
        <v>0</v>
      </c>
      <c r="R482" s="149">
        <f>Q482*H482</f>
        <v>0</v>
      </c>
      <c r="S482" s="149">
        <v>7.1999999999999995E-2</v>
      </c>
      <c r="T482" s="150">
        <f>S482*H482</f>
        <v>20.824343999999996</v>
      </c>
      <c r="U482" s="34"/>
      <c r="V482" s="34"/>
      <c r="W482" s="34"/>
      <c r="X482" s="34"/>
      <c r="Y482" s="34"/>
      <c r="Z482" s="34"/>
      <c r="AA482" s="34"/>
      <c r="AB482" s="34"/>
      <c r="AC482" s="34"/>
      <c r="AD482" s="34"/>
      <c r="AE482" s="34"/>
      <c r="AR482" s="151" t="s">
        <v>237</v>
      </c>
      <c r="AT482" s="151" t="s">
        <v>180</v>
      </c>
      <c r="AU482" s="151" t="s">
        <v>87</v>
      </c>
      <c r="AY482" s="19" t="s">
        <v>177</v>
      </c>
      <c r="BE482" s="152">
        <f>IF(N482="základní",J482,0)</f>
        <v>0</v>
      </c>
      <c r="BF482" s="152">
        <f>IF(N482="snížená",J482,0)</f>
        <v>0</v>
      </c>
      <c r="BG482" s="152">
        <f>IF(N482="zákl. přenesená",J482,0)</f>
        <v>0</v>
      </c>
      <c r="BH482" s="152">
        <f>IF(N482="sníž. přenesená",J482,0)</f>
        <v>0</v>
      </c>
      <c r="BI482" s="152">
        <f>IF(N482="nulová",J482,0)</f>
        <v>0</v>
      </c>
      <c r="BJ482" s="19" t="s">
        <v>85</v>
      </c>
      <c r="BK482" s="152">
        <f>ROUND(I482*H482,2)</f>
        <v>0</v>
      </c>
      <c r="BL482" s="19" t="s">
        <v>237</v>
      </c>
      <c r="BM482" s="151" t="s">
        <v>1264</v>
      </c>
    </row>
    <row r="483" spans="1:65" s="2" customFormat="1" ht="19.5">
      <c r="A483" s="34"/>
      <c r="B483" s="35"/>
      <c r="C483" s="34"/>
      <c r="D483" s="153" t="s">
        <v>187</v>
      </c>
      <c r="E483" s="34"/>
      <c r="F483" s="154" t="s">
        <v>1265</v>
      </c>
      <c r="G483" s="34"/>
      <c r="H483" s="34"/>
      <c r="I483" s="155"/>
      <c r="J483" s="34"/>
      <c r="K483" s="34"/>
      <c r="L483" s="35"/>
      <c r="M483" s="156"/>
      <c r="N483" s="157"/>
      <c r="O483" s="55"/>
      <c r="P483" s="55"/>
      <c r="Q483" s="55"/>
      <c r="R483" s="55"/>
      <c r="S483" s="55"/>
      <c r="T483" s="56"/>
      <c r="U483" s="34"/>
      <c r="V483" s="34"/>
      <c r="W483" s="34"/>
      <c r="X483" s="34"/>
      <c r="Y483" s="34"/>
      <c r="Z483" s="34"/>
      <c r="AA483" s="34"/>
      <c r="AB483" s="34"/>
      <c r="AC483" s="34"/>
      <c r="AD483" s="34"/>
      <c r="AE483" s="34"/>
      <c r="AT483" s="19" t="s">
        <v>187</v>
      </c>
      <c r="AU483" s="19" t="s">
        <v>87</v>
      </c>
    </row>
    <row r="484" spans="1:65" s="2" customFormat="1">
      <c r="A484" s="34"/>
      <c r="B484" s="35"/>
      <c r="C484" s="34"/>
      <c r="D484" s="158" t="s">
        <v>189</v>
      </c>
      <c r="E484" s="34"/>
      <c r="F484" s="159" t="s">
        <v>1266</v>
      </c>
      <c r="G484" s="34"/>
      <c r="H484" s="34"/>
      <c r="I484" s="155"/>
      <c r="J484" s="34"/>
      <c r="K484" s="34"/>
      <c r="L484" s="35"/>
      <c r="M484" s="156"/>
      <c r="N484" s="157"/>
      <c r="O484" s="55"/>
      <c r="P484" s="55"/>
      <c r="Q484" s="55"/>
      <c r="R484" s="55"/>
      <c r="S484" s="55"/>
      <c r="T484" s="56"/>
      <c r="U484" s="34"/>
      <c r="V484" s="34"/>
      <c r="W484" s="34"/>
      <c r="X484" s="34"/>
      <c r="Y484" s="34"/>
      <c r="Z484" s="34"/>
      <c r="AA484" s="34"/>
      <c r="AB484" s="34"/>
      <c r="AC484" s="34"/>
      <c r="AD484" s="34"/>
      <c r="AE484" s="34"/>
      <c r="AT484" s="19" t="s">
        <v>189</v>
      </c>
      <c r="AU484" s="19" t="s">
        <v>87</v>
      </c>
    </row>
    <row r="485" spans="1:65" s="2" customFormat="1" ht="58.5">
      <c r="A485" s="34"/>
      <c r="B485" s="35"/>
      <c r="C485" s="34"/>
      <c r="D485" s="153" t="s">
        <v>191</v>
      </c>
      <c r="E485" s="34"/>
      <c r="F485" s="160" t="s">
        <v>1267</v>
      </c>
      <c r="G485" s="34"/>
      <c r="H485" s="34"/>
      <c r="I485" s="155"/>
      <c r="J485" s="34"/>
      <c r="K485" s="34"/>
      <c r="L485" s="35"/>
      <c r="M485" s="156"/>
      <c r="N485" s="157"/>
      <c r="O485" s="55"/>
      <c r="P485" s="55"/>
      <c r="Q485" s="55"/>
      <c r="R485" s="55"/>
      <c r="S485" s="55"/>
      <c r="T485" s="56"/>
      <c r="U485" s="34"/>
      <c r="V485" s="34"/>
      <c r="W485" s="34"/>
      <c r="X485" s="34"/>
      <c r="Y485" s="34"/>
      <c r="Z485" s="34"/>
      <c r="AA485" s="34"/>
      <c r="AB485" s="34"/>
      <c r="AC485" s="34"/>
      <c r="AD485" s="34"/>
      <c r="AE485" s="34"/>
      <c r="AT485" s="19" t="s">
        <v>191</v>
      </c>
      <c r="AU485" s="19" t="s">
        <v>87</v>
      </c>
    </row>
    <row r="486" spans="1:65" s="13" customFormat="1">
      <c r="B486" s="161"/>
      <c r="D486" s="153" t="s">
        <v>193</v>
      </c>
      <c r="E486" s="162" t="s">
        <v>3</v>
      </c>
      <c r="F486" s="163" t="s">
        <v>1247</v>
      </c>
      <c r="H486" s="164">
        <v>289.22699999999998</v>
      </c>
      <c r="I486" s="165"/>
      <c r="L486" s="161"/>
      <c r="M486" s="166"/>
      <c r="N486" s="167"/>
      <c r="O486" s="167"/>
      <c r="P486" s="167"/>
      <c r="Q486" s="167"/>
      <c r="R486" s="167"/>
      <c r="S486" s="167"/>
      <c r="T486" s="168"/>
      <c r="AT486" s="162" t="s">
        <v>193</v>
      </c>
      <c r="AU486" s="162" t="s">
        <v>87</v>
      </c>
      <c r="AV486" s="13" t="s">
        <v>87</v>
      </c>
      <c r="AW486" s="13" t="s">
        <v>36</v>
      </c>
      <c r="AX486" s="13" t="s">
        <v>85</v>
      </c>
      <c r="AY486" s="162" t="s">
        <v>177</v>
      </c>
    </row>
    <row r="487" spans="1:65" s="2" customFormat="1" ht="21.75" customHeight="1">
      <c r="A487" s="34"/>
      <c r="B487" s="139"/>
      <c r="C487" s="140" t="s">
        <v>1268</v>
      </c>
      <c r="D487" s="140" t="s">
        <v>180</v>
      </c>
      <c r="E487" s="141" t="s">
        <v>1269</v>
      </c>
      <c r="F487" s="142" t="s">
        <v>1270</v>
      </c>
      <c r="G487" s="143" t="s">
        <v>332</v>
      </c>
      <c r="H487" s="144">
        <v>41.76</v>
      </c>
      <c r="I487" s="145"/>
      <c r="J487" s="146">
        <f>ROUND(I487*H487,2)</f>
        <v>0</v>
      </c>
      <c r="K487" s="142" t="s">
        <v>184</v>
      </c>
      <c r="L487" s="35"/>
      <c r="M487" s="147" t="s">
        <v>3</v>
      </c>
      <c r="N487" s="148" t="s">
        <v>48</v>
      </c>
      <c r="O487" s="55"/>
      <c r="P487" s="149">
        <f>O487*H487</f>
        <v>0</v>
      </c>
      <c r="Q487" s="149">
        <v>0</v>
      </c>
      <c r="R487" s="149">
        <f>Q487*H487</f>
        <v>0</v>
      </c>
      <c r="S487" s="149">
        <v>5.3E-3</v>
      </c>
      <c r="T487" s="150">
        <f>S487*H487</f>
        <v>0.221328</v>
      </c>
      <c r="U487" s="34"/>
      <c r="V487" s="34"/>
      <c r="W487" s="34"/>
      <c r="X487" s="34"/>
      <c r="Y487" s="34"/>
      <c r="Z487" s="34"/>
      <c r="AA487" s="34"/>
      <c r="AB487" s="34"/>
      <c r="AC487" s="34"/>
      <c r="AD487" s="34"/>
      <c r="AE487" s="34"/>
      <c r="AR487" s="151" t="s">
        <v>237</v>
      </c>
      <c r="AT487" s="151" t="s">
        <v>180</v>
      </c>
      <c r="AU487" s="151" t="s">
        <v>87</v>
      </c>
      <c r="AY487" s="19" t="s">
        <v>177</v>
      </c>
      <c r="BE487" s="152">
        <f>IF(N487="základní",J487,0)</f>
        <v>0</v>
      </c>
      <c r="BF487" s="152">
        <f>IF(N487="snížená",J487,0)</f>
        <v>0</v>
      </c>
      <c r="BG487" s="152">
        <f>IF(N487="zákl. přenesená",J487,0)</f>
        <v>0</v>
      </c>
      <c r="BH487" s="152">
        <f>IF(N487="sníž. přenesená",J487,0)</f>
        <v>0</v>
      </c>
      <c r="BI487" s="152">
        <f>IF(N487="nulová",J487,0)</f>
        <v>0</v>
      </c>
      <c r="BJ487" s="19" t="s">
        <v>85</v>
      </c>
      <c r="BK487" s="152">
        <f>ROUND(I487*H487,2)</f>
        <v>0</v>
      </c>
      <c r="BL487" s="19" t="s">
        <v>237</v>
      </c>
      <c r="BM487" s="151" t="s">
        <v>1271</v>
      </c>
    </row>
    <row r="488" spans="1:65" s="2" customFormat="1" ht="19.5">
      <c r="A488" s="34"/>
      <c r="B488" s="35"/>
      <c r="C488" s="34"/>
      <c r="D488" s="153" t="s">
        <v>187</v>
      </c>
      <c r="E488" s="34"/>
      <c r="F488" s="154" t="s">
        <v>1272</v>
      </c>
      <c r="G488" s="34"/>
      <c r="H488" s="34"/>
      <c r="I488" s="155"/>
      <c r="J488" s="34"/>
      <c r="K488" s="34"/>
      <c r="L488" s="35"/>
      <c r="M488" s="156"/>
      <c r="N488" s="157"/>
      <c r="O488" s="55"/>
      <c r="P488" s="55"/>
      <c r="Q488" s="55"/>
      <c r="R488" s="55"/>
      <c r="S488" s="55"/>
      <c r="T488" s="56"/>
      <c r="U488" s="34"/>
      <c r="V488" s="34"/>
      <c r="W488" s="34"/>
      <c r="X488" s="34"/>
      <c r="Y488" s="34"/>
      <c r="Z488" s="34"/>
      <c r="AA488" s="34"/>
      <c r="AB488" s="34"/>
      <c r="AC488" s="34"/>
      <c r="AD488" s="34"/>
      <c r="AE488" s="34"/>
      <c r="AT488" s="19" t="s">
        <v>187</v>
      </c>
      <c r="AU488" s="19" t="s">
        <v>87</v>
      </c>
    </row>
    <row r="489" spans="1:65" s="2" customFormat="1">
      <c r="A489" s="34"/>
      <c r="B489" s="35"/>
      <c r="C489" s="34"/>
      <c r="D489" s="158" t="s">
        <v>189</v>
      </c>
      <c r="E489" s="34"/>
      <c r="F489" s="159" t="s">
        <v>1273</v>
      </c>
      <c r="G489" s="34"/>
      <c r="H489" s="34"/>
      <c r="I489" s="155"/>
      <c r="J489" s="34"/>
      <c r="K489" s="34"/>
      <c r="L489" s="35"/>
      <c r="M489" s="156"/>
      <c r="N489" s="157"/>
      <c r="O489" s="55"/>
      <c r="P489" s="55"/>
      <c r="Q489" s="55"/>
      <c r="R489" s="55"/>
      <c r="S489" s="55"/>
      <c r="T489" s="56"/>
      <c r="U489" s="34"/>
      <c r="V489" s="34"/>
      <c r="W489" s="34"/>
      <c r="X489" s="34"/>
      <c r="Y489" s="34"/>
      <c r="Z489" s="34"/>
      <c r="AA489" s="34"/>
      <c r="AB489" s="34"/>
      <c r="AC489" s="34"/>
      <c r="AD489" s="34"/>
      <c r="AE489" s="34"/>
      <c r="AT489" s="19" t="s">
        <v>189</v>
      </c>
      <c r="AU489" s="19" t="s">
        <v>87</v>
      </c>
    </row>
    <row r="490" spans="1:65" s="2" customFormat="1" ht="58.5">
      <c r="A490" s="34"/>
      <c r="B490" s="35"/>
      <c r="C490" s="34"/>
      <c r="D490" s="153" t="s">
        <v>191</v>
      </c>
      <c r="E490" s="34"/>
      <c r="F490" s="160" t="s">
        <v>1267</v>
      </c>
      <c r="G490" s="34"/>
      <c r="H490" s="34"/>
      <c r="I490" s="155"/>
      <c r="J490" s="34"/>
      <c r="K490" s="34"/>
      <c r="L490" s="35"/>
      <c r="M490" s="156"/>
      <c r="N490" s="157"/>
      <c r="O490" s="55"/>
      <c r="P490" s="55"/>
      <c r="Q490" s="55"/>
      <c r="R490" s="55"/>
      <c r="S490" s="55"/>
      <c r="T490" s="56"/>
      <c r="U490" s="34"/>
      <c r="V490" s="34"/>
      <c r="W490" s="34"/>
      <c r="X490" s="34"/>
      <c r="Y490" s="34"/>
      <c r="Z490" s="34"/>
      <c r="AA490" s="34"/>
      <c r="AB490" s="34"/>
      <c r="AC490" s="34"/>
      <c r="AD490" s="34"/>
      <c r="AE490" s="34"/>
      <c r="AT490" s="19" t="s">
        <v>191</v>
      </c>
      <c r="AU490" s="19" t="s">
        <v>87</v>
      </c>
    </row>
    <row r="491" spans="1:65" s="14" customFormat="1">
      <c r="B491" s="169"/>
      <c r="D491" s="153" t="s">
        <v>193</v>
      </c>
      <c r="E491" s="170" t="s">
        <v>3</v>
      </c>
      <c r="F491" s="171" t="s">
        <v>1008</v>
      </c>
      <c r="H491" s="170" t="s">
        <v>3</v>
      </c>
      <c r="I491" s="172"/>
      <c r="L491" s="169"/>
      <c r="M491" s="173"/>
      <c r="N491" s="174"/>
      <c r="O491" s="174"/>
      <c r="P491" s="174"/>
      <c r="Q491" s="174"/>
      <c r="R491" s="174"/>
      <c r="S491" s="174"/>
      <c r="T491" s="175"/>
      <c r="AT491" s="170" t="s">
        <v>193</v>
      </c>
      <c r="AU491" s="170" t="s">
        <v>87</v>
      </c>
      <c r="AV491" s="14" t="s">
        <v>85</v>
      </c>
      <c r="AW491" s="14" t="s">
        <v>36</v>
      </c>
      <c r="AX491" s="14" t="s">
        <v>77</v>
      </c>
      <c r="AY491" s="170" t="s">
        <v>177</v>
      </c>
    </row>
    <row r="492" spans="1:65" s="13" customFormat="1">
      <c r="B492" s="161"/>
      <c r="D492" s="153" t="s">
        <v>193</v>
      </c>
      <c r="E492" s="162" t="s">
        <v>3</v>
      </c>
      <c r="F492" s="163" t="s">
        <v>1036</v>
      </c>
      <c r="H492" s="164">
        <v>41.76</v>
      </c>
      <c r="I492" s="165"/>
      <c r="L492" s="161"/>
      <c r="M492" s="166"/>
      <c r="N492" s="167"/>
      <c r="O492" s="167"/>
      <c r="P492" s="167"/>
      <c r="Q492" s="167"/>
      <c r="R492" s="167"/>
      <c r="S492" s="167"/>
      <c r="T492" s="168"/>
      <c r="AT492" s="162" t="s">
        <v>193</v>
      </c>
      <c r="AU492" s="162" t="s">
        <v>87</v>
      </c>
      <c r="AV492" s="13" t="s">
        <v>87</v>
      </c>
      <c r="AW492" s="13" t="s">
        <v>36</v>
      </c>
      <c r="AX492" s="13" t="s">
        <v>85</v>
      </c>
      <c r="AY492" s="162" t="s">
        <v>177</v>
      </c>
    </row>
    <row r="493" spans="1:65" s="12" customFormat="1" ht="22.9" customHeight="1">
      <c r="B493" s="126"/>
      <c r="D493" s="127" t="s">
        <v>76</v>
      </c>
      <c r="E493" s="137" t="s">
        <v>1274</v>
      </c>
      <c r="F493" s="137" t="s">
        <v>1275</v>
      </c>
      <c r="I493" s="129"/>
      <c r="J493" s="138">
        <f>BK493</f>
        <v>0</v>
      </c>
      <c r="L493" s="126"/>
      <c r="M493" s="131"/>
      <c r="N493" s="132"/>
      <c r="O493" s="132"/>
      <c r="P493" s="133">
        <f>SUM(P494:P506)</f>
        <v>0</v>
      </c>
      <c r="Q493" s="132"/>
      <c r="R493" s="133">
        <f>SUM(R494:R506)</f>
        <v>0</v>
      </c>
      <c r="S493" s="132"/>
      <c r="T493" s="134">
        <f>SUM(T494:T506)</f>
        <v>15.813765</v>
      </c>
      <c r="AR493" s="127" t="s">
        <v>87</v>
      </c>
      <c r="AT493" s="135" t="s">
        <v>76</v>
      </c>
      <c r="AU493" s="135" t="s">
        <v>85</v>
      </c>
      <c r="AY493" s="127" t="s">
        <v>177</v>
      </c>
      <c r="BK493" s="136">
        <f>SUM(BK494:BK506)</f>
        <v>0</v>
      </c>
    </row>
    <row r="494" spans="1:65" s="2" customFormat="1" ht="16.5" customHeight="1">
      <c r="A494" s="34"/>
      <c r="B494" s="139"/>
      <c r="C494" s="140" t="s">
        <v>1276</v>
      </c>
      <c r="D494" s="140" t="s">
        <v>180</v>
      </c>
      <c r="E494" s="141" t="s">
        <v>1277</v>
      </c>
      <c r="F494" s="142" t="s">
        <v>1278</v>
      </c>
      <c r="G494" s="143" t="s">
        <v>476</v>
      </c>
      <c r="H494" s="144">
        <v>231.38200000000001</v>
      </c>
      <c r="I494" s="145"/>
      <c r="J494" s="146">
        <f>ROUND(I494*H494,2)</f>
        <v>0</v>
      </c>
      <c r="K494" s="142" t="s">
        <v>184</v>
      </c>
      <c r="L494" s="35"/>
      <c r="M494" s="147" t="s">
        <v>3</v>
      </c>
      <c r="N494" s="148" t="s">
        <v>48</v>
      </c>
      <c r="O494" s="55"/>
      <c r="P494" s="149">
        <f>O494*H494</f>
        <v>0</v>
      </c>
      <c r="Q494" s="149">
        <v>0</v>
      </c>
      <c r="R494" s="149">
        <f>Q494*H494</f>
        <v>0</v>
      </c>
      <c r="S494" s="149">
        <v>2.4E-2</v>
      </c>
      <c r="T494" s="150">
        <f>S494*H494</f>
        <v>5.5531680000000003</v>
      </c>
      <c r="U494" s="34"/>
      <c r="V494" s="34"/>
      <c r="W494" s="34"/>
      <c r="X494" s="34"/>
      <c r="Y494" s="34"/>
      <c r="Z494" s="34"/>
      <c r="AA494" s="34"/>
      <c r="AB494" s="34"/>
      <c r="AC494" s="34"/>
      <c r="AD494" s="34"/>
      <c r="AE494" s="34"/>
      <c r="AR494" s="151" t="s">
        <v>237</v>
      </c>
      <c r="AT494" s="151" t="s">
        <v>180</v>
      </c>
      <c r="AU494" s="151" t="s">
        <v>87</v>
      </c>
      <c r="AY494" s="19" t="s">
        <v>177</v>
      </c>
      <c r="BE494" s="152">
        <f>IF(N494="základní",J494,0)</f>
        <v>0</v>
      </c>
      <c r="BF494" s="152">
        <f>IF(N494="snížená",J494,0)</f>
        <v>0</v>
      </c>
      <c r="BG494" s="152">
        <f>IF(N494="zákl. přenesená",J494,0)</f>
        <v>0</v>
      </c>
      <c r="BH494" s="152">
        <f>IF(N494="sníž. přenesená",J494,0)</f>
        <v>0</v>
      </c>
      <c r="BI494" s="152">
        <f>IF(N494="nulová",J494,0)</f>
        <v>0</v>
      </c>
      <c r="BJ494" s="19" t="s">
        <v>85</v>
      </c>
      <c r="BK494" s="152">
        <f>ROUND(I494*H494,2)</f>
        <v>0</v>
      </c>
      <c r="BL494" s="19" t="s">
        <v>237</v>
      </c>
      <c r="BM494" s="151" t="s">
        <v>1279</v>
      </c>
    </row>
    <row r="495" spans="1:65" s="2" customFormat="1">
      <c r="A495" s="34"/>
      <c r="B495" s="35"/>
      <c r="C495" s="34"/>
      <c r="D495" s="153" t="s">
        <v>187</v>
      </c>
      <c r="E495" s="34"/>
      <c r="F495" s="154" t="s">
        <v>1280</v>
      </c>
      <c r="G495" s="34"/>
      <c r="H495" s="34"/>
      <c r="I495" s="155"/>
      <c r="J495" s="34"/>
      <c r="K495" s="34"/>
      <c r="L495" s="35"/>
      <c r="M495" s="156"/>
      <c r="N495" s="157"/>
      <c r="O495" s="55"/>
      <c r="P495" s="55"/>
      <c r="Q495" s="55"/>
      <c r="R495" s="55"/>
      <c r="S495" s="55"/>
      <c r="T495" s="56"/>
      <c r="U495" s="34"/>
      <c r="V495" s="34"/>
      <c r="W495" s="34"/>
      <c r="X495" s="34"/>
      <c r="Y495" s="34"/>
      <c r="Z495" s="34"/>
      <c r="AA495" s="34"/>
      <c r="AB495" s="34"/>
      <c r="AC495" s="34"/>
      <c r="AD495" s="34"/>
      <c r="AE495" s="34"/>
      <c r="AT495" s="19" t="s">
        <v>187</v>
      </c>
      <c r="AU495" s="19" t="s">
        <v>87</v>
      </c>
    </row>
    <row r="496" spans="1:65" s="2" customFormat="1">
      <c r="A496" s="34"/>
      <c r="B496" s="35"/>
      <c r="C496" s="34"/>
      <c r="D496" s="158" t="s">
        <v>189</v>
      </c>
      <c r="E496" s="34"/>
      <c r="F496" s="159" t="s">
        <v>1281</v>
      </c>
      <c r="G496" s="34"/>
      <c r="H496" s="34"/>
      <c r="I496" s="155"/>
      <c r="J496" s="34"/>
      <c r="K496" s="34"/>
      <c r="L496" s="35"/>
      <c r="M496" s="156"/>
      <c r="N496" s="157"/>
      <c r="O496" s="55"/>
      <c r="P496" s="55"/>
      <c r="Q496" s="55"/>
      <c r="R496" s="55"/>
      <c r="S496" s="55"/>
      <c r="T496" s="56"/>
      <c r="U496" s="34"/>
      <c r="V496" s="34"/>
      <c r="W496" s="34"/>
      <c r="X496" s="34"/>
      <c r="Y496" s="34"/>
      <c r="Z496" s="34"/>
      <c r="AA496" s="34"/>
      <c r="AB496" s="34"/>
      <c r="AC496" s="34"/>
      <c r="AD496" s="34"/>
      <c r="AE496" s="34"/>
      <c r="AT496" s="19" t="s">
        <v>189</v>
      </c>
      <c r="AU496" s="19" t="s">
        <v>87</v>
      </c>
    </row>
    <row r="497" spans="1:65" s="14" customFormat="1">
      <c r="B497" s="169"/>
      <c r="D497" s="153" t="s">
        <v>193</v>
      </c>
      <c r="E497" s="170" t="s">
        <v>3</v>
      </c>
      <c r="F497" s="171" t="s">
        <v>1282</v>
      </c>
      <c r="H497" s="170" t="s">
        <v>3</v>
      </c>
      <c r="I497" s="172"/>
      <c r="L497" s="169"/>
      <c r="M497" s="173"/>
      <c r="N497" s="174"/>
      <c r="O497" s="174"/>
      <c r="P497" s="174"/>
      <c r="Q497" s="174"/>
      <c r="R497" s="174"/>
      <c r="S497" s="174"/>
      <c r="T497" s="175"/>
      <c r="AT497" s="170" t="s">
        <v>193</v>
      </c>
      <c r="AU497" s="170" t="s">
        <v>87</v>
      </c>
      <c r="AV497" s="14" t="s">
        <v>85</v>
      </c>
      <c r="AW497" s="14" t="s">
        <v>36</v>
      </c>
      <c r="AX497" s="14" t="s">
        <v>77</v>
      </c>
      <c r="AY497" s="170" t="s">
        <v>177</v>
      </c>
    </row>
    <row r="498" spans="1:65" s="13" customFormat="1">
      <c r="B498" s="161"/>
      <c r="D498" s="153" t="s">
        <v>193</v>
      </c>
      <c r="E498" s="162" t="s">
        <v>3</v>
      </c>
      <c r="F498" s="163" t="s">
        <v>1283</v>
      </c>
      <c r="H498" s="164">
        <v>231.38200000000001</v>
      </c>
      <c r="I498" s="165"/>
      <c r="L498" s="161"/>
      <c r="M498" s="166"/>
      <c r="N498" s="167"/>
      <c r="O498" s="167"/>
      <c r="P498" s="167"/>
      <c r="Q498" s="167"/>
      <c r="R498" s="167"/>
      <c r="S498" s="167"/>
      <c r="T498" s="168"/>
      <c r="AT498" s="162" t="s">
        <v>193</v>
      </c>
      <c r="AU498" s="162" t="s">
        <v>87</v>
      </c>
      <c r="AV498" s="13" t="s">
        <v>87</v>
      </c>
      <c r="AW498" s="13" t="s">
        <v>36</v>
      </c>
      <c r="AX498" s="13" t="s">
        <v>85</v>
      </c>
      <c r="AY498" s="162" t="s">
        <v>177</v>
      </c>
    </row>
    <row r="499" spans="1:65" s="2" customFormat="1" ht="16.5" customHeight="1">
      <c r="A499" s="34"/>
      <c r="B499" s="139"/>
      <c r="C499" s="140" t="s">
        <v>1284</v>
      </c>
      <c r="D499" s="140" t="s">
        <v>180</v>
      </c>
      <c r="E499" s="141" t="s">
        <v>1285</v>
      </c>
      <c r="F499" s="142" t="s">
        <v>1286</v>
      </c>
      <c r="G499" s="143" t="s">
        <v>332</v>
      </c>
      <c r="H499" s="144">
        <v>330.98700000000002</v>
      </c>
      <c r="I499" s="145"/>
      <c r="J499" s="146">
        <f>ROUND(I499*H499,2)</f>
        <v>0</v>
      </c>
      <c r="K499" s="142" t="s">
        <v>184</v>
      </c>
      <c r="L499" s="35"/>
      <c r="M499" s="147" t="s">
        <v>3</v>
      </c>
      <c r="N499" s="148" t="s">
        <v>48</v>
      </c>
      <c r="O499" s="55"/>
      <c r="P499" s="149">
        <f>O499*H499</f>
        <v>0</v>
      </c>
      <c r="Q499" s="149">
        <v>0</v>
      </c>
      <c r="R499" s="149">
        <f>Q499*H499</f>
        <v>0</v>
      </c>
      <c r="S499" s="149">
        <v>3.1E-2</v>
      </c>
      <c r="T499" s="150">
        <f>S499*H499</f>
        <v>10.260597000000001</v>
      </c>
      <c r="U499" s="34"/>
      <c r="V499" s="34"/>
      <c r="W499" s="34"/>
      <c r="X499" s="34"/>
      <c r="Y499" s="34"/>
      <c r="Z499" s="34"/>
      <c r="AA499" s="34"/>
      <c r="AB499" s="34"/>
      <c r="AC499" s="34"/>
      <c r="AD499" s="34"/>
      <c r="AE499" s="34"/>
      <c r="AR499" s="151" t="s">
        <v>237</v>
      </c>
      <c r="AT499" s="151" t="s">
        <v>180</v>
      </c>
      <c r="AU499" s="151" t="s">
        <v>87</v>
      </c>
      <c r="AY499" s="19" t="s">
        <v>177</v>
      </c>
      <c r="BE499" s="152">
        <f>IF(N499="základní",J499,0)</f>
        <v>0</v>
      </c>
      <c r="BF499" s="152">
        <f>IF(N499="snížená",J499,0)</f>
        <v>0</v>
      </c>
      <c r="BG499" s="152">
        <f>IF(N499="zákl. přenesená",J499,0)</f>
        <v>0</v>
      </c>
      <c r="BH499" s="152">
        <f>IF(N499="sníž. přenesená",J499,0)</f>
        <v>0</v>
      </c>
      <c r="BI499" s="152">
        <f>IF(N499="nulová",J499,0)</f>
        <v>0</v>
      </c>
      <c r="BJ499" s="19" t="s">
        <v>85</v>
      </c>
      <c r="BK499" s="152">
        <f>ROUND(I499*H499,2)</f>
        <v>0</v>
      </c>
      <c r="BL499" s="19" t="s">
        <v>237</v>
      </c>
      <c r="BM499" s="151" t="s">
        <v>1287</v>
      </c>
    </row>
    <row r="500" spans="1:65" s="2" customFormat="1" ht="19.5">
      <c r="A500" s="34"/>
      <c r="B500" s="35"/>
      <c r="C500" s="34"/>
      <c r="D500" s="153" t="s">
        <v>187</v>
      </c>
      <c r="E500" s="34"/>
      <c r="F500" s="154" t="s">
        <v>1288</v>
      </c>
      <c r="G500" s="34"/>
      <c r="H500" s="34"/>
      <c r="I500" s="155"/>
      <c r="J500" s="34"/>
      <c r="K500" s="34"/>
      <c r="L500" s="35"/>
      <c r="M500" s="156"/>
      <c r="N500" s="157"/>
      <c r="O500" s="55"/>
      <c r="P500" s="55"/>
      <c r="Q500" s="55"/>
      <c r="R500" s="55"/>
      <c r="S500" s="55"/>
      <c r="T500" s="56"/>
      <c r="U500" s="34"/>
      <c r="V500" s="34"/>
      <c r="W500" s="34"/>
      <c r="X500" s="34"/>
      <c r="Y500" s="34"/>
      <c r="Z500" s="34"/>
      <c r="AA500" s="34"/>
      <c r="AB500" s="34"/>
      <c r="AC500" s="34"/>
      <c r="AD500" s="34"/>
      <c r="AE500" s="34"/>
      <c r="AT500" s="19" t="s">
        <v>187</v>
      </c>
      <c r="AU500" s="19" t="s">
        <v>87</v>
      </c>
    </row>
    <row r="501" spans="1:65" s="2" customFormat="1">
      <c r="A501" s="34"/>
      <c r="B501" s="35"/>
      <c r="C501" s="34"/>
      <c r="D501" s="158" t="s">
        <v>189</v>
      </c>
      <c r="E501" s="34"/>
      <c r="F501" s="159" t="s">
        <v>1289</v>
      </c>
      <c r="G501" s="34"/>
      <c r="H501" s="34"/>
      <c r="I501" s="155"/>
      <c r="J501" s="34"/>
      <c r="K501" s="34"/>
      <c r="L501" s="35"/>
      <c r="M501" s="156"/>
      <c r="N501" s="157"/>
      <c r="O501" s="55"/>
      <c r="P501" s="55"/>
      <c r="Q501" s="55"/>
      <c r="R501" s="55"/>
      <c r="S501" s="55"/>
      <c r="T501" s="56"/>
      <c r="U501" s="34"/>
      <c r="V501" s="34"/>
      <c r="W501" s="34"/>
      <c r="X501" s="34"/>
      <c r="Y501" s="34"/>
      <c r="Z501" s="34"/>
      <c r="AA501" s="34"/>
      <c r="AB501" s="34"/>
      <c r="AC501" s="34"/>
      <c r="AD501" s="34"/>
      <c r="AE501" s="34"/>
      <c r="AT501" s="19" t="s">
        <v>189</v>
      </c>
      <c r="AU501" s="19" t="s">
        <v>87</v>
      </c>
    </row>
    <row r="502" spans="1:65" s="14" customFormat="1">
      <c r="B502" s="169"/>
      <c r="D502" s="153" t="s">
        <v>193</v>
      </c>
      <c r="E502" s="170" t="s">
        <v>3</v>
      </c>
      <c r="F502" s="171" t="s">
        <v>1008</v>
      </c>
      <c r="H502" s="170" t="s">
        <v>3</v>
      </c>
      <c r="I502" s="172"/>
      <c r="L502" s="169"/>
      <c r="M502" s="173"/>
      <c r="N502" s="174"/>
      <c r="O502" s="174"/>
      <c r="P502" s="174"/>
      <c r="Q502" s="174"/>
      <c r="R502" s="174"/>
      <c r="S502" s="174"/>
      <c r="T502" s="175"/>
      <c r="AT502" s="170" t="s">
        <v>193</v>
      </c>
      <c r="AU502" s="170" t="s">
        <v>87</v>
      </c>
      <c r="AV502" s="14" t="s">
        <v>85</v>
      </c>
      <c r="AW502" s="14" t="s">
        <v>36</v>
      </c>
      <c r="AX502" s="14" t="s">
        <v>77</v>
      </c>
      <c r="AY502" s="170" t="s">
        <v>177</v>
      </c>
    </row>
    <row r="503" spans="1:65" s="13" customFormat="1">
      <c r="B503" s="161"/>
      <c r="D503" s="153" t="s">
        <v>193</v>
      </c>
      <c r="E503" s="162" t="s">
        <v>3</v>
      </c>
      <c r="F503" s="163" t="s">
        <v>1036</v>
      </c>
      <c r="H503" s="164">
        <v>41.76</v>
      </c>
      <c r="I503" s="165"/>
      <c r="L503" s="161"/>
      <c r="M503" s="166"/>
      <c r="N503" s="167"/>
      <c r="O503" s="167"/>
      <c r="P503" s="167"/>
      <c r="Q503" s="167"/>
      <c r="R503" s="167"/>
      <c r="S503" s="167"/>
      <c r="T503" s="168"/>
      <c r="AT503" s="162" t="s">
        <v>193</v>
      </c>
      <c r="AU503" s="162" t="s">
        <v>87</v>
      </c>
      <c r="AV503" s="13" t="s">
        <v>87</v>
      </c>
      <c r="AW503" s="13" t="s">
        <v>36</v>
      </c>
      <c r="AX503" s="13" t="s">
        <v>77</v>
      </c>
      <c r="AY503" s="162" t="s">
        <v>177</v>
      </c>
    </row>
    <row r="504" spans="1:65" s="14" customFormat="1">
      <c r="B504" s="169"/>
      <c r="D504" s="153" t="s">
        <v>193</v>
      </c>
      <c r="E504" s="170" t="s">
        <v>3</v>
      </c>
      <c r="F504" s="171" t="s">
        <v>1246</v>
      </c>
      <c r="H504" s="170" t="s">
        <v>3</v>
      </c>
      <c r="I504" s="172"/>
      <c r="L504" s="169"/>
      <c r="M504" s="173"/>
      <c r="N504" s="174"/>
      <c r="O504" s="174"/>
      <c r="P504" s="174"/>
      <c r="Q504" s="174"/>
      <c r="R504" s="174"/>
      <c r="S504" s="174"/>
      <c r="T504" s="175"/>
      <c r="AT504" s="170" t="s">
        <v>193</v>
      </c>
      <c r="AU504" s="170" t="s">
        <v>87</v>
      </c>
      <c r="AV504" s="14" t="s">
        <v>85</v>
      </c>
      <c r="AW504" s="14" t="s">
        <v>36</v>
      </c>
      <c r="AX504" s="14" t="s">
        <v>77</v>
      </c>
      <c r="AY504" s="170" t="s">
        <v>177</v>
      </c>
    </row>
    <row r="505" spans="1:65" s="13" customFormat="1">
      <c r="B505" s="161"/>
      <c r="D505" s="153" t="s">
        <v>193</v>
      </c>
      <c r="E505" s="162" t="s">
        <v>3</v>
      </c>
      <c r="F505" s="163" t="s">
        <v>1247</v>
      </c>
      <c r="H505" s="164">
        <v>289.22699999999998</v>
      </c>
      <c r="I505" s="165"/>
      <c r="L505" s="161"/>
      <c r="M505" s="166"/>
      <c r="N505" s="167"/>
      <c r="O505" s="167"/>
      <c r="P505" s="167"/>
      <c r="Q505" s="167"/>
      <c r="R505" s="167"/>
      <c r="S505" s="167"/>
      <c r="T505" s="168"/>
      <c r="AT505" s="162" t="s">
        <v>193</v>
      </c>
      <c r="AU505" s="162" t="s">
        <v>87</v>
      </c>
      <c r="AV505" s="13" t="s">
        <v>87</v>
      </c>
      <c r="AW505" s="13" t="s">
        <v>36</v>
      </c>
      <c r="AX505" s="13" t="s">
        <v>77</v>
      </c>
      <c r="AY505" s="162" t="s">
        <v>177</v>
      </c>
    </row>
    <row r="506" spans="1:65" s="16" customFormat="1">
      <c r="B506" s="184"/>
      <c r="D506" s="153" t="s">
        <v>193</v>
      </c>
      <c r="E506" s="185" t="s">
        <v>3</v>
      </c>
      <c r="F506" s="186" t="s">
        <v>201</v>
      </c>
      <c r="H506" s="187">
        <v>330.98700000000002</v>
      </c>
      <c r="I506" s="188"/>
      <c r="L506" s="184"/>
      <c r="M506" s="189"/>
      <c r="N506" s="190"/>
      <c r="O506" s="190"/>
      <c r="P506" s="190"/>
      <c r="Q506" s="190"/>
      <c r="R506" s="190"/>
      <c r="S506" s="190"/>
      <c r="T506" s="191"/>
      <c r="AT506" s="185" t="s">
        <v>193</v>
      </c>
      <c r="AU506" s="185" t="s">
        <v>87</v>
      </c>
      <c r="AV506" s="16" t="s">
        <v>185</v>
      </c>
      <c r="AW506" s="16" t="s">
        <v>36</v>
      </c>
      <c r="AX506" s="16" t="s">
        <v>85</v>
      </c>
      <c r="AY506" s="185" t="s">
        <v>177</v>
      </c>
    </row>
    <row r="507" spans="1:65" s="12" customFormat="1" ht="22.9" customHeight="1">
      <c r="B507" s="126"/>
      <c r="D507" s="127" t="s">
        <v>76</v>
      </c>
      <c r="E507" s="137" t="s">
        <v>1290</v>
      </c>
      <c r="F507" s="137" t="s">
        <v>1291</v>
      </c>
      <c r="I507" s="129"/>
      <c r="J507" s="138">
        <f>BK507</f>
        <v>0</v>
      </c>
      <c r="L507" s="126"/>
      <c r="M507" s="131"/>
      <c r="N507" s="132"/>
      <c r="O507" s="132"/>
      <c r="P507" s="133">
        <f>SUM(P508:P530)</f>
        <v>0</v>
      </c>
      <c r="Q507" s="132"/>
      <c r="R507" s="133">
        <f>SUM(R508:R530)</f>
        <v>0</v>
      </c>
      <c r="S507" s="132"/>
      <c r="T507" s="134">
        <f>SUM(T508:T530)</f>
        <v>0.37768411999999996</v>
      </c>
      <c r="AR507" s="127" t="s">
        <v>87</v>
      </c>
      <c r="AT507" s="135" t="s">
        <v>76</v>
      </c>
      <c r="AU507" s="135" t="s">
        <v>85</v>
      </c>
      <c r="AY507" s="127" t="s">
        <v>177</v>
      </c>
      <c r="BK507" s="136">
        <f>SUM(BK508:BK530)</f>
        <v>0</v>
      </c>
    </row>
    <row r="508" spans="1:65" s="2" customFormat="1" ht="16.5" customHeight="1">
      <c r="A508" s="34"/>
      <c r="B508" s="139"/>
      <c r="C508" s="140" t="s">
        <v>1292</v>
      </c>
      <c r="D508" s="140" t="s">
        <v>180</v>
      </c>
      <c r="E508" s="141" t="s">
        <v>1293</v>
      </c>
      <c r="F508" s="142" t="s">
        <v>1294</v>
      </c>
      <c r="G508" s="143" t="s">
        <v>236</v>
      </c>
      <c r="H508" s="144">
        <v>1</v>
      </c>
      <c r="I508" s="145"/>
      <c r="J508" s="146">
        <f>ROUND(I508*H508,2)</f>
        <v>0</v>
      </c>
      <c r="K508" s="142" t="s">
        <v>184</v>
      </c>
      <c r="L508" s="35"/>
      <c r="M508" s="147" t="s">
        <v>3</v>
      </c>
      <c r="N508" s="148" t="s">
        <v>48</v>
      </c>
      <c r="O508" s="55"/>
      <c r="P508" s="149">
        <f>O508*H508</f>
        <v>0</v>
      </c>
      <c r="Q508" s="149">
        <v>0</v>
      </c>
      <c r="R508" s="149">
        <f>Q508*H508</f>
        <v>0</v>
      </c>
      <c r="S508" s="149">
        <v>9.0600000000000003E-3</v>
      </c>
      <c r="T508" s="150">
        <f>S508*H508</f>
        <v>9.0600000000000003E-3</v>
      </c>
      <c r="U508" s="34"/>
      <c r="V508" s="34"/>
      <c r="W508" s="34"/>
      <c r="X508" s="34"/>
      <c r="Y508" s="34"/>
      <c r="Z508" s="34"/>
      <c r="AA508" s="34"/>
      <c r="AB508" s="34"/>
      <c r="AC508" s="34"/>
      <c r="AD508" s="34"/>
      <c r="AE508" s="34"/>
      <c r="AR508" s="151" t="s">
        <v>237</v>
      </c>
      <c r="AT508" s="151" t="s">
        <v>180</v>
      </c>
      <c r="AU508" s="151" t="s">
        <v>87</v>
      </c>
      <c r="AY508" s="19" t="s">
        <v>177</v>
      </c>
      <c r="BE508" s="152">
        <f>IF(N508="základní",J508,0)</f>
        <v>0</v>
      </c>
      <c r="BF508" s="152">
        <f>IF(N508="snížená",J508,0)</f>
        <v>0</v>
      </c>
      <c r="BG508" s="152">
        <f>IF(N508="zákl. přenesená",J508,0)</f>
        <v>0</v>
      </c>
      <c r="BH508" s="152">
        <f>IF(N508="sníž. přenesená",J508,0)</f>
        <v>0</v>
      </c>
      <c r="BI508" s="152">
        <f>IF(N508="nulová",J508,0)</f>
        <v>0</v>
      </c>
      <c r="BJ508" s="19" t="s">
        <v>85</v>
      </c>
      <c r="BK508" s="152">
        <f>ROUND(I508*H508,2)</f>
        <v>0</v>
      </c>
      <c r="BL508" s="19" t="s">
        <v>237</v>
      </c>
      <c r="BM508" s="151" t="s">
        <v>1295</v>
      </c>
    </row>
    <row r="509" spans="1:65" s="2" customFormat="1">
      <c r="A509" s="34"/>
      <c r="B509" s="35"/>
      <c r="C509" s="34"/>
      <c r="D509" s="153" t="s">
        <v>187</v>
      </c>
      <c r="E509" s="34"/>
      <c r="F509" s="154" t="s">
        <v>1296</v>
      </c>
      <c r="G509" s="34"/>
      <c r="H509" s="34"/>
      <c r="I509" s="155"/>
      <c r="J509" s="34"/>
      <c r="K509" s="34"/>
      <c r="L509" s="35"/>
      <c r="M509" s="156"/>
      <c r="N509" s="157"/>
      <c r="O509" s="55"/>
      <c r="P509" s="55"/>
      <c r="Q509" s="55"/>
      <c r="R509" s="55"/>
      <c r="S509" s="55"/>
      <c r="T509" s="56"/>
      <c r="U509" s="34"/>
      <c r="V509" s="34"/>
      <c r="W509" s="34"/>
      <c r="X509" s="34"/>
      <c r="Y509" s="34"/>
      <c r="Z509" s="34"/>
      <c r="AA509" s="34"/>
      <c r="AB509" s="34"/>
      <c r="AC509" s="34"/>
      <c r="AD509" s="34"/>
      <c r="AE509" s="34"/>
      <c r="AT509" s="19" t="s">
        <v>187</v>
      </c>
      <c r="AU509" s="19" t="s">
        <v>87</v>
      </c>
    </row>
    <row r="510" spans="1:65" s="2" customFormat="1">
      <c r="A510" s="34"/>
      <c r="B510" s="35"/>
      <c r="C510" s="34"/>
      <c r="D510" s="158" t="s">
        <v>189</v>
      </c>
      <c r="E510" s="34"/>
      <c r="F510" s="159" t="s">
        <v>1297</v>
      </c>
      <c r="G510" s="34"/>
      <c r="H510" s="34"/>
      <c r="I510" s="155"/>
      <c r="J510" s="34"/>
      <c r="K510" s="34"/>
      <c r="L510" s="35"/>
      <c r="M510" s="156"/>
      <c r="N510" s="157"/>
      <c r="O510" s="55"/>
      <c r="P510" s="55"/>
      <c r="Q510" s="55"/>
      <c r="R510" s="55"/>
      <c r="S510" s="55"/>
      <c r="T510" s="56"/>
      <c r="U510" s="34"/>
      <c r="V510" s="34"/>
      <c r="W510" s="34"/>
      <c r="X510" s="34"/>
      <c r="Y510" s="34"/>
      <c r="Z510" s="34"/>
      <c r="AA510" s="34"/>
      <c r="AB510" s="34"/>
      <c r="AC510" s="34"/>
      <c r="AD510" s="34"/>
      <c r="AE510" s="34"/>
      <c r="AT510" s="19" t="s">
        <v>189</v>
      </c>
      <c r="AU510" s="19" t="s">
        <v>87</v>
      </c>
    </row>
    <row r="511" spans="1:65" s="2" customFormat="1" ht="16.5" customHeight="1">
      <c r="A511" s="34"/>
      <c r="B511" s="139"/>
      <c r="C511" s="140" t="s">
        <v>1298</v>
      </c>
      <c r="D511" s="140" t="s">
        <v>180</v>
      </c>
      <c r="E511" s="141" t="s">
        <v>1299</v>
      </c>
      <c r="F511" s="142" t="s">
        <v>1300</v>
      </c>
      <c r="G511" s="143" t="s">
        <v>476</v>
      </c>
      <c r="H511" s="144">
        <v>86.42</v>
      </c>
      <c r="I511" s="145"/>
      <c r="J511" s="146">
        <f>ROUND(I511*H511,2)</f>
        <v>0</v>
      </c>
      <c r="K511" s="142" t="s">
        <v>184</v>
      </c>
      <c r="L511" s="35"/>
      <c r="M511" s="147" t="s">
        <v>3</v>
      </c>
      <c r="N511" s="148" t="s">
        <v>48</v>
      </c>
      <c r="O511" s="55"/>
      <c r="P511" s="149">
        <f>O511*H511</f>
        <v>0</v>
      </c>
      <c r="Q511" s="149">
        <v>0</v>
      </c>
      <c r="R511" s="149">
        <f>Q511*H511</f>
        <v>0</v>
      </c>
      <c r="S511" s="149">
        <v>1.91E-3</v>
      </c>
      <c r="T511" s="150">
        <f>S511*H511</f>
        <v>0.16506219999999999</v>
      </c>
      <c r="U511" s="34"/>
      <c r="V511" s="34"/>
      <c r="W511" s="34"/>
      <c r="X511" s="34"/>
      <c r="Y511" s="34"/>
      <c r="Z511" s="34"/>
      <c r="AA511" s="34"/>
      <c r="AB511" s="34"/>
      <c r="AC511" s="34"/>
      <c r="AD511" s="34"/>
      <c r="AE511" s="34"/>
      <c r="AR511" s="151" t="s">
        <v>237</v>
      </c>
      <c r="AT511" s="151" t="s">
        <v>180</v>
      </c>
      <c r="AU511" s="151" t="s">
        <v>87</v>
      </c>
      <c r="AY511" s="19" t="s">
        <v>177</v>
      </c>
      <c r="BE511" s="152">
        <f>IF(N511="základní",J511,0)</f>
        <v>0</v>
      </c>
      <c r="BF511" s="152">
        <f>IF(N511="snížená",J511,0)</f>
        <v>0</v>
      </c>
      <c r="BG511" s="152">
        <f>IF(N511="zákl. přenesená",J511,0)</f>
        <v>0</v>
      </c>
      <c r="BH511" s="152">
        <f>IF(N511="sníž. přenesená",J511,0)</f>
        <v>0</v>
      </c>
      <c r="BI511" s="152">
        <f>IF(N511="nulová",J511,0)</f>
        <v>0</v>
      </c>
      <c r="BJ511" s="19" t="s">
        <v>85</v>
      </c>
      <c r="BK511" s="152">
        <f>ROUND(I511*H511,2)</f>
        <v>0</v>
      </c>
      <c r="BL511" s="19" t="s">
        <v>237</v>
      </c>
      <c r="BM511" s="151" t="s">
        <v>1301</v>
      </c>
    </row>
    <row r="512" spans="1:65" s="2" customFormat="1">
      <c r="A512" s="34"/>
      <c r="B512" s="35"/>
      <c r="C512" s="34"/>
      <c r="D512" s="153" t="s">
        <v>187</v>
      </c>
      <c r="E512" s="34"/>
      <c r="F512" s="154" t="s">
        <v>1302</v>
      </c>
      <c r="G512" s="34"/>
      <c r="H512" s="34"/>
      <c r="I512" s="155"/>
      <c r="J512" s="34"/>
      <c r="K512" s="34"/>
      <c r="L512" s="35"/>
      <c r="M512" s="156"/>
      <c r="N512" s="157"/>
      <c r="O512" s="55"/>
      <c r="P512" s="55"/>
      <c r="Q512" s="55"/>
      <c r="R512" s="55"/>
      <c r="S512" s="55"/>
      <c r="T512" s="56"/>
      <c r="U512" s="34"/>
      <c r="V512" s="34"/>
      <c r="W512" s="34"/>
      <c r="X512" s="34"/>
      <c r="Y512" s="34"/>
      <c r="Z512" s="34"/>
      <c r="AA512" s="34"/>
      <c r="AB512" s="34"/>
      <c r="AC512" s="34"/>
      <c r="AD512" s="34"/>
      <c r="AE512" s="34"/>
      <c r="AT512" s="19" t="s">
        <v>187</v>
      </c>
      <c r="AU512" s="19" t="s">
        <v>87</v>
      </c>
    </row>
    <row r="513" spans="1:65" s="2" customFormat="1">
      <c r="A513" s="34"/>
      <c r="B513" s="35"/>
      <c r="C513" s="34"/>
      <c r="D513" s="158" t="s">
        <v>189</v>
      </c>
      <c r="E513" s="34"/>
      <c r="F513" s="159" t="s">
        <v>1303</v>
      </c>
      <c r="G513" s="34"/>
      <c r="H513" s="34"/>
      <c r="I513" s="155"/>
      <c r="J513" s="34"/>
      <c r="K513" s="34"/>
      <c r="L513" s="35"/>
      <c r="M513" s="156"/>
      <c r="N513" s="157"/>
      <c r="O513" s="55"/>
      <c r="P513" s="55"/>
      <c r="Q513" s="55"/>
      <c r="R513" s="55"/>
      <c r="S513" s="55"/>
      <c r="T513" s="56"/>
      <c r="U513" s="34"/>
      <c r="V513" s="34"/>
      <c r="W513" s="34"/>
      <c r="X513" s="34"/>
      <c r="Y513" s="34"/>
      <c r="Z513" s="34"/>
      <c r="AA513" s="34"/>
      <c r="AB513" s="34"/>
      <c r="AC513" s="34"/>
      <c r="AD513" s="34"/>
      <c r="AE513" s="34"/>
      <c r="AT513" s="19" t="s">
        <v>189</v>
      </c>
      <c r="AU513" s="19" t="s">
        <v>87</v>
      </c>
    </row>
    <row r="514" spans="1:65" s="13" customFormat="1">
      <c r="B514" s="161"/>
      <c r="D514" s="153" t="s">
        <v>193</v>
      </c>
      <c r="E514" s="162" t="s">
        <v>3</v>
      </c>
      <c r="F514" s="163" t="s">
        <v>1304</v>
      </c>
      <c r="H514" s="164">
        <v>66.400000000000006</v>
      </c>
      <c r="I514" s="165"/>
      <c r="L514" s="161"/>
      <c r="M514" s="166"/>
      <c r="N514" s="167"/>
      <c r="O514" s="167"/>
      <c r="P514" s="167"/>
      <c r="Q514" s="167"/>
      <c r="R514" s="167"/>
      <c r="S514" s="167"/>
      <c r="T514" s="168"/>
      <c r="AT514" s="162" t="s">
        <v>193</v>
      </c>
      <c r="AU514" s="162" t="s">
        <v>87</v>
      </c>
      <c r="AV514" s="13" t="s">
        <v>87</v>
      </c>
      <c r="AW514" s="13" t="s">
        <v>36</v>
      </c>
      <c r="AX514" s="13" t="s">
        <v>77</v>
      </c>
      <c r="AY514" s="162" t="s">
        <v>177</v>
      </c>
    </row>
    <row r="515" spans="1:65" s="13" customFormat="1">
      <c r="B515" s="161"/>
      <c r="D515" s="153" t="s">
        <v>193</v>
      </c>
      <c r="E515" s="162" t="s">
        <v>3</v>
      </c>
      <c r="F515" s="163" t="s">
        <v>1305</v>
      </c>
      <c r="H515" s="164">
        <v>20.02</v>
      </c>
      <c r="I515" s="165"/>
      <c r="L515" s="161"/>
      <c r="M515" s="166"/>
      <c r="N515" s="167"/>
      <c r="O515" s="167"/>
      <c r="P515" s="167"/>
      <c r="Q515" s="167"/>
      <c r="R515" s="167"/>
      <c r="S515" s="167"/>
      <c r="T515" s="168"/>
      <c r="AT515" s="162" t="s">
        <v>193</v>
      </c>
      <c r="AU515" s="162" t="s">
        <v>87</v>
      </c>
      <c r="AV515" s="13" t="s">
        <v>87</v>
      </c>
      <c r="AW515" s="13" t="s">
        <v>36</v>
      </c>
      <c r="AX515" s="13" t="s">
        <v>77</v>
      </c>
      <c r="AY515" s="162" t="s">
        <v>177</v>
      </c>
    </row>
    <row r="516" spans="1:65" s="16" customFormat="1">
      <c r="B516" s="184"/>
      <c r="D516" s="153" t="s">
        <v>193</v>
      </c>
      <c r="E516" s="185" t="s">
        <v>3</v>
      </c>
      <c r="F516" s="186" t="s">
        <v>201</v>
      </c>
      <c r="H516" s="187">
        <v>86.42</v>
      </c>
      <c r="I516" s="188"/>
      <c r="L516" s="184"/>
      <c r="M516" s="189"/>
      <c r="N516" s="190"/>
      <c r="O516" s="190"/>
      <c r="P516" s="190"/>
      <c r="Q516" s="190"/>
      <c r="R516" s="190"/>
      <c r="S516" s="190"/>
      <c r="T516" s="191"/>
      <c r="AT516" s="185" t="s">
        <v>193</v>
      </c>
      <c r="AU516" s="185" t="s">
        <v>87</v>
      </c>
      <c r="AV516" s="16" t="s">
        <v>185</v>
      </c>
      <c r="AW516" s="16" t="s">
        <v>36</v>
      </c>
      <c r="AX516" s="16" t="s">
        <v>85</v>
      </c>
      <c r="AY516" s="185" t="s">
        <v>177</v>
      </c>
    </row>
    <row r="517" spans="1:65" s="2" customFormat="1" ht="16.5" customHeight="1">
      <c r="A517" s="34"/>
      <c r="B517" s="139"/>
      <c r="C517" s="140" t="s">
        <v>1306</v>
      </c>
      <c r="D517" s="140" t="s">
        <v>180</v>
      </c>
      <c r="E517" s="141" t="s">
        <v>1307</v>
      </c>
      <c r="F517" s="142" t="s">
        <v>1308</v>
      </c>
      <c r="G517" s="143" t="s">
        <v>476</v>
      </c>
      <c r="H517" s="144">
        <v>31.8</v>
      </c>
      <c r="I517" s="145"/>
      <c r="J517" s="146">
        <f>ROUND(I517*H517,2)</f>
        <v>0</v>
      </c>
      <c r="K517" s="142" t="s">
        <v>184</v>
      </c>
      <c r="L517" s="35"/>
      <c r="M517" s="147" t="s">
        <v>3</v>
      </c>
      <c r="N517" s="148" t="s">
        <v>48</v>
      </c>
      <c r="O517" s="55"/>
      <c r="P517" s="149">
        <f>O517*H517</f>
        <v>0</v>
      </c>
      <c r="Q517" s="149">
        <v>0</v>
      </c>
      <c r="R517" s="149">
        <f>Q517*H517</f>
        <v>0</v>
      </c>
      <c r="S517" s="149">
        <v>1.67E-3</v>
      </c>
      <c r="T517" s="150">
        <f>S517*H517</f>
        <v>5.3106E-2</v>
      </c>
      <c r="U517" s="34"/>
      <c r="V517" s="34"/>
      <c r="W517" s="34"/>
      <c r="X517" s="34"/>
      <c r="Y517" s="34"/>
      <c r="Z517" s="34"/>
      <c r="AA517" s="34"/>
      <c r="AB517" s="34"/>
      <c r="AC517" s="34"/>
      <c r="AD517" s="34"/>
      <c r="AE517" s="34"/>
      <c r="AR517" s="151" t="s">
        <v>237</v>
      </c>
      <c r="AT517" s="151" t="s">
        <v>180</v>
      </c>
      <c r="AU517" s="151" t="s">
        <v>87</v>
      </c>
      <c r="AY517" s="19" t="s">
        <v>177</v>
      </c>
      <c r="BE517" s="152">
        <f>IF(N517="základní",J517,0)</f>
        <v>0</v>
      </c>
      <c r="BF517" s="152">
        <f>IF(N517="snížená",J517,0)</f>
        <v>0</v>
      </c>
      <c r="BG517" s="152">
        <f>IF(N517="zákl. přenesená",J517,0)</f>
        <v>0</v>
      </c>
      <c r="BH517" s="152">
        <f>IF(N517="sníž. přenesená",J517,0)</f>
        <v>0</v>
      </c>
      <c r="BI517" s="152">
        <f>IF(N517="nulová",J517,0)</f>
        <v>0</v>
      </c>
      <c r="BJ517" s="19" t="s">
        <v>85</v>
      </c>
      <c r="BK517" s="152">
        <f>ROUND(I517*H517,2)</f>
        <v>0</v>
      </c>
      <c r="BL517" s="19" t="s">
        <v>237</v>
      </c>
      <c r="BM517" s="151" t="s">
        <v>1309</v>
      </c>
    </row>
    <row r="518" spans="1:65" s="2" customFormat="1">
      <c r="A518" s="34"/>
      <c r="B518" s="35"/>
      <c r="C518" s="34"/>
      <c r="D518" s="153" t="s">
        <v>187</v>
      </c>
      <c r="E518" s="34"/>
      <c r="F518" s="154" t="s">
        <v>1310</v>
      </c>
      <c r="G518" s="34"/>
      <c r="H518" s="34"/>
      <c r="I518" s="155"/>
      <c r="J518" s="34"/>
      <c r="K518" s="34"/>
      <c r="L518" s="35"/>
      <c r="M518" s="156"/>
      <c r="N518" s="157"/>
      <c r="O518" s="55"/>
      <c r="P518" s="55"/>
      <c r="Q518" s="55"/>
      <c r="R518" s="55"/>
      <c r="S518" s="55"/>
      <c r="T518" s="56"/>
      <c r="U518" s="34"/>
      <c r="V518" s="34"/>
      <c r="W518" s="34"/>
      <c r="X518" s="34"/>
      <c r="Y518" s="34"/>
      <c r="Z518" s="34"/>
      <c r="AA518" s="34"/>
      <c r="AB518" s="34"/>
      <c r="AC518" s="34"/>
      <c r="AD518" s="34"/>
      <c r="AE518" s="34"/>
      <c r="AT518" s="19" t="s">
        <v>187</v>
      </c>
      <c r="AU518" s="19" t="s">
        <v>87</v>
      </c>
    </row>
    <row r="519" spans="1:65" s="2" customFormat="1">
      <c r="A519" s="34"/>
      <c r="B519" s="35"/>
      <c r="C519" s="34"/>
      <c r="D519" s="158" t="s">
        <v>189</v>
      </c>
      <c r="E519" s="34"/>
      <c r="F519" s="159" t="s">
        <v>1311</v>
      </c>
      <c r="G519" s="34"/>
      <c r="H519" s="34"/>
      <c r="I519" s="155"/>
      <c r="J519" s="34"/>
      <c r="K519" s="34"/>
      <c r="L519" s="35"/>
      <c r="M519" s="156"/>
      <c r="N519" s="157"/>
      <c r="O519" s="55"/>
      <c r="P519" s="55"/>
      <c r="Q519" s="55"/>
      <c r="R519" s="55"/>
      <c r="S519" s="55"/>
      <c r="T519" s="56"/>
      <c r="U519" s="34"/>
      <c r="V519" s="34"/>
      <c r="W519" s="34"/>
      <c r="X519" s="34"/>
      <c r="Y519" s="34"/>
      <c r="Z519" s="34"/>
      <c r="AA519" s="34"/>
      <c r="AB519" s="34"/>
      <c r="AC519" s="34"/>
      <c r="AD519" s="34"/>
      <c r="AE519" s="34"/>
      <c r="AT519" s="19" t="s">
        <v>189</v>
      </c>
      <c r="AU519" s="19" t="s">
        <v>87</v>
      </c>
    </row>
    <row r="520" spans="1:65" s="13" customFormat="1">
      <c r="B520" s="161"/>
      <c r="D520" s="153" t="s">
        <v>193</v>
      </c>
      <c r="E520" s="162" t="s">
        <v>3</v>
      </c>
      <c r="F520" s="163" t="s">
        <v>1312</v>
      </c>
      <c r="H520" s="164">
        <v>9.3000000000000007</v>
      </c>
      <c r="I520" s="165"/>
      <c r="L520" s="161"/>
      <c r="M520" s="166"/>
      <c r="N520" s="167"/>
      <c r="O520" s="167"/>
      <c r="P520" s="167"/>
      <c r="Q520" s="167"/>
      <c r="R520" s="167"/>
      <c r="S520" s="167"/>
      <c r="T520" s="168"/>
      <c r="AT520" s="162" t="s">
        <v>193</v>
      </c>
      <c r="AU520" s="162" t="s">
        <v>87</v>
      </c>
      <c r="AV520" s="13" t="s">
        <v>87</v>
      </c>
      <c r="AW520" s="13" t="s">
        <v>36</v>
      </c>
      <c r="AX520" s="13" t="s">
        <v>77</v>
      </c>
      <c r="AY520" s="162" t="s">
        <v>177</v>
      </c>
    </row>
    <row r="521" spans="1:65" s="13" customFormat="1">
      <c r="B521" s="161"/>
      <c r="D521" s="153" t="s">
        <v>193</v>
      </c>
      <c r="E521" s="162" t="s">
        <v>3</v>
      </c>
      <c r="F521" s="163" t="s">
        <v>1313</v>
      </c>
      <c r="H521" s="164">
        <v>22.5</v>
      </c>
      <c r="I521" s="165"/>
      <c r="L521" s="161"/>
      <c r="M521" s="166"/>
      <c r="N521" s="167"/>
      <c r="O521" s="167"/>
      <c r="P521" s="167"/>
      <c r="Q521" s="167"/>
      <c r="R521" s="167"/>
      <c r="S521" s="167"/>
      <c r="T521" s="168"/>
      <c r="AT521" s="162" t="s">
        <v>193</v>
      </c>
      <c r="AU521" s="162" t="s">
        <v>87</v>
      </c>
      <c r="AV521" s="13" t="s">
        <v>87</v>
      </c>
      <c r="AW521" s="13" t="s">
        <v>36</v>
      </c>
      <c r="AX521" s="13" t="s">
        <v>77</v>
      </c>
      <c r="AY521" s="162" t="s">
        <v>177</v>
      </c>
    </row>
    <row r="522" spans="1:65" s="16" customFormat="1">
      <c r="B522" s="184"/>
      <c r="D522" s="153" t="s">
        <v>193</v>
      </c>
      <c r="E522" s="185" t="s">
        <v>3</v>
      </c>
      <c r="F522" s="186" t="s">
        <v>201</v>
      </c>
      <c r="H522" s="187">
        <v>31.8</v>
      </c>
      <c r="I522" s="188"/>
      <c r="L522" s="184"/>
      <c r="M522" s="189"/>
      <c r="N522" s="190"/>
      <c r="O522" s="190"/>
      <c r="P522" s="190"/>
      <c r="Q522" s="190"/>
      <c r="R522" s="190"/>
      <c r="S522" s="190"/>
      <c r="T522" s="191"/>
      <c r="AT522" s="185" t="s">
        <v>193</v>
      </c>
      <c r="AU522" s="185" t="s">
        <v>87</v>
      </c>
      <c r="AV522" s="16" t="s">
        <v>185</v>
      </c>
      <c r="AW522" s="16" t="s">
        <v>36</v>
      </c>
      <c r="AX522" s="16" t="s">
        <v>85</v>
      </c>
      <c r="AY522" s="185" t="s">
        <v>177</v>
      </c>
    </row>
    <row r="523" spans="1:65" s="2" customFormat="1" ht="16.5" customHeight="1">
      <c r="A523" s="34"/>
      <c r="B523" s="139"/>
      <c r="C523" s="140" t="s">
        <v>1314</v>
      </c>
      <c r="D523" s="140" t="s">
        <v>180</v>
      </c>
      <c r="E523" s="141" t="s">
        <v>1315</v>
      </c>
      <c r="F523" s="142" t="s">
        <v>1316</v>
      </c>
      <c r="G523" s="143" t="s">
        <v>332</v>
      </c>
      <c r="H523" s="144">
        <v>25.763000000000002</v>
      </c>
      <c r="I523" s="145"/>
      <c r="J523" s="146">
        <f>ROUND(I523*H523,2)</f>
        <v>0</v>
      </c>
      <c r="K523" s="142" t="s">
        <v>184</v>
      </c>
      <c r="L523" s="35"/>
      <c r="M523" s="147" t="s">
        <v>3</v>
      </c>
      <c r="N523" s="148" t="s">
        <v>48</v>
      </c>
      <c r="O523" s="55"/>
      <c r="P523" s="149">
        <f>O523*H523</f>
        <v>0</v>
      </c>
      <c r="Q523" s="149">
        <v>0</v>
      </c>
      <c r="R523" s="149">
        <f>Q523*H523</f>
        <v>0</v>
      </c>
      <c r="S523" s="149">
        <v>5.8399999999999997E-3</v>
      </c>
      <c r="T523" s="150">
        <f>S523*H523</f>
        <v>0.15045591999999999</v>
      </c>
      <c r="U523" s="34"/>
      <c r="V523" s="34"/>
      <c r="W523" s="34"/>
      <c r="X523" s="34"/>
      <c r="Y523" s="34"/>
      <c r="Z523" s="34"/>
      <c r="AA523" s="34"/>
      <c r="AB523" s="34"/>
      <c r="AC523" s="34"/>
      <c r="AD523" s="34"/>
      <c r="AE523" s="34"/>
      <c r="AR523" s="151" t="s">
        <v>237</v>
      </c>
      <c r="AT523" s="151" t="s">
        <v>180</v>
      </c>
      <c r="AU523" s="151" t="s">
        <v>87</v>
      </c>
      <c r="AY523" s="19" t="s">
        <v>177</v>
      </c>
      <c r="BE523" s="152">
        <f>IF(N523="základní",J523,0)</f>
        <v>0</v>
      </c>
      <c r="BF523" s="152">
        <f>IF(N523="snížená",J523,0)</f>
        <v>0</v>
      </c>
      <c r="BG523" s="152">
        <f>IF(N523="zákl. přenesená",J523,0)</f>
        <v>0</v>
      </c>
      <c r="BH523" s="152">
        <f>IF(N523="sníž. přenesená",J523,0)</f>
        <v>0</v>
      </c>
      <c r="BI523" s="152">
        <f>IF(N523="nulová",J523,0)</f>
        <v>0</v>
      </c>
      <c r="BJ523" s="19" t="s">
        <v>85</v>
      </c>
      <c r="BK523" s="152">
        <f>ROUND(I523*H523,2)</f>
        <v>0</v>
      </c>
      <c r="BL523" s="19" t="s">
        <v>237</v>
      </c>
      <c r="BM523" s="151" t="s">
        <v>1317</v>
      </c>
    </row>
    <row r="524" spans="1:65" s="2" customFormat="1">
      <c r="A524" s="34"/>
      <c r="B524" s="35"/>
      <c r="C524" s="34"/>
      <c r="D524" s="153" t="s">
        <v>187</v>
      </c>
      <c r="E524" s="34"/>
      <c r="F524" s="154" t="s">
        <v>1318</v>
      </c>
      <c r="G524" s="34"/>
      <c r="H524" s="34"/>
      <c r="I524" s="155"/>
      <c r="J524" s="34"/>
      <c r="K524" s="34"/>
      <c r="L524" s="35"/>
      <c r="M524" s="156"/>
      <c r="N524" s="157"/>
      <c r="O524" s="55"/>
      <c r="P524" s="55"/>
      <c r="Q524" s="55"/>
      <c r="R524" s="55"/>
      <c r="S524" s="55"/>
      <c r="T524" s="56"/>
      <c r="U524" s="34"/>
      <c r="V524" s="34"/>
      <c r="W524" s="34"/>
      <c r="X524" s="34"/>
      <c r="Y524" s="34"/>
      <c r="Z524" s="34"/>
      <c r="AA524" s="34"/>
      <c r="AB524" s="34"/>
      <c r="AC524" s="34"/>
      <c r="AD524" s="34"/>
      <c r="AE524" s="34"/>
      <c r="AT524" s="19" t="s">
        <v>187</v>
      </c>
      <c r="AU524" s="19" t="s">
        <v>87</v>
      </c>
    </row>
    <row r="525" spans="1:65" s="2" customFormat="1">
      <c r="A525" s="34"/>
      <c r="B525" s="35"/>
      <c r="C525" s="34"/>
      <c r="D525" s="158" t="s">
        <v>189</v>
      </c>
      <c r="E525" s="34"/>
      <c r="F525" s="159" t="s">
        <v>1319</v>
      </c>
      <c r="G525" s="34"/>
      <c r="H525" s="34"/>
      <c r="I525" s="155"/>
      <c r="J525" s="34"/>
      <c r="K525" s="34"/>
      <c r="L525" s="35"/>
      <c r="M525" s="156"/>
      <c r="N525" s="157"/>
      <c r="O525" s="55"/>
      <c r="P525" s="55"/>
      <c r="Q525" s="55"/>
      <c r="R525" s="55"/>
      <c r="S525" s="55"/>
      <c r="T525" s="56"/>
      <c r="U525" s="34"/>
      <c r="V525" s="34"/>
      <c r="W525" s="34"/>
      <c r="X525" s="34"/>
      <c r="Y525" s="34"/>
      <c r="Z525" s="34"/>
      <c r="AA525" s="34"/>
      <c r="AB525" s="34"/>
      <c r="AC525" s="34"/>
      <c r="AD525" s="34"/>
      <c r="AE525" s="34"/>
      <c r="AT525" s="19" t="s">
        <v>189</v>
      </c>
      <c r="AU525" s="19" t="s">
        <v>87</v>
      </c>
    </row>
    <row r="526" spans="1:65" s="14" customFormat="1">
      <c r="B526" s="169"/>
      <c r="D526" s="153" t="s">
        <v>193</v>
      </c>
      <c r="E526" s="170" t="s">
        <v>3</v>
      </c>
      <c r="F526" s="171" t="s">
        <v>1320</v>
      </c>
      <c r="H526" s="170" t="s">
        <v>3</v>
      </c>
      <c r="I526" s="172"/>
      <c r="L526" s="169"/>
      <c r="M526" s="173"/>
      <c r="N526" s="174"/>
      <c r="O526" s="174"/>
      <c r="P526" s="174"/>
      <c r="Q526" s="174"/>
      <c r="R526" s="174"/>
      <c r="S526" s="174"/>
      <c r="T526" s="175"/>
      <c r="AT526" s="170" t="s">
        <v>193</v>
      </c>
      <c r="AU526" s="170" t="s">
        <v>87</v>
      </c>
      <c r="AV526" s="14" t="s">
        <v>85</v>
      </c>
      <c r="AW526" s="14" t="s">
        <v>36</v>
      </c>
      <c r="AX526" s="14" t="s">
        <v>77</v>
      </c>
      <c r="AY526" s="170" t="s">
        <v>177</v>
      </c>
    </row>
    <row r="527" spans="1:65" s="13" customFormat="1">
      <c r="B527" s="161"/>
      <c r="D527" s="153" t="s">
        <v>193</v>
      </c>
      <c r="E527" s="162" t="s">
        <v>3</v>
      </c>
      <c r="F527" s="163" t="s">
        <v>1321</v>
      </c>
      <c r="H527" s="164">
        <v>15.6</v>
      </c>
      <c r="I527" s="165"/>
      <c r="L527" s="161"/>
      <c r="M527" s="166"/>
      <c r="N527" s="167"/>
      <c r="O527" s="167"/>
      <c r="P527" s="167"/>
      <c r="Q527" s="167"/>
      <c r="R527" s="167"/>
      <c r="S527" s="167"/>
      <c r="T527" s="168"/>
      <c r="AT527" s="162" t="s">
        <v>193</v>
      </c>
      <c r="AU527" s="162" t="s">
        <v>87</v>
      </c>
      <c r="AV527" s="13" t="s">
        <v>87</v>
      </c>
      <c r="AW527" s="13" t="s">
        <v>36</v>
      </c>
      <c r="AX527" s="13" t="s">
        <v>77</v>
      </c>
      <c r="AY527" s="162" t="s">
        <v>177</v>
      </c>
    </row>
    <row r="528" spans="1:65" s="14" customFormat="1">
      <c r="B528" s="169"/>
      <c r="D528" s="153" t="s">
        <v>193</v>
      </c>
      <c r="E528" s="170" t="s">
        <v>3</v>
      </c>
      <c r="F528" s="171" t="s">
        <v>1322</v>
      </c>
      <c r="H528" s="170" t="s">
        <v>3</v>
      </c>
      <c r="I528" s="172"/>
      <c r="L528" s="169"/>
      <c r="M528" s="173"/>
      <c r="N528" s="174"/>
      <c r="O528" s="174"/>
      <c r="P528" s="174"/>
      <c r="Q528" s="174"/>
      <c r="R528" s="174"/>
      <c r="S528" s="174"/>
      <c r="T528" s="175"/>
      <c r="AT528" s="170" t="s">
        <v>193</v>
      </c>
      <c r="AU528" s="170" t="s">
        <v>87</v>
      </c>
      <c r="AV528" s="14" t="s">
        <v>85</v>
      </c>
      <c r="AW528" s="14" t="s">
        <v>36</v>
      </c>
      <c r="AX528" s="14" t="s">
        <v>77</v>
      </c>
      <c r="AY528" s="170" t="s">
        <v>177</v>
      </c>
    </row>
    <row r="529" spans="1:65" s="13" customFormat="1">
      <c r="B529" s="161"/>
      <c r="D529" s="153" t="s">
        <v>193</v>
      </c>
      <c r="E529" s="162" t="s">
        <v>3</v>
      </c>
      <c r="F529" s="163" t="s">
        <v>1323</v>
      </c>
      <c r="H529" s="164">
        <v>10.163</v>
      </c>
      <c r="I529" s="165"/>
      <c r="L529" s="161"/>
      <c r="M529" s="166"/>
      <c r="N529" s="167"/>
      <c r="O529" s="167"/>
      <c r="P529" s="167"/>
      <c r="Q529" s="167"/>
      <c r="R529" s="167"/>
      <c r="S529" s="167"/>
      <c r="T529" s="168"/>
      <c r="AT529" s="162" t="s">
        <v>193</v>
      </c>
      <c r="AU529" s="162" t="s">
        <v>87</v>
      </c>
      <c r="AV529" s="13" t="s">
        <v>87</v>
      </c>
      <c r="AW529" s="13" t="s">
        <v>36</v>
      </c>
      <c r="AX529" s="13" t="s">
        <v>77</v>
      </c>
      <c r="AY529" s="162" t="s">
        <v>177</v>
      </c>
    </row>
    <row r="530" spans="1:65" s="16" customFormat="1">
      <c r="B530" s="184"/>
      <c r="D530" s="153" t="s">
        <v>193</v>
      </c>
      <c r="E530" s="185" t="s">
        <v>3</v>
      </c>
      <c r="F530" s="186" t="s">
        <v>201</v>
      </c>
      <c r="H530" s="187">
        <v>25.763000000000002</v>
      </c>
      <c r="I530" s="188"/>
      <c r="L530" s="184"/>
      <c r="M530" s="189"/>
      <c r="N530" s="190"/>
      <c r="O530" s="190"/>
      <c r="P530" s="190"/>
      <c r="Q530" s="190"/>
      <c r="R530" s="190"/>
      <c r="S530" s="190"/>
      <c r="T530" s="191"/>
      <c r="AT530" s="185" t="s">
        <v>193</v>
      </c>
      <c r="AU530" s="185" t="s">
        <v>87</v>
      </c>
      <c r="AV530" s="16" t="s">
        <v>185</v>
      </c>
      <c r="AW530" s="16" t="s">
        <v>36</v>
      </c>
      <c r="AX530" s="16" t="s">
        <v>85</v>
      </c>
      <c r="AY530" s="185" t="s">
        <v>177</v>
      </c>
    </row>
    <row r="531" spans="1:65" s="12" customFormat="1" ht="22.9" customHeight="1">
      <c r="B531" s="126"/>
      <c r="D531" s="127" t="s">
        <v>76</v>
      </c>
      <c r="E531" s="137" t="s">
        <v>1324</v>
      </c>
      <c r="F531" s="137" t="s">
        <v>1325</v>
      </c>
      <c r="I531" s="129"/>
      <c r="J531" s="138">
        <f>BK531</f>
        <v>0</v>
      </c>
      <c r="L531" s="126"/>
      <c r="M531" s="131"/>
      <c r="N531" s="132"/>
      <c r="O531" s="132"/>
      <c r="P531" s="133">
        <f>SUM(P532:P539)</f>
        <v>0</v>
      </c>
      <c r="Q531" s="132"/>
      <c r="R531" s="133">
        <f>SUM(R532:R539)</f>
        <v>0</v>
      </c>
      <c r="S531" s="132"/>
      <c r="T531" s="134">
        <f>SUM(T532:T539)</f>
        <v>0.39600000000000002</v>
      </c>
      <c r="AR531" s="127" t="s">
        <v>87</v>
      </c>
      <c r="AT531" s="135" t="s">
        <v>76</v>
      </c>
      <c r="AU531" s="135" t="s">
        <v>85</v>
      </c>
      <c r="AY531" s="127" t="s">
        <v>177</v>
      </c>
      <c r="BK531" s="136">
        <f>SUM(BK532:BK539)</f>
        <v>0</v>
      </c>
    </row>
    <row r="532" spans="1:65" s="2" customFormat="1" ht="16.5" customHeight="1">
      <c r="A532" s="34"/>
      <c r="B532" s="139"/>
      <c r="C532" s="140" t="s">
        <v>1326</v>
      </c>
      <c r="D532" s="140" t="s">
        <v>180</v>
      </c>
      <c r="E532" s="141" t="s">
        <v>1327</v>
      </c>
      <c r="F532" s="142" t="s">
        <v>1328</v>
      </c>
      <c r="G532" s="143" t="s">
        <v>332</v>
      </c>
      <c r="H532" s="144">
        <v>9.9</v>
      </c>
      <c r="I532" s="145"/>
      <c r="J532" s="146">
        <f>ROUND(I532*H532,2)</f>
        <v>0</v>
      </c>
      <c r="K532" s="142" t="s">
        <v>184</v>
      </c>
      <c r="L532" s="35"/>
      <c r="M532" s="147" t="s">
        <v>3</v>
      </c>
      <c r="N532" s="148" t="s">
        <v>48</v>
      </c>
      <c r="O532" s="55"/>
      <c r="P532" s="149">
        <f>O532*H532</f>
        <v>0</v>
      </c>
      <c r="Q532" s="149">
        <v>0</v>
      </c>
      <c r="R532" s="149">
        <f>Q532*H532</f>
        <v>0</v>
      </c>
      <c r="S532" s="149">
        <v>1.4999999999999999E-2</v>
      </c>
      <c r="T532" s="150">
        <f>S532*H532</f>
        <v>0.14849999999999999</v>
      </c>
      <c r="U532" s="34"/>
      <c r="V532" s="34"/>
      <c r="W532" s="34"/>
      <c r="X532" s="34"/>
      <c r="Y532" s="34"/>
      <c r="Z532" s="34"/>
      <c r="AA532" s="34"/>
      <c r="AB532" s="34"/>
      <c r="AC532" s="34"/>
      <c r="AD532" s="34"/>
      <c r="AE532" s="34"/>
      <c r="AR532" s="151" t="s">
        <v>237</v>
      </c>
      <c r="AT532" s="151" t="s">
        <v>180</v>
      </c>
      <c r="AU532" s="151" t="s">
        <v>87</v>
      </c>
      <c r="AY532" s="19" t="s">
        <v>177</v>
      </c>
      <c r="BE532" s="152">
        <f>IF(N532="základní",J532,0)</f>
        <v>0</v>
      </c>
      <c r="BF532" s="152">
        <f>IF(N532="snížená",J532,0)</f>
        <v>0</v>
      </c>
      <c r="BG532" s="152">
        <f>IF(N532="zákl. přenesená",J532,0)</f>
        <v>0</v>
      </c>
      <c r="BH532" s="152">
        <f>IF(N532="sníž. přenesená",J532,0)</f>
        <v>0</v>
      </c>
      <c r="BI532" s="152">
        <f>IF(N532="nulová",J532,0)</f>
        <v>0</v>
      </c>
      <c r="BJ532" s="19" t="s">
        <v>85</v>
      </c>
      <c r="BK532" s="152">
        <f>ROUND(I532*H532,2)</f>
        <v>0</v>
      </c>
      <c r="BL532" s="19" t="s">
        <v>237</v>
      </c>
      <c r="BM532" s="151" t="s">
        <v>1329</v>
      </c>
    </row>
    <row r="533" spans="1:65" s="2" customFormat="1">
      <c r="A533" s="34"/>
      <c r="B533" s="35"/>
      <c r="C533" s="34"/>
      <c r="D533" s="153" t="s">
        <v>187</v>
      </c>
      <c r="E533" s="34"/>
      <c r="F533" s="154" t="s">
        <v>1330</v>
      </c>
      <c r="G533" s="34"/>
      <c r="H533" s="34"/>
      <c r="I533" s="155"/>
      <c r="J533" s="34"/>
      <c r="K533" s="34"/>
      <c r="L533" s="35"/>
      <c r="M533" s="156"/>
      <c r="N533" s="157"/>
      <c r="O533" s="55"/>
      <c r="P533" s="55"/>
      <c r="Q533" s="55"/>
      <c r="R533" s="55"/>
      <c r="S533" s="55"/>
      <c r="T533" s="56"/>
      <c r="U533" s="34"/>
      <c r="V533" s="34"/>
      <c r="W533" s="34"/>
      <c r="X533" s="34"/>
      <c r="Y533" s="34"/>
      <c r="Z533" s="34"/>
      <c r="AA533" s="34"/>
      <c r="AB533" s="34"/>
      <c r="AC533" s="34"/>
      <c r="AD533" s="34"/>
      <c r="AE533" s="34"/>
      <c r="AT533" s="19" t="s">
        <v>187</v>
      </c>
      <c r="AU533" s="19" t="s">
        <v>87</v>
      </c>
    </row>
    <row r="534" spans="1:65" s="2" customFormat="1">
      <c r="A534" s="34"/>
      <c r="B534" s="35"/>
      <c r="C534" s="34"/>
      <c r="D534" s="158" t="s">
        <v>189</v>
      </c>
      <c r="E534" s="34"/>
      <c r="F534" s="159" t="s">
        <v>1331</v>
      </c>
      <c r="G534" s="34"/>
      <c r="H534" s="34"/>
      <c r="I534" s="155"/>
      <c r="J534" s="34"/>
      <c r="K534" s="34"/>
      <c r="L534" s="35"/>
      <c r="M534" s="156"/>
      <c r="N534" s="157"/>
      <c r="O534" s="55"/>
      <c r="P534" s="55"/>
      <c r="Q534" s="55"/>
      <c r="R534" s="55"/>
      <c r="S534" s="55"/>
      <c r="T534" s="56"/>
      <c r="U534" s="34"/>
      <c r="V534" s="34"/>
      <c r="W534" s="34"/>
      <c r="X534" s="34"/>
      <c r="Y534" s="34"/>
      <c r="Z534" s="34"/>
      <c r="AA534" s="34"/>
      <c r="AB534" s="34"/>
      <c r="AC534" s="34"/>
      <c r="AD534" s="34"/>
      <c r="AE534" s="34"/>
      <c r="AT534" s="19" t="s">
        <v>189</v>
      </c>
      <c r="AU534" s="19" t="s">
        <v>87</v>
      </c>
    </row>
    <row r="535" spans="1:65" s="2" customFormat="1" ht="39">
      <c r="A535" s="34"/>
      <c r="B535" s="35"/>
      <c r="C535" s="34"/>
      <c r="D535" s="153" t="s">
        <v>191</v>
      </c>
      <c r="E535" s="34"/>
      <c r="F535" s="160" t="s">
        <v>1332</v>
      </c>
      <c r="G535" s="34"/>
      <c r="H535" s="34"/>
      <c r="I535" s="155"/>
      <c r="J535" s="34"/>
      <c r="K535" s="34"/>
      <c r="L535" s="35"/>
      <c r="M535" s="156"/>
      <c r="N535" s="157"/>
      <c r="O535" s="55"/>
      <c r="P535" s="55"/>
      <c r="Q535" s="55"/>
      <c r="R535" s="55"/>
      <c r="S535" s="55"/>
      <c r="T535" s="56"/>
      <c r="U535" s="34"/>
      <c r="V535" s="34"/>
      <c r="W535" s="34"/>
      <c r="X535" s="34"/>
      <c r="Y535" s="34"/>
      <c r="Z535" s="34"/>
      <c r="AA535" s="34"/>
      <c r="AB535" s="34"/>
      <c r="AC535" s="34"/>
      <c r="AD535" s="34"/>
      <c r="AE535" s="34"/>
      <c r="AT535" s="19" t="s">
        <v>191</v>
      </c>
      <c r="AU535" s="19" t="s">
        <v>87</v>
      </c>
    </row>
    <row r="536" spans="1:65" s="13" customFormat="1">
      <c r="B536" s="161"/>
      <c r="D536" s="153" t="s">
        <v>193</v>
      </c>
      <c r="E536" s="162" t="s">
        <v>3</v>
      </c>
      <c r="F536" s="163" t="s">
        <v>1333</v>
      </c>
      <c r="H536" s="164">
        <v>9.9</v>
      </c>
      <c r="I536" s="165"/>
      <c r="L536" s="161"/>
      <c r="M536" s="166"/>
      <c r="N536" s="167"/>
      <c r="O536" s="167"/>
      <c r="P536" s="167"/>
      <c r="Q536" s="167"/>
      <c r="R536" s="167"/>
      <c r="S536" s="167"/>
      <c r="T536" s="168"/>
      <c r="AT536" s="162" t="s">
        <v>193</v>
      </c>
      <c r="AU536" s="162" t="s">
        <v>87</v>
      </c>
      <c r="AV536" s="13" t="s">
        <v>87</v>
      </c>
      <c r="AW536" s="13" t="s">
        <v>36</v>
      </c>
      <c r="AX536" s="13" t="s">
        <v>85</v>
      </c>
      <c r="AY536" s="162" t="s">
        <v>177</v>
      </c>
    </row>
    <row r="537" spans="1:65" s="2" customFormat="1" ht="16.5" customHeight="1">
      <c r="A537" s="34"/>
      <c r="B537" s="139"/>
      <c r="C537" s="140" t="s">
        <v>1334</v>
      </c>
      <c r="D537" s="140" t="s">
        <v>180</v>
      </c>
      <c r="E537" s="141" t="s">
        <v>1335</v>
      </c>
      <c r="F537" s="142" t="s">
        <v>1336</v>
      </c>
      <c r="G537" s="143" t="s">
        <v>332</v>
      </c>
      <c r="H537" s="144">
        <v>9.9</v>
      </c>
      <c r="I537" s="145"/>
      <c r="J537" s="146">
        <f>ROUND(I537*H537,2)</f>
        <v>0</v>
      </c>
      <c r="K537" s="142" t="s">
        <v>184</v>
      </c>
      <c r="L537" s="35"/>
      <c r="M537" s="147" t="s">
        <v>3</v>
      </c>
      <c r="N537" s="148" t="s">
        <v>48</v>
      </c>
      <c r="O537" s="55"/>
      <c r="P537" s="149">
        <f>O537*H537</f>
        <v>0</v>
      </c>
      <c r="Q537" s="149">
        <v>0</v>
      </c>
      <c r="R537" s="149">
        <f>Q537*H537</f>
        <v>0</v>
      </c>
      <c r="S537" s="149">
        <v>2.5000000000000001E-2</v>
      </c>
      <c r="T537" s="150">
        <f>S537*H537</f>
        <v>0.24750000000000003</v>
      </c>
      <c r="U537" s="34"/>
      <c r="V537" s="34"/>
      <c r="W537" s="34"/>
      <c r="X537" s="34"/>
      <c r="Y537" s="34"/>
      <c r="Z537" s="34"/>
      <c r="AA537" s="34"/>
      <c r="AB537" s="34"/>
      <c r="AC537" s="34"/>
      <c r="AD537" s="34"/>
      <c r="AE537" s="34"/>
      <c r="AR537" s="151" t="s">
        <v>237</v>
      </c>
      <c r="AT537" s="151" t="s">
        <v>180</v>
      </c>
      <c r="AU537" s="151" t="s">
        <v>87</v>
      </c>
      <c r="AY537" s="19" t="s">
        <v>177</v>
      </c>
      <c r="BE537" s="152">
        <f>IF(N537="základní",J537,0)</f>
        <v>0</v>
      </c>
      <c r="BF537" s="152">
        <f>IF(N537="snížená",J537,0)</f>
        <v>0</v>
      </c>
      <c r="BG537" s="152">
        <f>IF(N537="zákl. přenesená",J537,0)</f>
        <v>0</v>
      </c>
      <c r="BH537" s="152">
        <f>IF(N537="sníž. přenesená",J537,0)</f>
        <v>0</v>
      </c>
      <c r="BI537" s="152">
        <f>IF(N537="nulová",J537,0)</f>
        <v>0</v>
      </c>
      <c r="BJ537" s="19" t="s">
        <v>85</v>
      </c>
      <c r="BK537" s="152">
        <f>ROUND(I537*H537,2)</f>
        <v>0</v>
      </c>
      <c r="BL537" s="19" t="s">
        <v>237</v>
      </c>
      <c r="BM537" s="151" t="s">
        <v>1337</v>
      </c>
    </row>
    <row r="538" spans="1:65" s="2" customFormat="1">
      <c r="A538" s="34"/>
      <c r="B538" s="35"/>
      <c r="C538" s="34"/>
      <c r="D538" s="153" t="s">
        <v>187</v>
      </c>
      <c r="E538" s="34"/>
      <c r="F538" s="154" t="s">
        <v>1338</v>
      </c>
      <c r="G538" s="34"/>
      <c r="H538" s="34"/>
      <c r="I538" s="155"/>
      <c r="J538" s="34"/>
      <c r="K538" s="34"/>
      <c r="L538" s="35"/>
      <c r="M538" s="156"/>
      <c r="N538" s="157"/>
      <c r="O538" s="55"/>
      <c r="P538" s="55"/>
      <c r="Q538" s="55"/>
      <c r="R538" s="55"/>
      <c r="S538" s="55"/>
      <c r="T538" s="56"/>
      <c r="U538" s="34"/>
      <c r="V538" s="34"/>
      <c r="W538" s="34"/>
      <c r="X538" s="34"/>
      <c r="Y538" s="34"/>
      <c r="Z538" s="34"/>
      <c r="AA538" s="34"/>
      <c r="AB538" s="34"/>
      <c r="AC538" s="34"/>
      <c r="AD538" s="34"/>
      <c r="AE538" s="34"/>
      <c r="AT538" s="19" t="s">
        <v>187</v>
      </c>
      <c r="AU538" s="19" t="s">
        <v>87</v>
      </c>
    </row>
    <row r="539" spans="1:65" s="2" customFormat="1">
      <c r="A539" s="34"/>
      <c r="B539" s="35"/>
      <c r="C539" s="34"/>
      <c r="D539" s="158" t="s">
        <v>189</v>
      </c>
      <c r="E539" s="34"/>
      <c r="F539" s="159" t="s">
        <v>1339</v>
      </c>
      <c r="G539" s="34"/>
      <c r="H539" s="34"/>
      <c r="I539" s="155"/>
      <c r="J539" s="34"/>
      <c r="K539" s="34"/>
      <c r="L539" s="35"/>
      <c r="M539" s="156"/>
      <c r="N539" s="157"/>
      <c r="O539" s="55"/>
      <c r="P539" s="55"/>
      <c r="Q539" s="55"/>
      <c r="R539" s="55"/>
      <c r="S539" s="55"/>
      <c r="T539" s="56"/>
      <c r="U539" s="34"/>
      <c r="V539" s="34"/>
      <c r="W539" s="34"/>
      <c r="X539" s="34"/>
      <c r="Y539" s="34"/>
      <c r="Z539" s="34"/>
      <c r="AA539" s="34"/>
      <c r="AB539" s="34"/>
      <c r="AC539" s="34"/>
      <c r="AD539" s="34"/>
      <c r="AE539" s="34"/>
      <c r="AT539" s="19" t="s">
        <v>189</v>
      </c>
      <c r="AU539" s="19" t="s">
        <v>87</v>
      </c>
    </row>
    <row r="540" spans="1:65" s="12" customFormat="1" ht="25.9" customHeight="1">
      <c r="B540" s="126"/>
      <c r="D540" s="127" t="s">
        <v>76</v>
      </c>
      <c r="E540" s="128" t="s">
        <v>313</v>
      </c>
      <c r="F540" s="128" t="s">
        <v>314</v>
      </c>
      <c r="I540" s="129"/>
      <c r="J540" s="130">
        <f>BK540</f>
        <v>0</v>
      </c>
      <c r="L540" s="126"/>
      <c r="M540" s="131"/>
      <c r="N540" s="132"/>
      <c r="O540" s="132"/>
      <c r="P540" s="133">
        <f>SUM(P541:P543)</f>
        <v>0</v>
      </c>
      <c r="Q540" s="132"/>
      <c r="R540" s="133">
        <f>SUM(R541:R543)</f>
        <v>0</v>
      </c>
      <c r="S540" s="132"/>
      <c r="T540" s="134">
        <f>SUM(T541:T543)</f>
        <v>0</v>
      </c>
      <c r="AR540" s="127" t="s">
        <v>185</v>
      </c>
      <c r="AT540" s="135" t="s">
        <v>76</v>
      </c>
      <c r="AU540" s="135" t="s">
        <v>77</v>
      </c>
      <c r="AY540" s="127" t="s">
        <v>177</v>
      </c>
      <c r="BK540" s="136">
        <f>SUM(BK541:BK543)</f>
        <v>0</v>
      </c>
    </row>
    <row r="541" spans="1:65" s="2" customFormat="1" ht="16.5" customHeight="1">
      <c r="A541" s="34"/>
      <c r="B541" s="139"/>
      <c r="C541" s="140" t="s">
        <v>1340</v>
      </c>
      <c r="D541" s="140" t="s">
        <v>180</v>
      </c>
      <c r="E541" s="141" t="s">
        <v>528</v>
      </c>
      <c r="F541" s="142" t="s">
        <v>529</v>
      </c>
      <c r="G541" s="143" t="s">
        <v>305</v>
      </c>
      <c r="H541" s="144">
        <v>100</v>
      </c>
      <c r="I541" s="145"/>
      <c r="J541" s="146">
        <f>ROUND(I541*H541,2)</f>
        <v>0</v>
      </c>
      <c r="K541" s="142" t="s">
        <v>184</v>
      </c>
      <c r="L541" s="35"/>
      <c r="M541" s="147" t="s">
        <v>3</v>
      </c>
      <c r="N541" s="148" t="s">
        <v>48</v>
      </c>
      <c r="O541" s="55"/>
      <c r="P541" s="149">
        <f>O541*H541</f>
        <v>0</v>
      </c>
      <c r="Q541" s="149">
        <v>0</v>
      </c>
      <c r="R541" s="149">
        <f>Q541*H541</f>
        <v>0</v>
      </c>
      <c r="S541" s="149">
        <v>0</v>
      </c>
      <c r="T541" s="150">
        <f>S541*H541</f>
        <v>0</v>
      </c>
      <c r="U541" s="34"/>
      <c r="V541" s="34"/>
      <c r="W541" s="34"/>
      <c r="X541" s="34"/>
      <c r="Y541" s="34"/>
      <c r="Z541" s="34"/>
      <c r="AA541" s="34"/>
      <c r="AB541" s="34"/>
      <c r="AC541" s="34"/>
      <c r="AD541" s="34"/>
      <c r="AE541" s="34"/>
      <c r="AR541" s="151" t="s">
        <v>318</v>
      </c>
      <c r="AT541" s="151" t="s">
        <v>180</v>
      </c>
      <c r="AU541" s="151" t="s">
        <v>85</v>
      </c>
      <c r="AY541" s="19" t="s">
        <v>177</v>
      </c>
      <c r="BE541" s="152">
        <f>IF(N541="základní",J541,0)</f>
        <v>0</v>
      </c>
      <c r="BF541" s="152">
        <f>IF(N541="snížená",J541,0)</f>
        <v>0</v>
      </c>
      <c r="BG541" s="152">
        <f>IF(N541="zákl. přenesená",J541,0)</f>
        <v>0</v>
      </c>
      <c r="BH541" s="152">
        <f>IF(N541="sníž. přenesená",J541,0)</f>
        <v>0</v>
      </c>
      <c r="BI541" s="152">
        <f>IF(N541="nulová",J541,0)</f>
        <v>0</v>
      </c>
      <c r="BJ541" s="19" t="s">
        <v>85</v>
      </c>
      <c r="BK541" s="152">
        <f>ROUND(I541*H541,2)</f>
        <v>0</v>
      </c>
      <c r="BL541" s="19" t="s">
        <v>318</v>
      </c>
      <c r="BM541" s="151" t="s">
        <v>1341</v>
      </c>
    </row>
    <row r="542" spans="1:65" s="2" customFormat="1">
      <c r="A542" s="34"/>
      <c r="B542" s="35"/>
      <c r="C542" s="34"/>
      <c r="D542" s="153" t="s">
        <v>187</v>
      </c>
      <c r="E542" s="34"/>
      <c r="F542" s="154" t="s">
        <v>531</v>
      </c>
      <c r="G542" s="34"/>
      <c r="H542" s="34"/>
      <c r="I542" s="155"/>
      <c r="J542" s="34"/>
      <c r="K542" s="34"/>
      <c r="L542" s="35"/>
      <c r="M542" s="156"/>
      <c r="N542" s="157"/>
      <c r="O542" s="55"/>
      <c r="P542" s="55"/>
      <c r="Q542" s="55"/>
      <c r="R542" s="55"/>
      <c r="S542" s="55"/>
      <c r="T542" s="56"/>
      <c r="U542" s="34"/>
      <c r="V542" s="34"/>
      <c r="W542" s="34"/>
      <c r="X542" s="34"/>
      <c r="Y542" s="34"/>
      <c r="Z542" s="34"/>
      <c r="AA542" s="34"/>
      <c r="AB542" s="34"/>
      <c r="AC542" s="34"/>
      <c r="AD542" s="34"/>
      <c r="AE542" s="34"/>
      <c r="AT542" s="19" t="s">
        <v>187</v>
      </c>
      <c r="AU542" s="19" t="s">
        <v>85</v>
      </c>
    </row>
    <row r="543" spans="1:65" s="2" customFormat="1">
      <c r="A543" s="34"/>
      <c r="B543" s="35"/>
      <c r="C543" s="34"/>
      <c r="D543" s="158" t="s">
        <v>189</v>
      </c>
      <c r="E543" s="34"/>
      <c r="F543" s="159" t="s">
        <v>532</v>
      </c>
      <c r="G543" s="34"/>
      <c r="H543" s="34"/>
      <c r="I543" s="155"/>
      <c r="J543" s="34"/>
      <c r="K543" s="34"/>
      <c r="L543" s="35"/>
      <c r="M543" s="205"/>
      <c r="N543" s="206"/>
      <c r="O543" s="207"/>
      <c r="P543" s="207"/>
      <c r="Q543" s="207"/>
      <c r="R543" s="207"/>
      <c r="S543" s="207"/>
      <c r="T543" s="208"/>
      <c r="U543" s="34"/>
      <c r="V543" s="34"/>
      <c r="W543" s="34"/>
      <c r="X543" s="34"/>
      <c r="Y543" s="34"/>
      <c r="Z543" s="34"/>
      <c r="AA543" s="34"/>
      <c r="AB543" s="34"/>
      <c r="AC543" s="34"/>
      <c r="AD543" s="34"/>
      <c r="AE543" s="34"/>
      <c r="AT543" s="19" t="s">
        <v>189</v>
      </c>
      <c r="AU543" s="19" t="s">
        <v>85</v>
      </c>
    </row>
    <row r="544" spans="1:65" s="2" customFormat="1" ht="6.95" customHeight="1">
      <c r="A544" s="34"/>
      <c r="B544" s="44"/>
      <c r="C544" s="45"/>
      <c r="D544" s="45"/>
      <c r="E544" s="45"/>
      <c r="F544" s="45"/>
      <c r="G544" s="45"/>
      <c r="H544" s="45"/>
      <c r="I544" s="45"/>
      <c r="J544" s="45"/>
      <c r="K544" s="45"/>
      <c r="L544" s="35"/>
      <c r="M544" s="34"/>
      <c r="O544" s="34"/>
      <c r="P544" s="34"/>
      <c r="Q544" s="34"/>
      <c r="R544" s="34"/>
      <c r="S544" s="34"/>
      <c r="T544" s="34"/>
      <c r="U544" s="34"/>
      <c r="V544" s="34"/>
      <c r="W544" s="34"/>
      <c r="X544" s="34"/>
      <c r="Y544" s="34"/>
      <c r="Z544" s="34"/>
      <c r="AA544" s="34"/>
      <c r="AB544" s="34"/>
      <c r="AC544" s="34"/>
      <c r="AD544" s="34"/>
      <c r="AE544" s="34"/>
    </row>
  </sheetData>
  <autoFilter ref="C91:K543"/>
  <mergeCells count="9">
    <mergeCell ref="E50:H50"/>
    <mergeCell ref="E82:H82"/>
    <mergeCell ref="E84:H84"/>
    <mergeCell ref="L2:V2"/>
    <mergeCell ref="E7:H7"/>
    <mergeCell ref="E9:H9"/>
    <mergeCell ref="E18:H18"/>
    <mergeCell ref="E27:H27"/>
    <mergeCell ref="E48:H48"/>
  </mergeCells>
  <hyperlinks>
    <hyperlink ref="F97" r:id="rId1"/>
    <hyperlink ref="F103" r:id="rId2"/>
    <hyperlink ref="F108" r:id="rId3"/>
    <hyperlink ref="F120" r:id="rId4"/>
    <hyperlink ref="F131" r:id="rId5"/>
    <hyperlink ref="F152" r:id="rId6"/>
    <hyperlink ref="F158" r:id="rId7"/>
    <hyperlink ref="F165" r:id="rId8"/>
    <hyperlink ref="F172" r:id="rId9"/>
    <hyperlink ref="F176" r:id="rId10"/>
    <hyperlink ref="F182" r:id="rId11"/>
    <hyperlink ref="F187" r:id="rId12"/>
    <hyperlink ref="F192" r:id="rId13"/>
    <hyperlink ref="F196" r:id="rId14"/>
    <hyperlink ref="F200" r:id="rId15"/>
    <hyperlink ref="F204" r:id="rId16"/>
    <hyperlink ref="F207" r:id="rId17"/>
    <hyperlink ref="F212" r:id="rId18"/>
    <hyperlink ref="F216" r:id="rId19"/>
    <hyperlink ref="F221" r:id="rId20"/>
    <hyperlink ref="F228" r:id="rId21"/>
    <hyperlink ref="F240" r:id="rId22"/>
    <hyperlink ref="F246" r:id="rId23"/>
    <hyperlink ref="F251" r:id="rId24"/>
    <hyperlink ref="F257" r:id="rId25"/>
    <hyperlink ref="F263" r:id="rId26"/>
    <hyperlink ref="F269" r:id="rId27"/>
    <hyperlink ref="F275" r:id="rId28"/>
    <hyperlink ref="F281" r:id="rId29"/>
    <hyperlink ref="F287" r:id="rId30"/>
    <hyperlink ref="F292" r:id="rId31"/>
    <hyperlink ref="F297" r:id="rId32"/>
    <hyperlink ref="F308" r:id="rId33"/>
    <hyperlink ref="F315" r:id="rId34"/>
    <hyperlink ref="F321" r:id="rId35"/>
    <hyperlink ref="F325" r:id="rId36"/>
    <hyperlink ref="F329" r:id="rId37"/>
    <hyperlink ref="F334" r:id="rId38"/>
    <hyperlink ref="F338" r:id="rId39"/>
    <hyperlink ref="F343" r:id="rId40"/>
    <hyperlink ref="F347" r:id="rId41"/>
    <hyperlink ref="F351" r:id="rId42"/>
    <hyperlink ref="F355" r:id="rId43"/>
    <hyperlink ref="F359" r:id="rId44"/>
    <hyperlink ref="F365" r:id="rId45"/>
    <hyperlink ref="F371" r:id="rId46"/>
    <hyperlink ref="F377" r:id="rId47"/>
    <hyperlink ref="F383" r:id="rId48"/>
    <hyperlink ref="F388" r:id="rId49"/>
    <hyperlink ref="F392" r:id="rId50"/>
    <hyperlink ref="F398" r:id="rId51"/>
    <hyperlink ref="F408" r:id="rId52"/>
    <hyperlink ref="F412" r:id="rId53"/>
    <hyperlink ref="F417" r:id="rId54"/>
    <hyperlink ref="F421" r:id="rId55"/>
    <hyperlink ref="F426" r:id="rId56"/>
    <hyperlink ref="F431" r:id="rId57"/>
    <hyperlink ref="F436" r:id="rId58"/>
    <hyperlink ref="F440" r:id="rId59"/>
    <hyperlink ref="F447" r:id="rId60"/>
    <hyperlink ref="F452" r:id="rId61"/>
    <hyperlink ref="F460" r:id="rId62"/>
    <hyperlink ref="F466" r:id="rId63"/>
    <hyperlink ref="F477" r:id="rId64"/>
    <hyperlink ref="F480" r:id="rId65"/>
    <hyperlink ref="F484" r:id="rId66"/>
    <hyperlink ref="F489" r:id="rId67"/>
    <hyperlink ref="F496" r:id="rId68"/>
    <hyperlink ref="F501" r:id="rId69"/>
    <hyperlink ref="F510" r:id="rId70"/>
    <hyperlink ref="F513" r:id="rId71"/>
    <hyperlink ref="F519" r:id="rId72"/>
    <hyperlink ref="F525" r:id="rId73"/>
    <hyperlink ref="F534" r:id="rId74"/>
    <hyperlink ref="F539" r:id="rId75"/>
    <hyperlink ref="F543" r:id="rId76"/>
  </hyperlinks>
  <pageMargins left="0.39374999999999999" right="0.39374999999999999" top="0.39374999999999999" bottom="0.39374999999999999" header="0" footer="0"/>
  <pageSetup paperSize="9" scale="84" fitToHeight="100" orientation="landscape" blackAndWhite="1" r:id="rId77"/>
  <headerFooter>
    <oddFooter>&amp;CStrana &amp;P z &amp;N</oddFooter>
  </headerFooter>
  <drawing r:id="rId7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topLeftCell="A227" workbookViewId="0">
      <selection activeCell="V248" sqref="V24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102</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1342</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ROUND(J91,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ROUND((SUM(BE91:BE249)),  2)</f>
        <v>0</v>
      </c>
      <c r="G33" s="34"/>
      <c r="H33" s="34"/>
      <c r="I33" s="98">
        <v>0.21</v>
      </c>
      <c r="J33" s="97">
        <f>ROUND(((SUM(BE91:BE249))*I33),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ROUND((SUM(BF91:BF249)),  2)</f>
        <v>0</v>
      </c>
      <c r="G34" s="34"/>
      <c r="H34" s="34"/>
      <c r="I34" s="98">
        <v>0.15</v>
      </c>
      <c r="J34" s="97">
        <f>ROUND(((SUM(BF91:BF249))*I34),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ROUND((SUM(BG91:BG249)),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ROUND((SUM(BH91:BH249)),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ROUND((SUM(BI91:BI249)),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6 - Provedení střechy po parozábranu</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J91</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J92</f>
        <v>0</v>
      </c>
      <c r="L60" s="108"/>
    </row>
    <row r="61" spans="1:47" s="10" customFormat="1" ht="19.899999999999999" customHeight="1">
      <c r="B61" s="112"/>
      <c r="D61" s="113" t="s">
        <v>546</v>
      </c>
      <c r="E61" s="114"/>
      <c r="F61" s="114"/>
      <c r="G61" s="114"/>
      <c r="H61" s="114"/>
      <c r="I61" s="114"/>
      <c r="J61" s="115">
        <f>J93</f>
        <v>0</v>
      </c>
      <c r="L61" s="112"/>
    </row>
    <row r="62" spans="1:47" s="10" customFormat="1" ht="19.899999999999999" customHeight="1">
      <c r="B62" s="112"/>
      <c r="D62" s="113" t="s">
        <v>547</v>
      </c>
      <c r="E62" s="114"/>
      <c r="F62" s="114"/>
      <c r="G62" s="114"/>
      <c r="H62" s="114"/>
      <c r="I62" s="114"/>
      <c r="J62" s="115">
        <f>J100</f>
        <v>0</v>
      </c>
      <c r="L62" s="112"/>
    </row>
    <row r="63" spans="1:47" s="10" customFormat="1" ht="19.899999999999999" customHeight="1">
      <c r="B63" s="112"/>
      <c r="D63" s="113" t="s">
        <v>325</v>
      </c>
      <c r="E63" s="114"/>
      <c r="F63" s="114"/>
      <c r="G63" s="114"/>
      <c r="H63" s="114"/>
      <c r="I63" s="114"/>
      <c r="J63" s="115">
        <f>J127</f>
        <v>0</v>
      </c>
      <c r="L63" s="112"/>
    </row>
    <row r="64" spans="1:47" s="10" customFormat="1" ht="19.899999999999999" customHeight="1">
      <c r="B64" s="112"/>
      <c r="D64" s="113" t="s">
        <v>154</v>
      </c>
      <c r="E64" s="114"/>
      <c r="F64" s="114"/>
      <c r="G64" s="114"/>
      <c r="H64" s="114"/>
      <c r="I64" s="114"/>
      <c r="J64" s="115">
        <f>J166</f>
        <v>0</v>
      </c>
      <c r="L64" s="112"/>
    </row>
    <row r="65" spans="1:31" s="10" customFormat="1" ht="19.899999999999999" customHeight="1">
      <c r="B65" s="112"/>
      <c r="D65" s="113" t="s">
        <v>326</v>
      </c>
      <c r="E65" s="114"/>
      <c r="F65" s="114"/>
      <c r="G65" s="114"/>
      <c r="H65" s="114"/>
      <c r="I65" s="114"/>
      <c r="J65" s="115">
        <f>J189</f>
        <v>0</v>
      </c>
      <c r="L65" s="112"/>
    </row>
    <row r="66" spans="1:31" s="9" customFormat="1" ht="24.95" customHeight="1">
      <c r="B66" s="108"/>
      <c r="D66" s="109" t="s">
        <v>155</v>
      </c>
      <c r="E66" s="110"/>
      <c r="F66" s="110"/>
      <c r="G66" s="110"/>
      <c r="H66" s="110"/>
      <c r="I66" s="110"/>
      <c r="J66" s="111">
        <f>J194</f>
        <v>0</v>
      </c>
      <c r="L66" s="108"/>
    </row>
    <row r="67" spans="1:31" s="10" customFormat="1" ht="19.899999999999999" customHeight="1">
      <c r="B67" s="112"/>
      <c r="D67" s="113" t="s">
        <v>923</v>
      </c>
      <c r="E67" s="114"/>
      <c r="F67" s="114"/>
      <c r="G67" s="114"/>
      <c r="H67" s="114"/>
      <c r="I67" s="114"/>
      <c r="J67" s="115">
        <f>J195</f>
        <v>0</v>
      </c>
      <c r="L67" s="112"/>
    </row>
    <row r="68" spans="1:31" s="10" customFormat="1" ht="19.899999999999999" customHeight="1">
      <c r="B68" s="112"/>
      <c r="D68" s="113" t="s">
        <v>924</v>
      </c>
      <c r="E68" s="114"/>
      <c r="F68" s="114"/>
      <c r="G68" s="114"/>
      <c r="H68" s="114"/>
      <c r="I68" s="114"/>
      <c r="J68" s="115">
        <f>J218</f>
        <v>0</v>
      </c>
      <c r="L68" s="112"/>
    </row>
    <row r="69" spans="1:31" s="9" customFormat="1" ht="24.95" customHeight="1">
      <c r="B69" s="108"/>
      <c r="D69" s="109" t="s">
        <v>161</v>
      </c>
      <c r="E69" s="110"/>
      <c r="F69" s="110"/>
      <c r="G69" s="110"/>
      <c r="H69" s="110"/>
      <c r="I69" s="110"/>
      <c r="J69" s="111">
        <f>J238</f>
        <v>0</v>
      </c>
      <c r="L69" s="108"/>
    </row>
    <row r="70" spans="1:31" s="9" customFormat="1" ht="24.95" customHeight="1">
      <c r="B70" s="108"/>
      <c r="D70" s="109" t="s">
        <v>327</v>
      </c>
      <c r="E70" s="110"/>
      <c r="F70" s="110"/>
      <c r="G70" s="110"/>
      <c r="H70" s="110"/>
      <c r="I70" s="110"/>
      <c r="J70" s="111">
        <f>J242</f>
        <v>0</v>
      </c>
      <c r="L70" s="108"/>
    </row>
    <row r="71" spans="1:31" s="10" customFormat="1" ht="19.899999999999999" customHeight="1">
      <c r="B71" s="112"/>
      <c r="D71" s="113" t="s">
        <v>328</v>
      </c>
      <c r="E71" s="114"/>
      <c r="F71" s="114"/>
      <c r="G71" s="114"/>
      <c r="H71" s="114"/>
      <c r="I71" s="114"/>
      <c r="J71" s="115">
        <f>J243</f>
        <v>0</v>
      </c>
      <c r="L71" s="112"/>
    </row>
    <row r="72" spans="1:31" s="2" customFormat="1" ht="21.75" customHeight="1">
      <c r="A72" s="34"/>
      <c r="B72" s="35"/>
      <c r="C72" s="34"/>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6.95" customHeight="1">
      <c r="A73" s="34"/>
      <c r="B73" s="44"/>
      <c r="C73" s="45"/>
      <c r="D73" s="45"/>
      <c r="E73" s="45"/>
      <c r="F73" s="45"/>
      <c r="G73" s="45"/>
      <c r="H73" s="45"/>
      <c r="I73" s="45"/>
      <c r="J73" s="45"/>
      <c r="K73" s="45"/>
      <c r="L73" s="91"/>
      <c r="S73" s="34"/>
      <c r="T73" s="34"/>
      <c r="U73" s="34"/>
      <c r="V73" s="34"/>
      <c r="W73" s="34"/>
      <c r="X73" s="34"/>
      <c r="Y73" s="34"/>
      <c r="Z73" s="34"/>
      <c r="AA73" s="34"/>
      <c r="AB73" s="34"/>
      <c r="AC73" s="34"/>
      <c r="AD73" s="34"/>
      <c r="AE73" s="34"/>
    </row>
    <row r="77" spans="1:31" s="2" customFormat="1" ht="6.95" customHeight="1">
      <c r="A77" s="34"/>
      <c r="B77" s="46"/>
      <c r="C77" s="47"/>
      <c r="D77" s="47"/>
      <c r="E77" s="47"/>
      <c r="F77" s="47"/>
      <c r="G77" s="47"/>
      <c r="H77" s="47"/>
      <c r="I77" s="47"/>
      <c r="J77" s="47"/>
      <c r="K77" s="47"/>
      <c r="L77" s="91"/>
      <c r="S77" s="34"/>
      <c r="T77" s="34"/>
      <c r="U77" s="34"/>
      <c r="V77" s="34"/>
      <c r="W77" s="34"/>
      <c r="X77" s="34"/>
      <c r="Y77" s="34"/>
      <c r="Z77" s="34"/>
      <c r="AA77" s="34"/>
      <c r="AB77" s="34"/>
      <c r="AC77" s="34"/>
      <c r="AD77" s="34"/>
      <c r="AE77" s="34"/>
    </row>
    <row r="78" spans="1:31" s="2" customFormat="1" ht="24.95" customHeight="1">
      <c r="A78" s="34"/>
      <c r="B78" s="35"/>
      <c r="C78" s="23" t="s">
        <v>162</v>
      </c>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17</v>
      </c>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6.5" customHeight="1">
      <c r="A81" s="34"/>
      <c r="B81" s="35"/>
      <c r="C81" s="34"/>
      <c r="D81" s="34"/>
      <c r="E81" s="436" t="str">
        <f>E7</f>
        <v>ZŠ P. HOLÉHO - PŘESTAVBA PLAVECKÉHO PAVILONU</v>
      </c>
      <c r="F81" s="437"/>
      <c r="G81" s="437"/>
      <c r="H81" s="437"/>
      <c r="I81" s="34"/>
      <c r="J81" s="34"/>
      <c r="K81" s="34"/>
      <c r="L81" s="91"/>
      <c r="S81" s="34"/>
      <c r="T81" s="34"/>
      <c r="U81" s="34"/>
      <c r="V81" s="34"/>
      <c r="W81" s="34"/>
      <c r="X81" s="34"/>
      <c r="Y81" s="34"/>
      <c r="Z81" s="34"/>
      <c r="AA81" s="34"/>
      <c r="AB81" s="34"/>
      <c r="AC81" s="34"/>
      <c r="AD81" s="34"/>
      <c r="AE81" s="34"/>
    </row>
    <row r="82" spans="1:65" s="2" customFormat="1" ht="12" customHeight="1">
      <c r="A82" s="34"/>
      <c r="B82" s="35"/>
      <c r="C82" s="29" t="s">
        <v>146</v>
      </c>
      <c r="D82" s="34"/>
      <c r="E82" s="34"/>
      <c r="F82" s="34"/>
      <c r="G82" s="34"/>
      <c r="H82" s="34"/>
      <c r="I82" s="34"/>
      <c r="J82" s="34"/>
      <c r="K82" s="34"/>
      <c r="L82" s="91"/>
      <c r="S82" s="34"/>
      <c r="T82" s="34"/>
      <c r="U82" s="34"/>
      <c r="V82" s="34"/>
      <c r="W82" s="34"/>
      <c r="X82" s="34"/>
      <c r="Y82" s="34"/>
      <c r="Z82" s="34"/>
      <c r="AA82" s="34"/>
      <c r="AB82" s="34"/>
      <c r="AC82" s="34"/>
      <c r="AD82" s="34"/>
      <c r="AE82" s="34"/>
    </row>
    <row r="83" spans="1:65" s="2" customFormat="1" ht="16.5" customHeight="1">
      <c r="A83" s="34"/>
      <c r="B83" s="35"/>
      <c r="C83" s="34"/>
      <c r="D83" s="34"/>
      <c r="E83" s="432" t="str">
        <f>E9</f>
        <v>E 6 - Provedení střechy po parozábranu</v>
      </c>
      <c r="F83" s="435"/>
      <c r="G83" s="435"/>
      <c r="H83" s="435"/>
      <c r="I83" s="34"/>
      <c r="J83" s="34"/>
      <c r="K83" s="34"/>
      <c r="L83" s="91"/>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2" customFormat="1" ht="12" customHeight="1">
      <c r="A85" s="34"/>
      <c r="B85" s="35"/>
      <c r="C85" s="29" t="s">
        <v>21</v>
      </c>
      <c r="D85" s="34"/>
      <c r="E85" s="34"/>
      <c r="F85" s="27" t="str">
        <f>F12</f>
        <v>Prokopa Holého 2632, Louny, 440 01</v>
      </c>
      <c r="G85" s="34"/>
      <c r="H85" s="34"/>
      <c r="I85" s="29" t="s">
        <v>23</v>
      </c>
      <c r="J85" s="52" t="str">
        <f>IF(J12="","",J12)</f>
        <v>21. 9. 2022</v>
      </c>
      <c r="K85" s="34"/>
      <c r="L85" s="91"/>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2" customFormat="1" ht="15.2" customHeight="1">
      <c r="A87" s="34"/>
      <c r="B87" s="35"/>
      <c r="C87" s="29" t="s">
        <v>25</v>
      </c>
      <c r="D87" s="34"/>
      <c r="E87" s="34"/>
      <c r="F87" s="27" t="str">
        <f>E15</f>
        <v>Město Louny</v>
      </c>
      <c r="G87" s="34"/>
      <c r="H87" s="34"/>
      <c r="I87" s="29" t="s">
        <v>32</v>
      </c>
      <c r="J87" s="32" t="str">
        <f>E21</f>
        <v>RYSIK Design s.r.o.</v>
      </c>
      <c r="K87" s="34"/>
      <c r="L87" s="91"/>
      <c r="S87" s="34"/>
      <c r="T87" s="34"/>
      <c r="U87" s="34"/>
      <c r="V87" s="34"/>
      <c r="W87" s="34"/>
      <c r="X87" s="34"/>
      <c r="Y87" s="34"/>
      <c r="Z87" s="34"/>
      <c r="AA87" s="34"/>
      <c r="AB87" s="34"/>
      <c r="AC87" s="34"/>
      <c r="AD87" s="34"/>
      <c r="AE87" s="34"/>
    </row>
    <row r="88" spans="1:65" s="2" customFormat="1" ht="25.7" customHeight="1">
      <c r="A88" s="34"/>
      <c r="B88" s="35"/>
      <c r="C88" s="29" t="s">
        <v>30</v>
      </c>
      <c r="D88" s="34"/>
      <c r="E88" s="34"/>
      <c r="F88" s="27" t="str">
        <f>IF(E18="","",E18)</f>
        <v>Vyplň údaj</v>
      </c>
      <c r="G88" s="34"/>
      <c r="H88" s="34"/>
      <c r="I88" s="29" t="s">
        <v>37</v>
      </c>
      <c r="J88" s="32" t="str">
        <f>E24</f>
        <v>ing. Kateřina Tumpachová</v>
      </c>
      <c r="K88" s="34"/>
      <c r="L88" s="91"/>
      <c r="S88" s="34"/>
      <c r="T88" s="34"/>
      <c r="U88" s="34"/>
      <c r="V88" s="34"/>
      <c r="W88" s="34"/>
      <c r="X88" s="34"/>
      <c r="Y88" s="34"/>
      <c r="Z88" s="34"/>
      <c r="AA88" s="34"/>
      <c r="AB88" s="34"/>
      <c r="AC88" s="34"/>
      <c r="AD88" s="34"/>
      <c r="AE88" s="34"/>
    </row>
    <row r="89" spans="1:65" s="2" customFormat="1" ht="10.35" customHeight="1">
      <c r="A89" s="34"/>
      <c r="B89" s="35"/>
      <c r="C89" s="34"/>
      <c r="D89" s="34"/>
      <c r="E89" s="34"/>
      <c r="F89" s="34"/>
      <c r="G89" s="34"/>
      <c r="H89" s="34"/>
      <c r="I89" s="34"/>
      <c r="J89" s="34"/>
      <c r="K89" s="34"/>
      <c r="L89" s="91"/>
      <c r="S89" s="34"/>
      <c r="T89" s="34"/>
      <c r="U89" s="34"/>
      <c r="V89" s="34"/>
      <c r="W89" s="34"/>
      <c r="X89" s="34"/>
      <c r="Y89" s="34"/>
      <c r="Z89" s="34"/>
      <c r="AA89" s="34"/>
      <c r="AB89" s="34"/>
      <c r="AC89" s="34"/>
      <c r="AD89" s="34"/>
      <c r="AE89" s="34"/>
    </row>
    <row r="90" spans="1:65" s="11" customFormat="1" ht="29.25" customHeight="1">
      <c r="A90" s="116"/>
      <c r="B90" s="117"/>
      <c r="C90" s="118" t="s">
        <v>163</v>
      </c>
      <c r="D90" s="119" t="s">
        <v>62</v>
      </c>
      <c r="E90" s="119" t="s">
        <v>58</v>
      </c>
      <c r="F90" s="119" t="s">
        <v>59</v>
      </c>
      <c r="G90" s="119" t="s">
        <v>164</v>
      </c>
      <c r="H90" s="119" t="s">
        <v>165</v>
      </c>
      <c r="I90" s="119" t="s">
        <v>166</v>
      </c>
      <c r="J90" s="119" t="s">
        <v>151</v>
      </c>
      <c r="K90" s="120" t="s">
        <v>167</v>
      </c>
      <c r="L90" s="121"/>
      <c r="M90" s="59" t="s">
        <v>3</v>
      </c>
      <c r="N90" s="60" t="s">
        <v>47</v>
      </c>
      <c r="O90" s="60" t="s">
        <v>168</v>
      </c>
      <c r="P90" s="60" t="s">
        <v>169</v>
      </c>
      <c r="Q90" s="60" t="s">
        <v>170</v>
      </c>
      <c r="R90" s="60" t="s">
        <v>171</v>
      </c>
      <c r="S90" s="60" t="s">
        <v>172</v>
      </c>
      <c r="T90" s="61" t="s">
        <v>173</v>
      </c>
      <c r="U90" s="116"/>
      <c r="V90" s="116"/>
      <c r="W90" s="116"/>
      <c r="X90" s="116"/>
      <c r="Y90" s="116"/>
      <c r="Z90" s="116"/>
      <c r="AA90" s="116"/>
      <c r="AB90" s="116"/>
      <c r="AC90" s="116"/>
      <c r="AD90" s="116"/>
      <c r="AE90" s="116"/>
    </row>
    <row r="91" spans="1:65" s="2" customFormat="1" ht="22.9" customHeight="1">
      <c r="A91" s="34"/>
      <c r="B91" s="35"/>
      <c r="C91" s="66" t="s">
        <v>174</v>
      </c>
      <c r="D91" s="34"/>
      <c r="E91" s="34"/>
      <c r="F91" s="34"/>
      <c r="G91" s="34"/>
      <c r="H91" s="34"/>
      <c r="I91" s="34"/>
      <c r="J91" s="122">
        <f>BK91</f>
        <v>0</v>
      </c>
      <c r="K91" s="34"/>
      <c r="L91" s="35"/>
      <c r="M91" s="62"/>
      <c r="N91" s="53"/>
      <c r="O91" s="63"/>
      <c r="P91" s="123">
        <f>P92+P194+P238+P242</f>
        <v>0</v>
      </c>
      <c r="Q91" s="63"/>
      <c r="R91" s="123">
        <f>R92+R194+R238+R242</f>
        <v>29.054122590439995</v>
      </c>
      <c r="S91" s="63"/>
      <c r="T91" s="124">
        <f>T92+T194+T238+T242</f>
        <v>2.375E-2</v>
      </c>
      <c r="U91" s="34"/>
      <c r="V91" s="34"/>
      <c r="W91" s="34"/>
      <c r="X91" s="34"/>
      <c r="Y91" s="34"/>
      <c r="Z91" s="34"/>
      <c r="AA91" s="34"/>
      <c r="AB91" s="34"/>
      <c r="AC91" s="34"/>
      <c r="AD91" s="34"/>
      <c r="AE91" s="34"/>
      <c r="AT91" s="19" t="s">
        <v>76</v>
      </c>
      <c r="AU91" s="19" t="s">
        <v>152</v>
      </c>
      <c r="BK91" s="125">
        <f>BK92+BK194+BK238+BK242</f>
        <v>0</v>
      </c>
    </row>
    <row r="92" spans="1:65" s="12" customFormat="1" ht="25.9" customHeight="1">
      <c r="B92" s="126"/>
      <c r="D92" s="127" t="s">
        <v>76</v>
      </c>
      <c r="E92" s="128" t="s">
        <v>175</v>
      </c>
      <c r="F92" s="128" t="s">
        <v>176</v>
      </c>
      <c r="I92" s="129"/>
      <c r="J92" s="130">
        <f>BK92</f>
        <v>0</v>
      </c>
      <c r="L92" s="126"/>
      <c r="M92" s="131"/>
      <c r="N92" s="132"/>
      <c r="O92" s="132"/>
      <c r="P92" s="133">
        <f>P93+P100+P127+P166+P189</f>
        <v>0</v>
      </c>
      <c r="Q92" s="132"/>
      <c r="R92" s="133">
        <f>R93+R100+R127+R166+R189</f>
        <v>26.626473214399994</v>
      </c>
      <c r="S92" s="132"/>
      <c r="T92" s="134">
        <f>T93+T100+T127+T166+T189</f>
        <v>2.375E-2</v>
      </c>
      <c r="AR92" s="127" t="s">
        <v>85</v>
      </c>
      <c r="AT92" s="135" t="s">
        <v>76</v>
      </c>
      <c r="AU92" s="135" t="s">
        <v>77</v>
      </c>
      <c r="AY92" s="127" t="s">
        <v>177</v>
      </c>
      <c r="BK92" s="136">
        <f>BK93+BK100+BK127+BK166+BK189</f>
        <v>0</v>
      </c>
    </row>
    <row r="93" spans="1:65" s="12" customFormat="1" ht="22.9" customHeight="1">
      <c r="B93" s="126"/>
      <c r="D93" s="127" t="s">
        <v>76</v>
      </c>
      <c r="E93" s="137" t="s">
        <v>198</v>
      </c>
      <c r="F93" s="137" t="s">
        <v>560</v>
      </c>
      <c r="I93" s="129"/>
      <c r="J93" s="138">
        <f>BK93</f>
        <v>0</v>
      </c>
      <c r="L93" s="126"/>
      <c r="M93" s="131"/>
      <c r="N93" s="132"/>
      <c r="O93" s="132"/>
      <c r="P93" s="133">
        <f>SUM(P94:P99)</f>
        <v>0</v>
      </c>
      <c r="Q93" s="132"/>
      <c r="R93" s="133">
        <f>SUM(R94:R99)</f>
        <v>0.91017765999999989</v>
      </c>
      <c r="S93" s="132"/>
      <c r="T93" s="134">
        <f>SUM(T94:T99)</f>
        <v>0</v>
      </c>
      <c r="AR93" s="127" t="s">
        <v>85</v>
      </c>
      <c r="AT93" s="135" t="s">
        <v>76</v>
      </c>
      <c r="AU93" s="135" t="s">
        <v>85</v>
      </c>
      <c r="AY93" s="127" t="s">
        <v>177</v>
      </c>
      <c r="BK93" s="136">
        <f>SUM(BK94:BK99)</f>
        <v>0</v>
      </c>
    </row>
    <row r="94" spans="1:65" s="2" customFormat="1" ht="24.2" customHeight="1">
      <c r="A94" s="34"/>
      <c r="B94" s="139"/>
      <c r="C94" s="140" t="s">
        <v>85</v>
      </c>
      <c r="D94" s="140" t="s">
        <v>180</v>
      </c>
      <c r="E94" s="141" t="s">
        <v>569</v>
      </c>
      <c r="F94" s="142" t="s">
        <v>570</v>
      </c>
      <c r="G94" s="143" t="s">
        <v>332</v>
      </c>
      <c r="H94" s="144">
        <v>5.9589999999999996</v>
      </c>
      <c r="I94" s="145"/>
      <c r="J94" s="146">
        <f>ROUND(I94*H94,2)</f>
        <v>0</v>
      </c>
      <c r="K94" s="142" t="s">
        <v>184</v>
      </c>
      <c r="L94" s="35"/>
      <c r="M94" s="147" t="s">
        <v>3</v>
      </c>
      <c r="N94" s="148" t="s">
        <v>48</v>
      </c>
      <c r="O94" s="55"/>
      <c r="P94" s="149">
        <f>O94*H94</f>
        <v>0</v>
      </c>
      <c r="Q94" s="149">
        <v>0.15273999999999999</v>
      </c>
      <c r="R94" s="149">
        <f>Q94*H94</f>
        <v>0.91017765999999989</v>
      </c>
      <c r="S94" s="149">
        <v>0</v>
      </c>
      <c r="T94" s="150">
        <f>S94*H94</f>
        <v>0</v>
      </c>
      <c r="U94" s="34"/>
      <c r="V94" s="34"/>
      <c r="W94" s="34"/>
      <c r="X94" s="34"/>
      <c r="Y94" s="34"/>
      <c r="Z94" s="34"/>
      <c r="AA94" s="34"/>
      <c r="AB94" s="34"/>
      <c r="AC94" s="34"/>
      <c r="AD94" s="34"/>
      <c r="AE94" s="34"/>
      <c r="AR94" s="151" t="s">
        <v>185</v>
      </c>
      <c r="AT94" s="151" t="s">
        <v>180</v>
      </c>
      <c r="AU94" s="151" t="s">
        <v>87</v>
      </c>
      <c r="AY94" s="19" t="s">
        <v>177</v>
      </c>
      <c r="BE94" s="152">
        <f>IF(N94="základní",J94,0)</f>
        <v>0</v>
      </c>
      <c r="BF94" s="152">
        <f>IF(N94="snížená",J94,0)</f>
        <v>0</v>
      </c>
      <c r="BG94" s="152">
        <f>IF(N94="zákl. přenesená",J94,0)</f>
        <v>0</v>
      </c>
      <c r="BH94" s="152">
        <f>IF(N94="sníž. přenesená",J94,0)</f>
        <v>0</v>
      </c>
      <c r="BI94" s="152">
        <f>IF(N94="nulová",J94,0)</f>
        <v>0</v>
      </c>
      <c r="BJ94" s="19" t="s">
        <v>85</v>
      </c>
      <c r="BK94" s="152">
        <f>ROUND(I94*H94,2)</f>
        <v>0</v>
      </c>
      <c r="BL94" s="19" t="s">
        <v>185</v>
      </c>
      <c r="BM94" s="151" t="s">
        <v>1343</v>
      </c>
    </row>
    <row r="95" spans="1:65" s="2" customFormat="1" ht="19.5">
      <c r="A95" s="34"/>
      <c r="B95" s="35"/>
      <c r="C95" s="34"/>
      <c r="D95" s="153" t="s">
        <v>187</v>
      </c>
      <c r="E95" s="34"/>
      <c r="F95" s="154" t="s">
        <v>572</v>
      </c>
      <c r="G95" s="34"/>
      <c r="H95" s="34"/>
      <c r="I95" s="155"/>
      <c r="J95" s="34"/>
      <c r="K95" s="34"/>
      <c r="L95" s="35"/>
      <c r="M95" s="156"/>
      <c r="N95" s="157"/>
      <c r="O95" s="55"/>
      <c r="P95" s="55"/>
      <c r="Q95" s="55"/>
      <c r="R95" s="55"/>
      <c r="S95" s="55"/>
      <c r="T95" s="56"/>
      <c r="U95" s="34"/>
      <c r="V95" s="34"/>
      <c r="W95" s="34"/>
      <c r="X95" s="34"/>
      <c r="Y95" s="34"/>
      <c r="Z95" s="34"/>
      <c r="AA95" s="34"/>
      <c r="AB95" s="34"/>
      <c r="AC95" s="34"/>
      <c r="AD95" s="34"/>
      <c r="AE95" s="34"/>
      <c r="AT95" s="19" t="s">
        <v>187</v>
      </c>
      <c r="AU95" s="19" t="s">
        <v>87</v>
      </c>
    </row>
    <row r="96" spans="1:65" s="2" customFormat="1">
      <c r="A96" s="34"/>
      <c r="B96" s="35"/>
      <c r="C96" s="34"/>
      <c r="D96" s="158" t="s">
        <v>189</v>
      </c>
      <c r="E96" s="34"/>
      <c r="F96" s="159" t="s">
        <v>573</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189</v>
      </c>
      <c r="AU96" s="19" t="s">
        <v>87</v>
      </c>
    </row>
    <row r="97" spans="1:65" s="14" customFormat="1">
      <c r="B97" s="169"/>
      <c r="D97" s="153" t="s">
        <v>193</v>
      </c>
      <c r="E97" s="170" t="s">
        <v>3</v>
      </c>
      <c r="F97" s="171" t="s">
        <v>1344</v>
      </c>
      <c r="H97" s="170" t="s">
        <v>3</v>
      </c>
      <c r="I97" s="172"/>
      <c r="L97" s="169"/>
      <c r="M97" s="173"/>
      <c r="N97" s="174"/>
      <c r="O97" s="174"/>
      <c r="P97" s="174"/>
      <c r="Q97" s="174"/>
      <c r="R97" s="174"/>
      <c r="S97" s="174"/>
      <c r="T97" s="175"/>
      <c r="AT97" s="170" t="s">
        <v>193</v>
      </c>
      <c r="AU97" s="170" t="s">
        <v>87</v>
      </c>
      <c r="AV97" s="14" t="s">
        <v>85</v>
      </c>
      <c r="AW97" s="14" t="s">
        <v>36</v>
      </c>
      <c r="AX97" s="14" t="s">
        <v>77</v>
      </c>
      <c r="AY97" s="170" t="s">
        <v>177</v>
      </c>
    </row>
    <row r="98" spans="1:65" s="13" customFormat="1">
      <c r="B98" s="161"/>
      <c r="D98" s="153" t="s">
        <v>193</v>
      </c>
      <c r="E98" s="162" t="s">
        <v>3</v>
      </c>
      <c r="F98" s="163" t="s">
        <v>1345</v>
      </c>
      <c r="H98" s="164">
        <v>5.9589999999999996</v>
      </c>
      <c r="I98" s="165"/>
      <c r="L98" s="161"/>
      <c r="M98" s="166"/>
      <c r="N98" s="167"/>
      <c r="O98" s="167"/>
      <c r="P98" s="167"/>
      <c r="Q98" s="167"/>
      <c r="R98" s="167"/>
      <c r="S98" s="167"/>
      <c r="T98" s="168"/>
      <c r="AT98" s="162" t="s">
        <v>193</v>
      </c>
      <c r="AU98" s="162" t="s">
        <v>87</v>
      </c>
      <c r="AV98" s="13" t="s">
        <v>87</v>
      </c>
      <c r="AW98" s="13" t="s">
        <v>36</v>
      </c>
      <c r="AX98" s="13" t="s">
        <v>77</v>
      </c>
      <c r="AY98" s="162" t="s">
        <v>177</v>
      </c>
    </row>
    <row r="99" spans="1:65" s="16" customFormat="1">
      <c r="B99" s="184"/>
      <c r="D99" s="153" t="s">
        <v>193</v>
      </c>
      <c r="E99" s="185" t="s">
        <v>3</v>
      </c>
      <c r="F99" s="186" t="s">
        <v>201</v>
      </c>
      <c r="H99" s="187">
        <v>5.9589999999999996</v>
      </c>
      <c r="I99" s="188"/>
      <c r="L99" s="184"/>
      <c r="M99" s="189"/>
      <c r="N99" s="190"/>
      <c r="O99" s="190"/>
      <c r="P99" s="190"/>
      <c r="Q99" s="190"/>
      <c r="R99" s="190"/>
      <c r="S99" s="190"/>
      <c r="T99" s="191"/>
      <c r="AT99" s="185" t="s">
        <v>193</v>
      </c>
      <c r="AU99" s="185" t="s">
        <v>87</v>
      </c>
      <c r="AV99" s="16" t="s">
        <v>185</v>
      </c>
      <c r="AW99" s="16" t="s">
        <v>36</v>
      </c>
      <c r="AX99" s="16" t="s">
        <v>85</v>
      </c>
      <c r="AY99" s="185" t="s">
        <v>177</v>
      </c>
    </row>
    <row r="100" spans="1:65" s="12" customFormat="1" ht="22.9" customHeight="1">
      <c r="B100" s="126"/>
      <c r="D100" s="127" t="s">
        <v>76</v>
      </c>
      <c r="E100" s="137" t="s">
        <v>233</v>
      </c>
      <c r="F100" s="137" t="s">
        <v>626</v>
      </c>
      <c r="I100" s="129"/>
      <c r="J100" s="138">
        <f>BK100</f>
        <v>0</v>
      </c>
      <c r="L100" s="126"/>
      <c r="M100" s="131"/>
      <c r="N100" s="132"/>
      <c r="O100" s="132"/>
      <c r="P100" s="133">
        <f>SUM(P101:P126)</f>
        <v>0</v>
      </c>
      <c r="Q100" s="132"/>
      <c r="R100" s="133">
        <f>SUM(R101:R126)</f>
        <v>25.694660998399996</v>
      </c>
      <c r="S100" s="132"/>
      <c r="T100" s="134">
        <f>SUM(T101:T126)</f>
        <v>0</v>
      </c>
      <c r="AR100" s="127" t="s">
        <v>85</v>
      </c>
      <c r="AT100" s="135" t="s">
        <v>76</v>
      </c>
      <c r="AU100" s="135" t="s">
        <v>85</v>
      </c>
      <c r="AY100" s="127" t="s">
        <v>177</v>
      </c>
      <c r="BK100" s="136">
        <f>SUM(BK101:BK126)</f>
        <v>0</v>
      </c>
    </row>
    <row r="101" spans="1:65" s="2" customFormat="1" ht="16.5" customHeight="1">
      <c r="A101" s="34"/>
      <c r="B101" s="139"/>
      <c r="C101" s="140" t="s">
        <v>87</v>
      </c>
      <c r="D101" s="140" t="s">
        <v>180</v>
      </c>
      <c r="E101" s="141" t="s">
        <v>1346</v>
      </c>
      <c r="F101" s="142" t="s">
        <v>1347</v>
      </c>
      <c r="G101" s="143" t="s">
        <v>808</v>
      </c>
      <c r="H101" s="144">
        <v>49.875999999999998</v>
      </c>
      <c r="I101" s="145"/>
      <c r="J101" s="146">
        <f>ROUND(I101*H101,2)</f>
        <v>0</v>
      </c>
      <c r="K101" s="142" t="s">
        <v>184</v>
      </c>
      <c r="L101" s="35"/>
      <c r="M101" s="147" t="s">
        <v>3</v>
      </c>
      <c r="N101" s="148" t="s">
        <v>48</v>
      </c>
      <c r="O101" s="55"/>
      <c r="P101" s="149">
        <f>O101*H101</f>
        <v>0</v>
      </c>
      <c r="Q101" s="149">
        <v>0</v>
      </c>
      <c r="R101" s="149">
        <f>Q101*H101</f>
        <v>0</v>
      </c>
      <c r="S101" s="149">
        <v>0</v>
      </c>
      <c r="T101" s="150">
        <f>S101*H101</f>
        <v>0</v>
      </c>
      <c r="U101" s="34"/>
      <c r="V101" s="34"/>
      <c r="W101" s="34"/>
      <c r="X101" s="34"/>
      <c r="Y101" s="34"/>
      <c r="Z101" s="34"/>
      <c r="AA101" s="34"/>
      <c r="AB101" s="34"/>
      <c r="AC101" s="34"/>
      <c r="AD101" s="34"/>
      <c r="AE101" s="34"/>
      <c r="AR101" s="151" t="s">
        <v>185</v>
      </c>
      <c r="AT101" s="151" t="s">
        <v>180</v>
      </c>
      <c r="AU101" s="151" t="s">
        <v>87</v>
      </c>
      <c r="AY101" s="19" t="s">
        <v>177</v>
      </c>
      <c r="BE101" s="152">
        <f>IF(N101="základní",J101,0)</f>
        <v>0</v>
      </c>
      <c r="BF101" s="152">
        <f>IF(N101="snížená",J101,0)</f>
        <v>0</v>
      </c>
      <c r="BG101" s="152">
        <f>IF(N101="zákl. přenesená",J101,0)</f>
        <v>0</v>
      </c>
      <c r="BH101" s="152">
        <f>IF(N101="sníž. přenesená",J101,0)</f>
        <v>0</v>
      </c>
      <c r="BI101" s="152">
        <f>IF(N101="nulová",J101,0)</f>
        <v>0</v>
      </c>
      <c r="BJ101" s="19" t="s">
        <v>85</v>
      </c>
      <c r="BK101" s="152">
        <f>ROUND(I101*H101,2)</f>
        <v>0</v>
      </c>
      <c r="BL101" s="19" t="s">
        <v>185</v>
      </c>
      <c r="BM101" s="151" t="s">
        <v>1348</v>
      </c>
    </row>
    <row r="102" spans="1:65" s="2" customFormat="1">
      <c r="A102" s="34"/>
      <c r="B102" s="35"/>
      <c r="C102" s="34"/>
      <c r="D102" s="153" t="s">
        <v>187</v>
      </c>
      <c r="E102" s="34"/>
      <c r="F102" s="154" t="s">
        <v>1349</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187</v>
      </c>
      <c r="AU102" s="19" t="s">
        <v>87</v>
      </c>
    </row>
    <row r="103" spans="1:65" s="2" customFormat="1">
      <c r="A103" s="34"/>
      <c r="B103" s="35"/>
      <c r="C103" s="34"/>
      <c r="D103" s="158" t="s">
        <v>189</v>
      </c>
      <c r="E103" s="34"/>
      <c r="F103" s="159" t="s">
        <v>1350</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189</v>
      </c>
      <c r="AU103" s="19" t="s">
        <v>87</v>
      </c>
    </row>
    <row r="104" spans="1:65" s="2" customFormat="1" ht="58.5">
      <c r="A104" s="34"/>
      <c r="B104" s="35"/>
      <c r="C104" s="34"/>
      <c r="D104" s="153" t="s">
        <v>191</v>
      </c>
      <c r="E104" s="34"/>
      <c r="F104" s="160" t="s">
        <v>1351</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191</v>
      </c>
      <c r="AU104" s="19" t="s">
        <v>87</v>
      </c>
    </row>
    <row r="105" spans="1:65" s="2" customFormat="1" ht="16.5" customHeight="1">
      <c r="A105" s="34"/>
      <c r="B105" s="139"/>
      <c r="C105" s="140" t="s">
        <v>198</v>
      </c>
      <c r="D105" s="140" t="s">
        <v>180</v>
      </c>
      <c r="E105" s="141" t="s">
        <v>1352</v>
      </c>
      <c r="F105" s="142" t="s">
        <v>1353</v>
      </c>
      <c r="G105" s="143" t="s">
        <v>808</v>
      </c>
      <c r="H105" s="144">
        <v>49.875999999999998</v>
      </c>
      <c r="I105" s="145"/>
      <c r="J105" s="146">
        <f>ROUND(I105*H105,2)</f>
        <v>0</v>
      </c>
      <c r="K105" s="142" t="s">
        <v>184</v>
      </c>
      <c r="L105" s="35"/>
      <c r="M105" s="147" t="s">
        <v>3</v>
      </c>
      <c r="N105" s="148" t="s">
        <v>48</v>
      </c>
      <c r="O105" s="55"/>
      <c r="P105" s="149">
        <f>O105*H105</f>
        <v>0</v>
      </c>
      <c r="Q105" s="149">
        <v>0</v>
      </c>
      <c r="R105" s="149">
        <f>Q105*H105</f>
        <v>0</v>
      </c>
      <c r="S105" s="149">
        <v>0</v>
      </c>
      <c r="T105" s="150">
        <f>S105*H105</f>
        <v>0</v>
      </c>
      <c r="U105" s="34"/>
      <c r="V105" s="34"/>
      <c r="W105" s="34"/>
      <c r="X105" s="34"/>
      <c r="Y105" s="34"/>
      <c r="Z105" s="34"/>
      <c r="AA105" s="34"/>
      <c r="AB105" s="34"/>
      <c r="AC105" s="34"/>
      <c r="AD105" s="34"/>
      <c r="AE105" s="34"/>
      <c r="AR105" s="151" t="s">
        <v>185</v>
      </c>
      <c r="AT105" s="151" t="s">
        <v>180</v>
      </c>
      <c r="AU105" s="151" t="s">
        <v>87</v>
      </c>
      <c r="AY105" s="19" t="s">
        <v>177</v>
      </c>
      <c r="BE105" s="152">
        <f>IF(N105="základní",J105,0)</f>
        <v>0</v>
      </c>
      <c r="BF105" s="152">
        <f>IF(N105="snížená",J105,0)</f>
        <v>0</v>
      </c>
      <c r="BG105" s="152">
        <f>IF(N105="zákl. přenesená",J105,0)</f>
        <v>0</v>
      </c>
      <c r="BH105" s="152">
        <f>IF(N105="sníž. přenesená",J105,0)</f>
        <v>0</v>
      </c>
      <c r="BI105" s="152">
        <f>IF(N105="nulová",J105,0)</f>
        <v>0</v>
      </c>
      <c r="BJ105" s="19" t="s">
        <v>85</v>
      </c>
      <c r="BK105" s="152">
        <f>ROUND(I105*H105,2)</f>
        <v>0</v>
      </c>
      <c r="BL105" s="19" t="s">
        <v>185</v>
      </c>
      <c r="BM105" s="151" t="s">
        <v>1354</v>
      </c>
    </row>
    <row r="106" spans="1:65" s="2" customFormat="1">
      <c r="A106" s="34"/>
      <c r="B106" s="35"/>
      <c r="C106" s="34"/>
      <c r="D106" s="153" t="s">
        <v>187</v>
      </c>
      <c r="E106" s="34"/>
      <c r="F106" s="154" t="s">
        <v>1355</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187</v>
      </c>
      <c r="AU106" s="19" t="s">
        <v>87</v>
      </c>
    </row>
    <row r="107" spans="1:65" s="2" customFormat="1">
      <c r="A107" s="34"/>
      <c r="B107" s="35"/>
      <c r="C107" s="34"/>
      <c r="D107" s="158" t="s">
        <v>189</v>
      </c>
      <c r="E107" s="34"/>
      <c r="F107" s="159" t="s">
        <v>1356</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189</v>
      </c>
      <c r="AU107" s="19" t="s">
        <v>87</v>
      </c>
    </row>
    <row r="108" spans="1:65" s="2" customFormat="1" ht="58.5">
      <c r="A108" s="34"/>
      <c r="B108" s="35"/>
      <c r="C108" s="34"/>
      <c r="D108" s="153" t="s">
        <v>191</v>
      </c>
      <c r="E108" s="34"/>
      <c r="F108" s="160" t="s">
        <v>1351</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191</v>
      </c>
      <c r="AU108" s="19" t="s">
        <v>87</v>
      </c>
    </row>
    <row r="109" spans="1:65" s="2" customFormat="1" ht="21.75" customHeight="1">
      <c r="A109" s="34"/>
      <c r="B109" s="139"/>
      <c r="C109" s="140" t="s">
        <v>185</v>
      </c>
      <c r="D109" s="140" t="s">
        <v>180</v>
      </c>
      <c r="E109" s="141" t="s">
        <v>1357</v>
      </c>
      <c r="F109" s="142" t="s">
        <v>1358</v>
      </c>
      <c r="G109" s="143" t="s">
        <v>808</v>
      </c>
      <c r="H109" s="144">
        <v>49.875999999999998</v>
      </c>
      <c r="I109" s="145"/>
      <c r="J109" s="146">
        <f>ROUND(I109*H109,2)</f>
        <v>0</v>
      </c>
      <c r="K109" s="142" t="s">
        <v>184</v>
      </c>
      <c r="L109" s="35"/>
      <c r="M109" s="147" t="s">
        <v>3</v>
      </c>
      <c r="N109" s="148" t="s">
        <v>48</v>
      </c>
      <c r="O109" s="55"/>
      <c r="P109" s="149">
        <f>O109*H109</f>
        <v>0</v>
      </c>
      <c r="Q109" s="149">
        <v>0.51500000000000001</v>
      </c>
      <c r="R109" s="149">
        <f>Q109*H109</f>
        <v>25.686139999999998</v>
      </c>
      <c r="S109" s="149">
        <v>0</v>
      </c>
      <c r="T109" s="150">
        <f>S109*H109</f>
        <v>0</v>
      </c>
      <c r="U109" s="34"/>
      <c r="V109" s="34"/>
      <c r="W109" s="34"/>
      <c r="X109" s="34"/>
      <c r="Y109" s="34"/>
      <c r="Z109" s="34"/>
      <c r="AA109" s="34"/>
      <c r="AB109" s="34"/>
      <c r="AC109" s="34"/>
      <c r="AD109" s="34"/>
      <c r="AE109" s="34"/>
      <c r="AR109" s="151" t="s">
        <v>185</v>
      </c>
      <c r="AT109" s="151" t="s">
        <v>180</v>
      </c>
      <c r="AU109" s="151" t="s">
        <v>87</v>
      </c>
      <c r="AY109" s="19" t="s">
        <v>177</v>
      </c>
      <c r="BE109" s="152">
        <f>IF(N109="základní",J109,0)</f>
        <v>0</v>
      </c>
      <c r="BF109" s="152">
        <f>IF(N109="snížená",J109,0)</f>
        <v>0</v>
      </c>
      <c r="BG109" s="152">
        <f>IF(N109="zákl. přenesená",J109,0)</f>
        <v>0</v>
      </c>
      <c r="BH109" s="152">
        <f>IF(N109="sníž. přenesená",J109,0)</f>
        <v>0</v>
      </c>
      <c r="BI109" s="152">
        <f>IF(N109="nulová",J109,0)</f>
        <v>0</v>
      </c>
      <c r="BJ109" s="19" t="s">
        <v>85</v>
      </c>
      <c r="BK109" s="152">
        <f>ROUND(I109*H109,2)</f>
        <v>0</v>
      </c>
      <c r="BL109" s="19" t="s">
        <v>185</v>
      </c>
      <c r="BM109" s="151" t="s">
        <v>1359</v>
      </c>
    </row>
    <row r="110" spans="1:65" s="2" customFormat="1">
      <c r="A110" s="34"/>
      <c r="B110" s="35"/>
      <c r="C110" s="34"/>
      <c r="D110" s="153" t="s">
        <v>187</v>
      </c>
      <c r="E110" s="34"/>
      <c r="F110" s="154" t="s">
        <v>1360</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187</v>
      </c>
      <c r="AU110" s="19" t="s">
        <v>87</v>
      </c>
    </row>
    <row r="111" spans="1:65" s="2" customFormat="1">
      <c r="A111" s="34"/>
      <c r="B111" s="35"/>
      <c r="C111" s="34"/>
      <c r="D111" s="158" t="s">
        <v>189</v>
      </c>
      <c r="E111" s="34"/>
      <c r="F111" s="159" t="s">
        <v>1361</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189</v>
      </c>
      <c r="AU111" s="19" t="s">
        <v>87</v>
      </c>
    </row>
    <row r="112" spans="1:65" s="2" customFormat="1" ht="29.25">
      <c r="A112" s="34"/>
      <c r="B112" s="35"/>
      <c r="C112" s="34"/>
      <c r="D112" s="153" t="s">
        <v>191</v>
      </c>
      <c r="E112" s="34"/>
      <c r="F112" s="160" t="s">
        <v>1362</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191</v>
      </c>
      <c r="AU112" s="19" t="s">
        <v>87</v>
      </c>
    </row>
    <row r="113" spans="1:65" s="14" customFormat="1">
      <c r="B113" s="169"/>
      <c r="D113" s="153" t="s">
        <v>193</v>
      </c>
      <c r="E113" s="170" t="s">
        <v>3</v>
      </c>
      <c r="F113" s="171" t="s">
        <v>1363</v>
      </c>
      <c r="H113" s="170" t="s">
        <v>3</v>
      </c>
      <c r="I113" s="172"/>
      <c r="L113" s="169"/>
      <c r="M113" s="173"/>
      <c r="N113" s="174"/>
      <c r="O113" s="174"/>
      <c r="P113" s="174"/>
      <c r="Q113" s="174"/>
      <c r="R113" s="174"/>
      <c r="S113" s="174"/>
      <c r="T113" s="175"/>
      <c r="AT113" s="170" t="s">
        <v>193</v>
      </c>
      <c r="AU113" s="170" t="s">
        <v>87</v>
      </c>
      <c r="AV113" s="14" t="s">
        <v>85</v>
      </c>
      <c r="AW113" s="14" t="s">
        <v>36</v>
      </c>
      <c r="AX113" s="14" t="s">
        <v>77</v>
      </c>
      <c r="AY113" s="170" t="s">
        <v>177</v>
      </c>
    </row>
    <row r="114" spans="1:65" s="14" customFormat="1">
      <c r="B114" s="169"/>
      <c r="D114" s="153" t="s">
        <v>193</v>
      </c>
      <c r="E114" s="170" t="s">
        <v>3</v>
      </c>
      <c r="F114" s="171" t="s">
        <v>1364</v>
      </c>
      <c r="H114" s="170" t="s">
        <v>3</v>
      </c>
      <c r="I114" s="172"/>
      <c r="L114" s="169"/>
      <c r="M114" s="173"/>
      <c r="N114" s="174"/>
      <c r="O114" s="174"/>
      <c r="P114" s="174"/>
      <c r="Q114" s="174"/>
      <c r="R114" s="174"/>
      <c r="S114" s="174"/>
      <c r="T114" s="175"/>
      <c r="AT114" s="170" t="s">
        <v>193</v>
      </c>
      <c r="AU114" s="170" t="s">
        <v>87</v>
      </c>
      <c r="AV114" s="14" t="s">
        <v>85</v>
      </c>
      <c r="AW114" s="14" t="s">
        <v>36</v>
      </c>
      <c r="AX114" s="14" t="s">
        <v>77</v>
      </c>
      <c r="AY114" s="170" t="s">
        <v>177</v>
      </c>
    </row>
    <row r="115" spans="1:65" s="13" customFormat="1">
      <c r="B115" s="161"/>
      <c r="D115" s="153" t="s">
        <v>193</v>
      </c>
      <c r="E115" s="162" t="s">
        <v>3</v>
      </c>
      <c r="F115" s="163" t="s">
        <v>1365</v>
      </c>
      <c r="H115" s="164">
        <v>49.875999999999998</v>
      </c>
      <c r="I115" s="165"/>
      <c r="L115" s="161"/>
      <c r="M115" s="166"/>
      <c r="N115" s="167"/>
      <c r="O115" s="167"/>
      <c r="P115" s="167"/>
      <c r="Q115" s="167"/>
      <c r="R115" s="167"/>
      <c r="S115" s="167"/>
      <c r="T115" s="168"/>
      <c r="AT115" s="162" t="s">
        <v>193</v>
      </c>
      <c r="AU115" s="162" t="s">
        <v>87</v>
      </c>
      <c r="AV115" s="13" t="s">
        <v>87</v>
      </c>
      <c r="AW115" s="13" t="s">
        <v>36</v>
      </c>
      <c r="AX115" s="13" t="s">
        <v>85</v>
      </c>
      <c r="AY115" s="162" t="s">
        <v>177</v>
      </c>
    </row>
    <row r="116" spans="1:65" s="2" customFormat="1" ht="16.5" customHeight="1">
      <c r="A116" s="34"/>
      <c r="B116" s="139"/>
      <c r="C116" s="140" t="s">
        <v>200</v>
      </c>
      <c r="D116" s="140" t="s">
        <v>180</v>
      </c>
      <c r="E116" s="141" t="s">
        <v>1366</v>
      </c>
      <c r="F116" s="142" t="s">
        <v>1367</v>
      </c>
      <c r="G116" s="143" t="s">
        <v>476</v>
      </c>
      <c r="H116" s="144">
        <v>103.36</v>
      </c>
      <c r="I116" s="145"/>
      <c r="J116" s="146">
        <f>ROUND(I116*H116,2)</f>
        <v>0</v>
      </c>
      <c r="K116" s="142" t="s">
        <v>184</v>
      </c>
      <c r="L116" s="35"/>
      <c r="M116" s="147" t="s">
        <v>3</v>
      </c>
      <c r="N116" s="148" t="s">
        <v>48</v>
      </c>
      <c r="O116" s="55"/>
      <c r="P116" s="149">
        <f>O116*H116</f>
        <v>0</v>
      </c>
      <c r="Q116" s="149">
        <v>8.0140000000000002E-5</v>
      </c>
      <c r="R116" s="149">
        <f>Q116*H116</f>
        <v>8.2832704000000007E-3</v>
      </c>
      <c r="S116" s="149">
        <v>0</v>
      </c>
      <c r="T116" s="150">
        <f>S116*H116</f>
        <v>0</v>
      </c>
      <c r="U116" s="34"/>
      <c r="V116" s="34"/>
      <c r="W116" s="34"/>
      <c r="X116" s="34"/>
      <c r="Y116" s="34"/>
      <c r="Z116" s="34"/>
      <c r="AA116" s="34"/>
      <c r="AB116" s="34"/>
      <c r="AC116" s="34"/>
      <c r="AD116" s="34"/>
      <c r="AE116" s="34"/>
      <c r="AR116" s="151" t="s">
        <v>185</v>
      </c>
      <c r="AT116" s="151" t="s">
        <v>180</v>
      </c>
      <c r="AU116" s="151" t="s">
        <v>87</v>
      </c>
      <c r="AY116" s="19" t="s">
        <v>177</v>
      </c>
      <c r="BE116" s="152">
        <f>IF(N116="základní",J116,0)</f>
        <v>0</v>
      </c>
      <c r="BF116" s="152">
        <f>IF(N116="snížená",J116,0)</f>
        <v>0</v>
      </c>
      <c r="BG116" s="152">
        <f>IF(N116="zákl. přenesená",J116,0)</f>
        <v>0</v>
      </c>
      <c r="BH116" s="152">
        <f>IF(N116="sníž. přenesená",J116,0)</f>
        <v>0</v>
      </c>
      <c r="BI116" s="152">
        <f>IF(N116="nulová",J116,0)</f>
        <v>0</v>
      </c>
      <c r="BJ116" s="19" t="s">
        <v>85</v>
      </c>
      <c r="BK116" s="152">
        <f>ROUND(I116*H116,2)</f>
        <v>0</v>
      </c>
      <c r="BL116" s="19" t="s">
        <v>185</v>
      </c>
      <c r="BM116" s="151" t="s">
        <v>1368</v>
      </c>
    </row>
    <row r="117" spans="1:65" s="2" customFormat="1">
      <c r="A117" s="34"/>
      <c r="B117" s="35"/>
      <c r="C117" s="34"/>
      <c r="D117" s="153" t="s">
        <v>187</v>
      </c>
      <c r="E117" s="34"/>
      <c r="F117" s="154" t="s">
        <v>1369</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187</v>
      </c>
      <c r="AU117" s="19" t="s">
        <v>87</v>
      </c>
    </row>
    <row r="118" spans="1:65" s="2" customFormat="1">
      <c r="A118" s="34"/>
      <c r="B118" s="35"/>
      <c r="C118" s="34"/>
      <c r="D118" s="158" t="s">
        <v>189</v>
      </c>
      <c r="E118" s="34"/>
      <c r="F118" s="159" t="s">
        <v>1370</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189</v>
      </c>
      <c r="AU118" s="19" t="s">
        <v>87</v>
      </c>
    </row>
    <row r="119" spans="1:65" s="2" customFormat="1" ht="39">
      <c r="A119" s="34"/>
      <c r="B119" s="35"/>
      <c r="C119" s="34"/>
      <c r="D119" s="153" t="s">
        <v>191</v>
      </c>
      <c r="E119" s="34"/>
      <c r="F119" s="160" t="s">
        <v>1371</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191</v>
      </c>
      <c r="AU119" s="19" t="s">
        <v>87</v>
      </c>
    </row>
    <row r="120" spans="1:65" s="2" customFormat="1" ht="16.5" customHeight="1">
      <c r="A120" s="34"/>
      <c r="B120" s="139"/>
      <c r="C120" s="140" t="s">
        <v>233</v>
      </c>
      <c r="D120" s="140" t="s">
        <v>180</v>
      </c>
      <c r="E120" s="141" t="s">
        <v>1372</v>
      </c>
      <c r="F120" s="142" t="s">
        <v>1373</v>
      </c>
      <c r="G120" s="143" t="s">
        <v>476</v>
      </c>
      <c r="H120" s="144">
        <v>103.36</v>
      </c>
      <c r="I120" s="145"/>
      <c r="J120" s="146">
        <f>ROUND(I120*H120,2)</f>
        <v>0</v>
      </c>
      <c r="K120" s="142" t="s">
        <v>184</v>
      </c>
      <c r="L120" s="35"/>
      <c r="M120" s="147" t="s">
        <v>3</v>
      </c>
      <c r="N120" s="148" t="s">
        <v>48</v>
      </c>
      <c r="O120" s="55"/>
      <c r="P120" s="149">
        <f>O120*H120</f>
        <v>0</v>
      </c>
      <c r="Q120" s="149">
        <v>2.3E-6</v>
      </c>
      <c r="R120" s="149">
        <f>Q120*H120</f>
        <v>2.3772800000000001E-4</v>
      </c>
      <c r="S120" s="149">
        <v>0</v>
      </c>
      <c r="T120" s="150">
        <f>S120*H120</f>
        <v>0</v>
      </c>
      <c r="U120" s="34"/>
      <c r="V120" s="34"/>
      <c r="W120" s="34"/>
      <c r="X120" s="34"/>
      <c r="Y120" s="34"/>
      <c r="Z120" s="34"/>
      <c r="AA120" s="34"/>
      <c r="AB120" s="34"/>
      <c r="AC120" s="34"/>
      <c r="AD120" s="34"/>
      <c r="AE120" s="34"/>
      <c r="AR120" s="151" t="s">
        <v>185</v>
      </c>
      <c r="AT120" s="151" t="s">
        <v>180</v>
      </c>
      <c r="AU120" s="151" t="s">
        <v>87</v>
      </c>
      <c r="AY120" s="19" t="s">
        <v>177</v>
      </c>
      <c r="BE120" s="152">
        <f>IF(N120="základní",J120,0)</f>
        <v>0</v>
      </c>
      <c r="BF120" s="152">
        <f>IF(N120="snížená",J120,0)</f>
        <v>0</v>
      </c>
      <c r="BG120" s="152">
        <f>IF(N120="zákl. přenesená",J120,0)</f>
        <v>0</v>
      </c>
      <c r="BH120" s="152">
        <f>IF(N120="sníž. přenesená",J120,0)</f>
        <v>0</v>
      </c>
      <c r="BI120" s="152">
        <f>IF(N120="nulová",J120,0)</f>
        <v>0</v>
      </c>
      <c r="BJ120" s="19" t="s">
        <v>85</v>
      </c>
      <c r="BK120" s="152">
        <f>ROUND(I120*H120,2)</f>
        <v>0</v>
      </c>
      <c r="BL120" s="19" t="s">
        <v>185</v>
      </c>
      <c r="BM120" s="151" t="s">
        <v>1374</v>
      </c>
    </row>
    <row r="121" spans="1:65" s="2" customFormat="1">
      <c r="A121" s="34"/>
      <c r="B121" s="35"/>
      <c r="C121" s="34"/>
      <c r="D121" s="153" t="s">
        <v>187</v>
      </c>
      <c r="E121" s="34"/>
      <c r="F121" s="154" t="s">
        <v>1375</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187</v>
      </c>
      <c r="AU121" s="19" t="s">
        <v>87</v>
      </c>
    </row>
    <row r="122" spans="1:65" s="2" customFormat="1">
      <c r="A122" s="34"/>
      <c r="B122" s="35"/>
      <c r="C122" s="34"/>
      <c r="D122" s="158" t="s">
        <v>189</v>
      </c>
      <c r="E122" s="34"/>
      <c r="F122" s="159" t="s">
        <v>1376</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189</v>
      </c>
      <c r="AU122" s="19" t="s">
        <v>87</v>
      </c>
    </row>
    <row r="123" spans="1:65" s="2" customFormat="1" ht="29.25">
      <c r="A123" s="34"/>
      <c r="B123" s="35"/>
      <c r="C123" s="34"/>
      <c r="D123" s="153" t="s">
        <v>191</v>
      </c>
      <c r="E123" s="34"/>
      <c r="F123" s="160" t="s">
        <v>1377</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191</v>
      </c>
      <c r="AU123" s="19" t="s">
        <v>87</v>
      </c>
    </row>
    <row r="124" spans="1:65" s="13" customFormat="1">
      <c r="B124" s="161"/>
      <c r="D124" s="153" t="s">
        <v>193</v>
      </c>
      <c r="E124" s="162" t="s">
        <v>3</v>
      </c>
      <c r="F124" s="163" t="s">
        <v>1378</v>
      </c>
      <c r="H124" s="164">
        <v>103.36</v>
      </c>
      <c r="I124" s="165"/>
      <c r="L124" s="161"/>
      <c r="M124" s="166"/>
      <c r="N124" s="167"/>
      <c r="O124" s="167"/>
      <c r="P124" s="167"/>
      <c r="Q124" s="167"/>
      <c r="R124" s="167"/>
      <c r="S124" s="167"/>
      <c r="T124" s="168"/>
      <c r="AT124" s="162" t="s">
        <v>193</v>
      </c>
      <c r="AU124" s="162" t="s">
        <v>87</v>
      </c>
      <c r="AV124" s="13" t="s">
        <v>87</v>
      </c>
      <c r="AW124" s="13" t="s">
        <v>36</v>
      </c>
      <c r="AX124" s="13" t="s">
        <v>85</v>
      </c>
      <c r="AY124" s="162" t="s">
        <v>177</v>
      </c>
    </row>
    <row r="125" spans="1:65" s="2" customFormat="1" ht="16.5" customHeight="1">
      <c r="A125" s="34"/>
      <c r="B125" s="139"/>
      <c r="C125" s="140" t="s">
        <v>241</v>
      </c>
      <c r="D125" s="140" t="s">
        <v>180</v>
      </c>
      <c r="E125" s="141" t="s">
        <v>1379</v>
      </c>
      <c r="F125" s="142" t="s">
        <v>1380</v>
      </c>
      <c r="G125" s="143" t="s">
        <v>305</v>
      </c>
      <c r="H125" s="144">
        <v>30</v>
      </c>
      <c r="I125" s="145"/>
      <c r="J125" s="146">
        <f>ROUND(I125*H125,2)</f>
        <v>0</v>
      </c>
      <c r="K125" s="142" t="s">
        <v>244</v>
      </c>
      <c r="L125" s="35"/>
      <c r="M125" s="147" t="s">
        <v>3</v>
      </c>
      <c r="N125" s="148" t="s">
        <v>48</v>
      </c>
      <c r="O125" s="55"/>
      <c r="P125" s="149">
        <f>O125*H125</f>
        <v>0</v>
      </c>
      <c r="Q125" s="149">
        <v>0</v>
      </c>
      <c r="R125" s="149">
        <f>Q125*H125</f>
        <v>0</v>
      </c>
      <c r="S125" s="149">
        <v>0</v>
      </c>
      <c r="T125" s="150">
        <f>S125*H125</f>
        <v>0</v>
      </c>
      <c r="U125" s="34"/>
      <c r="V125" s="34"/>
      <c r="W125" s="34"/>
      <c r="X125" s="34"/>
      <c r="Y125" s="34"/>
      <c r="Z125" s="34"/>
      <c r="AA125" s="34"/>
      <c r="AB125" s="34"/>
      <c r="AC125" s="34"/>
      <c r="AD125" s="34"/>
      <c r="AE125" s="34"/>
      <c r="AR125" s="151" t="s">
        <v>185</v>
      </c>
      <c r="AT125" s="151" t="s">
        <v>180</v>
      </c>
      <c r="AU125" s="151" t="s">
        <v>87</v>
      </c>
      <c r="AY125" s="19" t="s">
        <v>177</v>
      </c>
      <c r="BE125" s="152">
        <f>IF(N125="základní",J125,0)</f>
        <v>0</v>
      </c>
      <c r="BF125" s="152">
        <f>IF(N125="snížená",J125,0)</f>
        <v>0</v>
      </c>
      <c r="BG125" s="152">
        <f>IF(N125="zákl. přenesená",J125,0)</f>
        <v>0</v>
      </c>
      <c r="BH125" s="152">
        <f>IF(N125="sníž. přenesená",J125,0)</f>
        <v>0</v>
      </c>
      <c r="BI125" s="152">
        <f>IF(N125="nulová",J125,0)</f>
        <v>0</v>
      </c>
      <c r="BJ125" s="19" t="s">
        <v>85</v>
      </c>
      <c r="BK125" s="152">
        <f>ROUND(I125*H125,2)</f>
        <v>0</v>
      </c>
      <c r="BL125" s="19" t="s">
        <v>185</v>
      </c>
      <c r="BM125" s="151" t="s">
        <v>1381</v>
      </c>
    </row>
    <row r="126" spans="1:65" s="2" customFormat="1">
      <c r="A126" s="34"/>
      <c r="B126" s="35"/>
      <c r="C126" s="34"/>
      <c r="D126" s="153" t="s">
        <v>187</v>
      </c>
      <c r="E126" s="34"/>
      <c r="F126" s="154" t="s">
        <v>1380</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187</v>
      </c>
      <c r="AU126" s="19" t="s">
        <v>87</v>
      </c>
    </row>
    <row r="127" spans="1:65" s="12" customFormat="1" ht="22.9" customHeight="1">
      <c r="B127" s="126"/>
      <c r="D127" s="127" t="s">
        <v>76</v>
      </c>
      <c r="E127" s="137" t="s">
        <v>252</v>
      </c>
      <c r="F127" s="137" t="s">
        <v>329</v>
      </c>
      <c r="I127" s="129"/>
      <c r="J127" s="138">
        <f>BK127</f>
        <v>0</v>
      </c>
      <c r="L127" s="126"/>
      <c r="M127" s="131"/>
      <c r="N127" s="132"/>
      <c r="O127" s="132"/>
      <c r="P127" s="133">
        <f>SUM(P128:P165)</f>
        <v>0</v>
      </c>
      <c r="Q127" s="132"/>
      <c r="R127" s="133">
        <f>SUM(R128:R165)</f>
        <v>2.1634555999999996E-2</v>
      </c>
      <c r="S127" s="132"/>
      <c r="T127" s="134">
        <f>SUM(T128:T165)</f>
        <v>2.375E-2</v>
      </c>
      <c r="AR127" s="127" t="s">
        <v>85</v>
      </c>
      <c r="AT127" s="135" t="s">
        <v>76</v>
      </c>
      <c r="AU127" s="135" t="s">
        <v>85</v>
      </c>
      <c r="AY127" s="127" t="s">
        <v>177</v>
      </c>
      <c r="BK127" s="136">
        <f>SUM(BK128:BK165)</f>
        <v>0</v>
      </c>
    </row>
    <row r="128" spans="1:65" s="2" customFormat="1" ht="21.75" customHeight="1">
      <c r="A128" s="34"/>
      <c r="B128" s="139"/>
      <c r="C128" s="140" t="s">
        <v>248</v>
      </c>
      <c r="D128" s="140" t="s">
        <v>180</v>
      </c>
      <c r="E128" s="141" t="s">
        <v>682</v>
      </c>
      <c r="F128" s="142" t="s">
        <v>683</v>
      </c>
      <c r="G128" s="143" t="s">
        <v>332</v>
      </c>
      <c r="H128" s="144">
        <v>50</v>
      </c>
      <c r="I128" s="145"/>
      <c r="J128" s="146">
        <f>ROUND(I128*H128,2)</f>
        <v>0</v>
      </c>
      <c r="K128" s="142" t="s">
        <v>184</v>
      </c>
      <c r="L128" s="35"/>
      <c r="M128" s="147" t="s">
        <v>3</v>
      </c>
      <c r="N128" s="148" t="s">
        <v>48</v>
      </c>
      <c r="O128" s="55"/>
      <c r="P128" s="149">
        <f>O128*H128</f>
        <v>0</v>
      </c>
      <c r="Q128" s="149">
        <v>1.2999999999999999E-4</v>
      </c>
      <c r="R128" s="149">
        <f>Q128*H128</f>
        <v>6.4999999999999997E-3</v>
      </c>
      <c r="S128" s="149">
        <v>0</v>
      </c>
      <c r="T128" s="150">
        <f>S128*H128</f>
        <v>0</v>
      </c>
      <c r="U128" s="34"/>
      <c r="V128" s="34"/>
      <c r="W128" s="34"/>
      <c r="X128" s="34"/>
      <c r="Y128" s="34"/>
      <c r="Z128" s="34"/>
      <c r="AA128" s="34"/>
      <c r="AB128" s="34"/>
      <c r="AC128" s="34"/>
      <c r="AD128" s="34"/>
      <c r="AE128" s="34"/>
      <c r="AR128" s="151" t="s">
        <v>185</v>
      </c>
      <c r="AT128" s="151" t="s">
        <v>180</v>
      </c>
      <c r="AU128" s="151" t="s">
        <v>87</v>
      </c>
      <c r="AY128" s="19" t="s">
        <v>177</v>
      </c>
      <c r="BE128" s="152">
        <f>IF(N128="základní",J128,0)</f>
        <v>0</v>
      </c>
      <c r="BF128" s="152">
        <f>IF(N128="snížená",J128,0)</f>
        <v>0</v>
      </c>
      <c r="BG128" s="152">
        <f>IF(N128="zákl. přenesená",J128,0)</f>
        <v>0</v>
      </c>
      <c r="BH128" s="152">
        <f>IF(N128="sníž. přenesená",J128,0)</f>
        <v>0</v>
      </c>
      <c r="BI128" s="152">
        <f>IF(N128="nulová",J128,0)</f>
        <v>0</v>
      </c>
      <c r="BJ128" s="19" t="s">
        <v>85</v>
      </c>
      <c r="BK128" s="152">
        <f>ROUND(I128*H128,2)</f>
        <v>0</v>
      </c>
      <c r="BL128" s="19" t="s">
        <v>185</v>
      </c>
      <c r="BM128" s="151" t="s">
        <v>1382</v>
      </c>
    </row>
    <row r="129" spans="1:65" s="2" customFormat="1">
      <c r="A129" s="34"/>
      <c r="B129" s="35"/>
      <c r="C129" s="34"/>
      <c r="D129" s="153" t="s">
        <v>187</v>
      </c>
      <c r="E129" s="34"/>
      <c r="F129" s="154" t="s">
        <v>685</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187</v>
      </c>
      <c r="AU129" s="19" t="s">
        <v>87</v>
      </c>
    </row>
    <row r="130" spans="1:65" s="2" customFormat="1">
      <c r="A130" s="34"/>
      <c r="B130" s="35"/>
      <c r="C130" s="34"/>
      <c r="D130" s="158" t="s">
        <v>189</v>
      </c>
      <c r="E130" s="34"/>
      <c r="F130" s="159" t="s">
        <v>686</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189</v>
      </c>
      <c r="AU130" s="19" t="s">
        <v>87</v>
      </c>
    </row>
    <row r="131" spans="1:65" s="2" customFormat="1" ht="48.75">
      <c r="A131" s="34"/>
      <c r="B131" s="35"/>
      <c r="C131" s="34"/>
      <c r="D131" s="153" t="s">
        <v>191</v>
      </c>
      <c r="E131" s="34"/>
      <c r="F131" s="160" t="s">
        <v>336</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191</v>
      </c>
      <c r="AU131" s="19" t="s">
        <v>87</v>
      </c>
    </row>
    <row r="132" spans="1:65" s="13" customFormat="1">
      <c r="B132" s="161"/>
      <c r="D132" s="153" t="s">
        <v>193</v>
      </c>
      <c r="E132" s="162" t="s">
        <v>3</v>
      </c>
      <c r="F132" s="163" t="s">
        <v>1166</v>
      </c>
      <c r="H132" s="164">
        <v>50</v>
      </c>
      <c r="I132" s="165"/>
      <c r="L132" s="161"/>
      <c r="M132" s="166"/>
      <c r="N132" s="167"/>
      <c r="O132" s="167"/>
      <c r="P132" s="167"/>
      <c r="Q132" s="167"/>
      <c r="R132" s="167"/>
      <c r="S132" s="167"/>
      <c r="T132" s="168"/>
      <c r="AT132" s="162" t="s">
        <v>193</v>
      </c>
      <c r="AU132" s="162" t="s">
        <v>87</v>
      </c>
      <c r="AV132" s="13" t="s">
        <v>87</v>
      </c>
      <c r="AW132" s="13" t="s">
        <v>36</v>
      </c>
      <c r="AX132" s="13" t="s">
        <v>77</v>
      </c>
      <c r="AY132" s="162" t="s">
        <v>177</v>
      </c>
    </row>
    <row r="133" spans="1:65" s="16" customFormat="1">
      <c r="B133" s="184"/>
      <c r="D133" s="153" t="s">
        <v>193</v>
      </c>
      <c r="E133" s="185" t="s">
        <v>3</v>
      </c>
      <c r="F133" s="186" t="s">
        <v>201</v>
      </c>
      <c r="H133" s="187">
        <v>50</v>
      </c>
      <c r="I133" s="188"/>
      <c r="L133" s="184"/>
      <c r="M133" s="189"/>
      <c r="N133" s="190"/>
      <c r="O133" s="190"/>
      <c r="P133" s="190"/>
      <c r="Q133" s="190"/>
      <c r="R133" s="190"/>
      <c r="S133" s="190"/>
      <c r="T133" s="191"/>
      <c r="AT133" s="185" t="s">
        <v>193</v>
      </c>
      <c r="AU133" s="185" t="s">
        <v>87</v>
      </c>
      <c r="AV133" s="16" t="s">
        <v>185</v>
      </c>
      <c r="AW133" s="16" t="s">
        <v>36</v>
      </c>
      <c r="AX133" s="16" t="s">
        <v>85</v>
      </c>
      <c r="AY133" s="185" t="s">
        <v>177</v>
      </c>
    </row>
    <row r="134" spans="1:65" s="2" customFormat="1" ht="16.5" customHeight="1">
      <c r="A134" s="34"/>
      <c r="B134" s="139"/>
      <c r="C134" s="140" t="s">
        <v>252</v>
      </c>
      <c r="D134" s="140" t="s">
        <v>180</v>
      </c>
      <c r="E134" s="141" t="s">
        <v>339</v>
      </c>
      <c r="F134" s="142" t="s">
        <v>340</v>
      </c>
      <c r="G134" s="143" t="s">
        <v>332</v>
      </c>
      <c r="H134" s="144">
        <v>328.8</v>
      </c>
      <c r="I134" s="145"/>
      <c r="J134" s="146">
        <f>ROUND(I134*H134,2)</f>
        <v>0</v>
      </c>
      <c r="K134" s="142" t="s">
        <v>184</v>
      </c>
      <c r="L134" s="35"/>
      <c r="M134" s="147" t="s">
        <v>3</v>
      </c>
      <c r="N134" s="148" t="s">
        <v>48</v>
      </c>
      <c r="O134" s="55"/>
      <c r="P134" s="149">
        <f>O134*H134</f>
        <v>0</v>
      </c>
      <c r="Q134" s="149">
        <v>3.4999999999999997E-5</v>
      </c>
      <c r="R134" s="149">
        <f>Q134*H134</f>
        <v>1.1507999999999999E-2</v>
      </c>
      <c r="S134" s="149">
        <v>0</v>
      </c>
      <c r="T134" s="150">
        <f>S134*H134</f>
        <v>0</v>
      </c>
      <c r="U134" s="34"/>
      <c r="V134" s="34"/>
      <c r="W134" s="34"/>
      <c r="X134" s="34"/>
      <c r="Y134" s="34"/>
      <c r="Z134" s="34"/>
      <c r="AA134" s="34"/>
      <c r="AB134" s="34"/>
      <c r="AC134" s="34"/>
      <c r="AD134" s="34"/>
      <c r="AE134" s="34"/>
      <c r="AR134" s="151" t="s">
        <v>185</v>
      </c>
      <c r="AT134" s="151" t="s">
        <v>180</v>
      </c>
      <c r="AU134" s="151" t="s">
        <v>87</v>
      </c>
      <c r="AY134" s="19" t="s">
        <v>177</v>
      </c>
      <c r="BE134" s="152">
        <f>IF(N134="základní",J134,0)</f>
        <v>0</v>
      </c>
      <c r="BF134" s="152">
        <f>IF(N134="snížená",J134,0)</f>
        <v>0</v>
      </c>
      <c r="BG134" s="152">
        <f>IF(N134="zákl. přenesená",J134,0)</f>
        <v>0</v>
      </c>
      <c r="BH134" s="152">
        <f>IF(N134="sníž. přenesená",J134,0)</f>
        <v>0</v>
      </c>
      <c r="BI134" s="152">
        <f>IF(N134="nulová",J134,0)</f>
        <v>0</v>
      </c>
      <c r="BJ134" s="19" t="s">
        <v>85</v>
      </c>
      <c r="BK134" s="152">
        <f>ROUND(I134*H134,2)</f>
        <v>0</v>
      </c>
      <c r="BL134" s="19" t="s">
        <v>185</v>
      </c>
      <c r="BM134" s="151" t="s">
        <v>1383</v>
      </c>
    </row>
    <row r="135" spans="1:65" s="2" customFormat="1">
      <c r="A135" s="34"/>
      <c r="B135" s="35"/>
      <c r="C135" s="34"/>
      <c r="D135" s="153" t="s">
        <v>187</v>
      </c>
      <c r="E135" s="34"/>
      <c r="F135" s="154" t="s">
        <v>342</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187</v>
      </c>
      <c r="AU135" s="19" t="s">
        <v>87</v>
      </c>
    </row>
    <row r="136" spans="1:65" s="2" customFormat="1">
      <c r="A136" s="34"/>
      <c r="B136" s="35"/>
      <c r="C136" s="34"/>
      <c r="D136" s="158" t="s">
        <v>189</v>
      </c>
      <c r="E136" s="34"/>
      <c r="F136" s="159" t="s">
        <v>343</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189</v>
      </c>
      <c r="AU136" s="19" t="s">
        <v>87</v>
      </c>
    </row>
    <row r="137" spans="1:65" s="2" customFormat="1" ht="165.75">
      <c r="A137" s="34"/>
      <c r="B137" s="35"/>
      <c r="C137" s="34"/>
      <c r="D137" s="153" t="s">
        <v>191</v>
      </c>
      <c r="E137" s="34"/>
      <c r="F137" s="160" t="s">
        <v>344</v>
      </c>
      <c r="G137" s="34"/>
      <c r="H137" s="34"/>
      <c r="I137" s="155"/>
      <c r="J137" s="34"/>
      <c r="K137" s="34"/>
      <c r="L137" s="35"/>
      <c r="M137" s="156"/>
      <c r="N137" s="157"/>
      <c r="O137" s="55"/>
      <c r="P137" s="55"/>
      <c r="Q137" s="55"/>
      <c r="R137" s="55"/>
      <c r="S137" s="55"/>
      <c r="T137" s="56"/>
      <c r="U137" s="34"/>
      <c r="V137" s="34"/>
      <c r="W137" s="34"/>
      <c r="X137" s="34"/>
      <c r="Y137" s="34"/>
      <c r="Z137" s="34"/>
      <c r="AA137" s="34"/>
      <c r="AB137" s="34"/>
      <c r="AC137" s="34"/>
      <c r="AD137" s="34"/>
      <c r="AE137" s="34"/>
      <c r="AT137" s="19" t="s">
        <v>191</v>
      </c>
      <c r="AU137" s="19" t="s">
        <v>87</v>
      </c>
    </row>
    <row r="138" spans="1:65" s="2" customFormat="1" ht="16.5" customHeight="1">
      <c r="A138" s="34"/>
      <c r="B138" s="139"/>
      <c r="C138" s="140" t="s">
        <v>258</v>
      </c>
      <c r="D138" s="140" t="s">
        <v>180</v>
      </c>
      <c r="E138" s="141" t="s">
        <v>689</v>
      </c>
      <c r="F138" s="142" t="s">
        <v>690</v>
      </c>
      <c r="G138" s="143" t="s">
        <v>332</v>
      </c>
      <c r="H138" s="144">
        <v>332.50799999999998</v>
      </c>
      <c r="I138" s="145"/>
      <c r="J138" s="146">
        <f>ROUND(I138*H138,2)</f>
        <v>0</v>
      </c>
      <c r="K138" s="142" t="s">
        <v>184</v>
      </c>
      <c r="L138" s="35"/>
      <c r="M138" s="147" t="s">
        <v>3</v>
      </c>
      <c r="N138" s="148" t="s">
        <v>48</v>
      </c>
      <c r="O138" s="55"/>
      <c r="P138" s="149">
        <f>O138*H138</f>
        <v>0</v>
      </c>
      <c r="Q138" s="149">
        <v>0</v>
      </c>
      <c r="R138" s="149">
        <f>Q138*H138</f>
        <v>0</v>
      </c>
      <c r="S138" s="149">
        <v>0</v>
      </c>
      <c r="T138" s="150">
        <f>S138*H138</f>
        <v>0</v>
      </c>
      <c r="U138" s="34"/>
      <c r="V138" s="34"/>
      <c r="W138" s="34"/>
      <c r="X138" s="34"/>
      <c r="Y138" s="34"/>
      <c r="Z138" s="34"/>
      <c r="AA138" s="34"/>
      <c r="AB138" s="34"/>
      <c r="AC138" s="34"/>
      <c r="AD138" s="34"/>
      <c r="AE138" s="34"/>
      <c r="AR138" s="151" t="s">
        <v>185</v>
      </c>
      <c r="AT138" s="151" t="s">
        <v>180</v>
      </c>
      <c r="AU138" s="151" t="s">
        <v>87</v>
      </c>
      <c r="AY138" s="19" t="s">
        <v>177</v>
      </c>
      <c r="BE138" s="152">
        <f>IF(N138="základní",J138,0)</f>
        <v>0</v>
      </c>
      <c r="BF138" s="152">
        <f>IF(N138="snížená",J138,0)</f>
        <v>0</v>
      </c>
      <c r="BG138" s="152">
        <f>IF(N138="zákl. přenesená",J138,0)</f>
        <v>0</v>
      </c>
      <c r="BH138" s="152">
        <f>IF(N138="sníž. přenesená",J138,0)</f>
        <v>0</v>
      </c>
      <c r="BI138" s="152">
        <f>IF(N138="nulová",J138,0)</f>
        <v>0</v>
      </c>
      <c r="BJ138" s="19" t="s">
        <v>85</v>
      </c>
      <c r="BK138" s="152">
        <f>ROUND(I138*H138,2)</f>
        <v>0</v>
      </c>
      <c r="BL138" s="19" t="s">
        <v>185</v>
      </c>
      <c r="BM138" s="151" t="s">
        <v>1384</v>
      </c>
    </row>
    <row r="139" spans="1:65" s="2" customFormat="1">
      <c r="A139" s="34"/>
      <c r="B139" s="35"/>
      <c r="C139" s="34"/>
      <c r="D139" s="153" t="s">
        <v>187</v>
      </c>
      <c r="E139" s="34"/>
      <c r="F139" s="154" t="s">
        <v>692</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187</v>
      </c>
      <c r="AU139" s="19" t="s">
        <v>87</v>
      </c>
    </row>
    <row r="140" spans="1:65" s="2" customFormat="1">
      <c r="A140" s="34"/>
      <c r="B140" s="35"/>
      <c r="C140" s="34"/>
      <c r="D140" s="158" t="s">
        <v>189</v>
      </c>
      <c r="E140" s="34"/>
      <c r="F140" s="159" t="s">
        <v>693</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189</v>
      </c>
      <c r="AU140" s="19" t="s">
        <v>87</v>
      </c>
    </row>
    <row r="141" spans="1:65" s="2" customFormat="1" ht="195">
      <c r="A141" s="34"/>
      <c r="B141" s="35"/>
      <c r="C141" s="34"/>
      <c r="D141" s="153" t="s">
        <v>191</v>
      </c>
      <c r="E141" s="34"/>
      <c r="F141" s="160" t="s">
        <v>694</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191</v>
      </c>
      <c r="AU141" s="19" t="s">
        <v>87</v>
      </c>
    </row>
    <row r="142" spans="1:65" s="14" customFormat="1">
      <c r="B142" s="169"/>
      <c r="D142" s="153" t="s">
        <v>193</v>
      </c>
      <c r="E142" s="170" t="s">
        <v>3</v>
      </c>
      <c r="F142" s="171" t="s">
        <v>1385</v>
      </c>
      <c r="H142" s="170" t="s">
        <v>3</v>
      </c>
      <c r="I142" s="172"/>
      <c r="L142" s="169"/>
      <c r="M142" s="173"/>
      <c r="N142" s="174"/>
      <c r="O142" s="174"/>
      <c r="P142" s="174"/>
      <c r="Q142" s="174"/>
      <c r="R142" s="174"/>
      <c r="S142" s="174"/>
      <c r="T142" s="175"/>
      <c r="AT142" s="170" t="s">
        <v>193</v>
      </c>
      <c r="AU142" s="170" t="s">
        <v>87</v>
      </c>
      <c r="AV142" s="14" t="s">
        <v>85</v>
      </c>
      <c r="AW142" s="14" t="s">
        <v>36</v>
      </c>
      <c r="AX142" s="14" t="s">
        <v>77</v>
      </c>
      <c r="AY142" s="170" t="s">
        <v>177</v>
      </c>
    </row>
    <row r="143" spans="1:65" s="13" customFormat="1">
      <c r="B143" s="161"/>
      <c r="D143" s="153" t="s">
        <v>193</v>
      </c>
      <c r="E143" s="162" t="s">
        <v>3</v>
      </c>
      <c r="F143" s="163" t="s">
        <v>1386</v>
      </c>
      <c r="H143" s="164">
        <v>332.50799999999998</v>
      </c>
      <c r="I143" s="165"/>
      <c r="L143" s="161"/>
      <c r="M143" s="166"/>
      <c r="N143" s="167"/>
      <c r="O143" s="167"/>
      <c r="P143" s="167"/>
      <c r="Q143" s="167"/>
      <c r="R143" s="167"/>
      <c r="S143" s="167"/>
      <c r="T143" s="168"/>
      <c r="AT143" s="162" t="s">
        <v>193</v>
      </c>
      <c r="AU143" s="162" t="s">
        <v>87</v>
      </c>
      <c r="AV143" s="13" t="s">
        <v>87</v>
      </c>
      <c r="AW143" s="13" t="s">
        <v>36</v>
      </c>
      <c r="AX143" s="13" t="s">
        <v>85</v>
      </c>
      <c r="AY143" s="162" t="s">
        <v>177</v>
      </c>
    </row>
    <row r="144" spans="1:65" s="2" customFormat="1" ht="16.5" customHeight="1">
      <c r="A144" s="34"/>
      <c r="B144" s="139"/>
      <c r="C144" s="140" t="s">
        <v>265</v>
      </c>
      <c r="D144" s="140" t="s">
        <v>180</v>
      </c>
      <c r="E144" s="141" t="s">
        <v>696</v>
      </c>
      <c r="F144" s="142" t="s">
        <v>697</v>
      </c>
      <c r="G144" s="143" t="s">
        <v>332</v>
      </c>
      <c r="H144" s="144">
        <v>332.50799999999998</v>
      </c>
      <c r="I144" s="145"/>
      <c r="J144" s="146">
        <f>ROUND(I144*H144,2)</f>
        <v>0</v>
      </c>
      <c r="K144" s="142" t="s">
        <v>184</v>
      </c>
      <c r="L144" s="35"/>
      <c r="M144" s="147" t="s">
        <v>3</v>
      </c>
      <c r="N144" s="148" t="s">
        <v>48</v>
      </c>
      <c r="O144" s="55"/>
      <c r="P144" s="149">
        <f>O144*H144</f>
        <v>0</v>
      </c>
      <c r="Q144" s="149">
        <v>6.9999999999999999E-6</v>
      </c>
      <c r="R144" s="149">
        <f>Q144*H144</f>
        <v>2.3275559999999997E-3</v>
      </c>
      <c r="S144" s="149">
        <v>0</v>
      </c>
      <c r="T144" s="150">
        <f>S144*H144</f>
        <v>0</v>
      </c>
      <c r="U144" s="34"/>
      <c r="V144" s="34"/>
      <c r="W144" s="34"/>
      <c r="X144" s="34"/>
      <c r="Y144" s="34"/>
      <c r="Z144" s="34"/>
      <c r="AA144" s="34"/>
      <c r="AB144" s="34"/>
      <c r="AC144" s="34"/>
      <c r="AD144" s="34"/>
      <c r="AE144" s="34"/>
      <c r="AR144" s="151" t="s">
        <v>185</v>
      </c>
      <c r="AT144" s="151" t="s">
        <v>180</v>
      </c>
      <c r="AU144" s="151" t="s">
        <v>87</v>
      </c>
      <c r="AY144" s="19" t="s">
        <v>177</v>
      </c>
      <c r="BE144" s="152">
        <f>IF(N144="základní",J144,0)</f>
        <v>0</v>
      </c>
      <c r="BF144" s="152">
        <f>IF(N144="snížená",J144,0)</f>
        <v>0</v>
      </c>
      <c r="BG144" s="152">
        <f>IF(N144="zákl. přenesená",J144,0)</f>
        <v>0</v>
      </c>
      <c r="BH144" s="152">
        <f>IF(N144="sníž. přenesená",J144,0)</f>
        <v>0</v>
      </c>
      <c r="BI144" s="152">
        <f>IF(N144="nulová",J144,0)</f>
        <v>0</v>
      </c>
      <c r="BJ144" s="19" t="s">
        <v>85</v>
      </c>
      <c r="BK144" s="152">
        <f>ROUND(I144*H144,2)</f>
        <v>0</v>
      </c>
      <c r="BL144" s="19" t="s">
        <v>185</v>
      </c>
      <c r="BM144" s="151" t="s">
        <v>1387</v>
      </c>
    </row>
    <row r="145" spans="1:65" s="2" customFormat="1">
      <c r="A145" s="34"/>
      <c r="B145" s="35"/>
      <c r="C145" s="34"/>
      <c r="D145" s="153" t="s">
        <v>187</v>
      </c>
      <c r="E145" s="34"/>
      <c r="F145" s="154" t="s">
        <v>699</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187</v>
      </c>
      <c r="AU145" s="19" t="s">
        <v>87</v>
      </c>
    </row>
    <row r="146" spans="1:65" s="2" customFormat="1">
      <c r="A146" s="34"/>
      <c r="B146" s="35"/>
      <c r="C146" s="34"/>
      <c r="D146" s="158" t="s">
        <v>189</v>
      </c>
      <c r="E146" s="34"/>
      <c r="F146" s="159" t="s">
        <v>700</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189</v>
      </c>
      <c r="AU146" s="19" t="s">
        <v>87</v>
      </c>
    </row>
    <row r="147" spans="1:65" s="2" customFormat="1" ht="195">
      <c r="A147" s="34"/>
      <c r="B147" s="35"/>
      <c r="C147" s="34"/>
      <c r="D147" s="153" t="s">
        <v>191</v>
      </c>
      <c r="E147" s="34"/>
      <c r="F147" s="160" t="s">
        <v>694</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191</v>
      </c>
      <c r="AU147" s="19" t="s">
        <v>87</v>
      </c>
    </row>
    <row r="148" spans="1:65" s="2" customFormat="1" ht="16.5" customHeight="1">
      <c r="A148" s="34"/>
      <c r="B148" s="139"/>
      <c r="C148" s="140" t="s">
        <v>271</v>
      </c>
      <c r="D148" s="140" t="s">
        <v>180</v>
      </c>
      <c r="E148" s="141" t="s">
        <v>1388</v>
      </c>
      <c r="F148" s="142" t="s">
        <v>1389</v>
      </c>
      <c r="G148" s="143" t="s">
        <v>476</v>
      </c>
      <c r="H148" s="144">
        <v>0.25</v>
      </c>
      <c r="I148" s="145"/>
      <c r="J148" s="146">
        <f>ROUND(I148*H148,2)</f>
        <v>0</v>
      </c>
      <c r="K148" s="142" t="s">
        <v>184</v>
      </c>
      <c r="L148" s="35"/>
      <c r="M148" s="147" t="s">
        <v>3</v>
      </c>
      <c r="N148" s="148" t="s">
        <v>48</v>
      </c>
      <c r="O148" s="55"/>
      <c r="P148" s="149">
        <f>O148*H148</f>
        <v>0</v>
      </c>
      <c r="Q148" s="149">
        <v>1.176E-3</v>
      </c>
      <c r="R148" s="149">
        <f>Q148*H148</f>
        <v>2.9399999999999999E-4</v>
      </c>
      <c r="S148" s="149">
        <v>1.4E-2</v>
      </c>
      <c r="T148" s="150">
        <f>S148*H148</f>
        <v>3.5000000000000001E-3</v>
      </c>
      <c r="U148" s="34"/>
      <c r="V148" s="34"/>
      <c r="W148" s="34"/>
      <c r="X148" s="34"/>
      <c r="Y148" s="34"/>
      <c r="Z148" s="34"/>
      <c r="AA148" s="34"/>
      <c r="AB148" s="34"/>
      <c r="AC148" s="34"/>
      <c r="AD148" s="34"/>
      <c r="AE148" s="34"/>
      <c r="AR148" s="151" t="s">
        <v>185</v>
      </c>
      <c r="AT148" s="151" t="s">
        <v>180</v>
      </c>
      <c r="AU148" s="151" t="s">
        <v>87</v>
      </c>
      <c r="AY148" s="19" t="s">
        <v>177</v>
      </c>
      <c r="BE148" s="152">
        <f>IF(N148="základní",J148,0)</f>
        <v>0</v>
      </c>
      <c r="BF148" s="152">
        <f>IF(N148="snížená",J148,0)</f>
        <v>0</v>
      </c>
      <c r="BG148" s="152">
        <f>IF(N148="zákl. přenesená",J148,0)</f>
        <v>0</v>
      </c>
      <c r="BH148" s="152">
        <f>IF(N148="sníž. přenesená",J148,0)</f>
        <v>0</v>
      </c>
      <c r="BI148" s="152">
        <f>IF(N148="nulová",J148,0)</f>
        <v>0</v>
      </c>
      <c r="BJ148" s="19" t="s">
        <v>85</v>
      </c>
      <c r="BK148" s="152">
        <f>ROUND(I148*H148,2)</f>
        <v>0</v>
      </c>
      <c r="BL148" s="19" t="s">
        <v>185</v>
      </c>
      <c r="BM148" s="151" t="s">
        <v>1390</v>
      </c>
    </row>
    <row r="149" spans="1:65" s="2" customFormat="1" ht="19.5">
      <c r="A149" s="34"/>
      <c r="B149" s="35"/>
      <c r="C149" s="34"/>
      <c r="D149" s="153" t="s">
        <v>187</v>
      </c>
      <c r="E149" s="34"/>
      <c r="F149" s="154" t="s">
        <v>1391</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187</v>
      </c>
      <c r="AU149" s="19" t="s">
        <v>87</v>
      </c>
    </row>
    <row r="150" spans="1:65" s="2" customFormat="1">
      <c r="A150" s="34"/>
      <c r="B150" s="35"/>
      <c r="C150" s="34"/>
      <c r="D150" s="158" t="s">
        <v>189</v>
      </c>
      <c r="E150" s="34"/>
      <c r="F150" s="159" t="s">
        <v>1392</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189</v>
      </c>
      <c r="AU150" s="19" t="s">
        <v>87</v>
      </c>
    </row>
    <row r="151" spans="1:65" s="2" customFormat="1" ht="48.75">
      <c r="A151" s="34"/>
      <c r="B151" s="35"/>
      <c r="C151" s="34"/>
      <c r="D151" s="153" t="s">
        <v>191</v>
      </c>
      <c r="E151" s="34"/>
      <c r="F151" s="160" t="s">
        <v>1393</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191</v>
      </c>
      <c r="AU151" s="19" t="s">
        <v>87</v>
      </c>
    </row>
    <row r="152" spans="1:65" s="14" customFormat="1">
      <c r="B152" s="169"/>
      <c r="D152" s="153" t="s">
        <v>193</v>
      </c>
      <c r="E152" s="170" t="s">
        <v>3</v>
      </c>
      <c r="F152" s="171" t="s">
        <v>1394</v>
      </c>
      <c r="H152" s="170" t="s">
        <v>3</v>
      </c>
      <c r="I152" s="172"/>
      <c r="L152" s="169"/>
      <c r="M152" s="173"/>
      <c r="N152" s="174"/>
      <c r="O152" s="174"/>
      <c r="P152" s="174"/>
      <c r="Q152" s="174"/>
      <c r="R152" s="174"/>
      <c r="S152" s="174"/>
      <c r="T152" s="175"/>
      <c r="AT152" s="170" t="s">
        <v>193</v>
      </c>
      <c r="AU152" s="170" t="s">
        <v>87</v>
      </c>
      <c r="AV152" s="14" t="s">
        <v>85</v>
      </c>
      <c r="AW152" s="14" t="s">
        <v>36</v>
      </c>
      <c r="AX152" s="14" t="s">
        <v>77</v>
      </c>
      <c r="AY152" s="170" t="s">
        <v>177</v>
      </c>
    </row>
    <row r="153" spans="1:65" s="13" customFormat="1">
      <c r="B153" s="161"/>
      <c r="D153" s="153" t="s">
        <v>193</v>
      </c>
      <c r="E153" s="162" t="s">
        <v>3</v>
      </c>
      <c r="F153" s="163" t="s">
        <v>1395</v>
      </c>
      <c r="H153" s="164">
        <v>0.25</v>
      </c>
      <c r="I153" s="165"/>
      <c r="L153" s="161"/>
      <c r="M153" s="166"/>
      <c r="N153" s="167"/>
      <c r="O153" s="167"/>
      <c r="P153" s="167"/>
      <c r="Q153" s="167"/>
      <c r="R153" s="167"/>
      <c r="S153" s="167"/>
      <c r="T153" s="168"/>
      <c r="AT153" s="162" t="s">
        <v>193</v>
      </c>
      <c r="AU153" s="162" t="s">
        <v>87</v>
      </c>
      <c r="AV153" s="13" t="s">
        <v>87</v>
      </c>
      <c r="AW153" s="13" t="s">
        <v>36</v>
      </c>
      <c r="AX153" s="13" t="s">
        <v>85</v>
      </c>
      <c r="AY153" s="162" t="s">
        <v>177</v>
      </c>
    </row>
    <row r="154" spans="1:65" s="2" customFormat="1" ht="16.5" customHeight="1">
      <c r="A154" s="34"/>
      <c r="B154" s="139"/>
      <c r="C154" s="140" t="s">
        <v>277</v>
      </c>
      <c r="D154" s="140" t="s">
        <v>180</v>
      </c>
      <c r="E154" s="141" t="s">
        <v>1396</v>
      </c>
      <c r="F154" s="142" t="s">
        <v>1397</v>
      </c>
      <c r="G154" s="143" t="s">
        <v>476</v>
      </c>
      <c r="H154" s="144">
        <v>0.5</v>
      </c>
      <c r="I154" s="145"/>
      <c r="J154" s="146">
        <f>ROUND(I154*H154,2)</f>
        <v>0</v>
      </c>
      <c r="K154" s="142" t="s">
        <v>184</v>
      </c>
      <c r="L154" s="35"/>
      <c r="M154" s="147" t="s">
        <v>3</v>
      </c>
      <c r="N154" s="148" t="s">
        <v>48</v>
      </c>
      <c r="O154" s="55"/>
      <c r="P154" s="149">
        <f>O154*H154</f>
        <v>0</v>
      </c>
      <c r="Q154" s="149">
        <v>1.2750000000000001E-3</v>
      </c>
      <c r="R154" s="149">
        <f>Q154*H154</f>
        <v>6.3750000000000005E-4</v>
      </c>
      <c r="S154" s="149">
        <v>2.1000000000000001E-2</v>
      </c>
      <c r="T154" s="150">
        <f>S154*H154</f>
        <v>1.0500000000000001E-2</v>
      </c>
      <c r="U154" s="34"/>
      <c r="V154" s="34"/>
      <c r="W154" s="34"/>
      <c r="X154" s="34"/>
      <c r="Y154" s="34"/>
      <c r="Z154" s="34"/>
      <c r="AA154" s="34"/>
      <c r="AB154" s="34"/>
      <c r="AC154" s="34"/>
      <c r="AD154" s="34"/>
      <c r="AE154" s="34"/>
      <c r="AR154" s="151" t="s">
        <v>185</v>
      </c>
      <c r="AT154" s="151" t="s">
        <v>180</v>
      </c>
      <c r="AU154" s="151" t="s">
        <v>87</v>
      </c>
      <c r="AY154" s="19" t="s">
        <v>177</v>
      </c>
      <c r="BE154" s="152">
        <f>IF(N154="základní",J154,0)</f>
        <v>0</v>
      </c>
      <c r="BF154" s="152">
        <f>IF(N154="snížená",J154,0)</f>
        <v>0</v>
      </c>
      <c r="BG154" s="152">
        <f>IF(N154="zákl. přenesená",J154,0)</f>
        <v>0</v>
      </c>
      <c r="BH154" s="152">
        <f>IF(N154="sníž. přenesená",J154,0)</f>
        <v>0</v>
      </c>
      <c r="BI154" s="152">
        <f>IF(N154="nulová",J154,0)</f>
        <v>0</v>
      </c>
      <c r="BJ154" s="19" t="s">
        <v>85</v>
      </c>
      <c r="BK154" s="152">
        <f>ROUND(I154*H154,2)</f>
        <v>0</v>
      </c>
      <c r="BL154" s="19" t="s">
        <v>185</v>
      </c>
      <c r="BM154" s="151" t="s">
        <v>1398</v>
      </c>
    </row>
    <row r="155" spans="1:65" s="2" customFormat="1" ht="19.5">
      <c r="A155" s="34"/>
      <c r="B155" s="35"/>
      <c r="C155" s="34"/>
      <c r="D155" s="153" t="s">
        <v>187</v>
      </c>
      <c r="E155" s="34"/>
      <c r="F155" s="154" t="s">
        <v>1399</v>
      </c>
      <c r="G155" s="34"/>
      <c r="H155" s="34"/>
      <c r="I155" s="155"/>
      <c r="J155" s="34"/>
      <c r="K155" s="34"/>
      <c r="L155" s="35"/>
      <c r="M155" s="156"/>
      <c r="N155" s="157"/>
      <c r="O155" s="55"/>
      <c r="P155" s="55"/>
      <c r="Q155" s="55"/>
      <c r="R155" s="55"/>
      <c r="S155" s="55"/>
      <c r="T155" s="56"/>
      <c r="U155" s="34"/>
      <c r="V155" s="34"/>
      <c r="W155" s="34"/>
      <c r="X155" s="34"/>
      <c r="Y155" s="34"/>
      <c r="Z155" s="34"/>
      <c r="AA155" s="34"/>
      <c r="AB155" s="34"/>
      <c r="AC155" s="34"/>
      <c r="AD155" s="34"/>
      <c r="AE155" s="34"/>
      <c r="AT155" s="19" t="s">
        <v>187</v>
      </c>
      <c r="AU155" s="19" t="s">
        <v>87</v>
      </c>
    </row>
    <row r="156" spans="1:65" s="2" customFormat="1">
      <c r="A156" s="34"/>
      <c r="B156" s="35"/>
      <c r="C156" s="34"/>
      <c r="D156" s="158" t="s">
        <v>189</v>
      </c>
      <c r="E156" s="34"/>
      <c r="F156" s="159" t="s">
        <v>1400</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189</v>
      </c>
      <c r="AU156" s="19" t="s">
        <v>87</v>
      </c>
    </row>
    <row r="157" spans="1:65" s="2" customFormat="1" ht="48.75">
      <c r="A157" s="34"/>
      <c r="B157" s="35"/>
      <c r="C157" s="34"/>
      <c r="D157" s="153" t="s">
        <v>191</v>
      </c>
      <c r="E157" s="34"/>
      <c r="F157" s="160" t="s">
        <v>1393</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191</v>
      </c>
      <c r="AU157" s="19" t="s">
        <v>87</v>
      </c>
    </row>
    <row r="158" spans="1:65" s="14" customFormat="1">
      <c r="B158" s="169"/>
      <c r="D158" s="153" t="s">
        <v>193</v>
      </c>
      <c r="E158" s="170" t="s">
        <v>3</v>
      </c>
      <c r="F158" s="171" t="s">
        <v>1394</v>
      </c>
      <c r="H158" s="170" t="s">
        <v>3</v>
      </c>
      <c r="I158" s="172"/>
      <c r="L158" s="169"/>
      <c r="M158" s="173"/>
      <c r="N158" s="174"/>
      <c r="O158" s="174"/>
      <c r="P158" s="174"/>
      <c r="Q158" s="174"/>
      <c r="R158" s="174"/>
      <c r="S158" s="174"/>
      <c r="T158" s="175"/>
      <c r="AT158" s="170" t="s">
        <v>193</v>
      </c>
      <c r="AU158" s="170" t="s">
        <v>87</v>
      </c>
      <c r="AV158" s="14" t="s">
        <v>85</v>
      </c>
      <c r="AW158" s="14" t="s">
        <v>36</v>
      </c>
      <c r="AX158" s="14" t="s">
        <v>77</v>
      </c>
      <c r="AY158" s="170" t="s">
        <v>177</v>
      </c>
    </row>
    <row r="159" spans="1:65" s="13" customFormat="1">
      <c r="B159" s="161"/>
      <c r="D159" s="153" t="s">
        <v>193</v>
      </c>
      <c r="E159" s="162" t="s">
        <v>3</v>
      </c>
      <c r="F159" s="163" t="s">
        <v>1401</v>
      </c>
      <c r="H159" s="164">
        <v>0.5</v>
      </c>
      <c r="I159" s="165"/>
      <c r="L159" s="161"/>
      <c r="M159" s="166"/>
      <c r="N159" s="167"/>
      <c r="O159" s="167"/>
      <c r="P159" s="167"/>
      <c r="Q159" s="167"/>
      <c r="R159" s="167"/>
      <c r="S159" s="167"/>
      <c r="T159" s="168"/>
      <c r="AT159" s="162" t="s">
        <v>193</v>
      </c>
      <c r="AU159" s="162" t="s">
        <v>87</v>
      </c>
      <c r="AV159" s="13" t="s">
        <v>87</v>
      </c>
      <c r="AW159" s="13" t="s">
        <v>36</v>
      </c>
      <c r="AX159" s="13" t="s">
        <v>85</v>
      </c>
      <c r="AY159" s="162" t="s">
        <v>177</v>
      </c>
    </row>
    <row r="160" spans="1:65" s="2" customFormat="1" ht="16.5" customHeight="1">
      <c r="A160" s="34"/>
      <c r="B160" s="139"/>
      <c r="C160" s="140" t="s">
        <v>283</v>
      </c>
      <c r="D160" s="140" t="s">
        <v>180</v>
      </c>
      <c r="E160" s="141" t="s">
        <v>1402</v>
      </c>
      <c r="F160" s="142" t="s">
        <v>1403</v>
      </c>
      <c r="G160" s="143" t="s">
        <v>476</v>
      </c>
      <c r="H160" s="144">
        <v>0.25</v>
      </c>
      <c r="I160" s="145"/>
      <c r="J160" s="146">
        <f>ROUND(I160*H160,2)</f>
        <v>0</v>
      </c>
      <c r="K160" s="142" t="s">
        <v>184</v>
      </c>
      <c r="L160" s="35"/>
      <c r="M160" s="147" t="s">
        <v>3</v>
      </c>
      <c r="N160" s="148" t="s">
        <v>48</v>
      </c>
      <c r="O160" s="55"/>
      <c r="P160" s="149">
        <f>O160*H160</f>
        <v>0</v>
      </c>
      <c r="Q160" s="149">
        <v>1.47E-3</v>
      </c>
      <c r="R160" s="149">
        <f>Q160*H160</f>
        <v>3.6749999999999999E-4</v>
      </c>
      <c r="S160" s="149">
        <v>3.9E-2</v>
      </c>
      <c r="T160" s="150">
        <f>S160*H160</f>
        <v>9.75E-3</v>
      </c>
      <c r="U160" s="34"/>
      <c r="V160" s="34"/>
      <c r="W160" s="34"/>
      <c r="X160" s="34"/>
      <c r="Y160" s="34"/>
      <c r="Z160" s="34"/>
      <c r="AA160" s="34"/>
      <c r="AB160" s="34"/>
      <c r="AC160" s="34"/>
      <c r="AD160" s="34"/>
      <c r="AE160" s="34"/>
      <c r="AR160" s="151" t="s">
        <v>185</v>
      </c>
      <c r="AT160" s="151" t="s">
        <v>180</v>
      </c>
      <c r="AU160" s="151" t="s">
        <v>87</v>
      </c>
      <c r="AY160" s="19" t="s">
        <v>177</v>
      </c>
      <c r="BE160" s="152">
        <f>IF(N160="základní",J160,0)</f>
        <v>0</v>
      </c>
      <c r="BF160" s="152">
        <f>IF(N160="snížená",J160,0)</f>
        <v>0</v>
      </c>
      <c r="BG160" s="152">
        <f>IF(N160="zákl. přenesená",J160,0)</f>
        <v>0</v>
      </c>
      <c r="BH160" s="152">
        <f>IF(N160="sníž. přenesená",J160,0)</f>
        <v>0</v>
      </c>
      <c r="BI160" s="152">
        <f>IF(N160="nulová",J160,0)</f>
        <v>0</v>
      </c>
      <c r="BJ160" s="19" t="s">
        <v>85</v>
      </c>
      <c r="BK160" s="152">
        <f>ROUND(I160*H160,2)</f>
        <v>0</v>
      </c>
      <c r="BL160" s="19" t="s">
        <v>185</v>
      </c>
      <c r="BM160" s="151" t="s">
        <v>1404</v>
      </c>
    </row>
    <row r="161" spans="1:65" s="2" customFormat="1" ht="19.5">
      <c r="A161" s="34"/>
      <c r="B161" s="35"/>
      <c r="C161" s="34"/>
      <c r="D161" s="153" t="s">
        <v>187</v>
      </c>
      <c r="E161" s="34"/>
      <c r="F161" s="154" t="s">
        <v>1405</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187</v>
      </c>
      <c r="AU161" s="19" t="s">
        <v>87</v>
      </c>
    </row>
    <row r="162" spans="1:65" s="2" customFormat="1">
      <c r="A162" s="34"/>
      <c r="B162" s="35"/>
      <c r="C162" s="34"/>
      <c r="D162" s="158" t="s">
        <v>189</v>
      </c>
      <c r="E162" s="34"/>
      <c r="F162" s="159" t="s">
        <v>1406</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189</v>
      </c>
      <c r="AU162" s="19" t="s">
        <v>87</v>
      </c>
    </row>
    <row r="163" spans="1:65" s="2" customFormat="1" ht="48.75">
      <c r="A163" s="34"/>
      <c r="B163" s="35"/>
      <c r="C163" s="34"/>
      <c r="D163" s="153" t="s">
        <v>191</v>
      </c>
      <c r="E163" s="34"/>
      <c r="F163" s="160" t="s">
        <v>1393</v>
      </c>
      <c r="G163" s="34"/>
      <c r="H163" s="34"/>
      <c r="I163" s="155"/>
      <c r="J163" s="34"/>
      <c r="K163" s="34"/>
      <c r="L163" s="35"/>
      <c r="M163" s="156"/>
      <c r="N163" s="157"/>
      <c r="O163" s="55"/>
      <c r="P163" s="55"/>
      <c r="Q163" s="55"/>
      <c r="R163" s="55"/>
      <c r="S163" s="55"/>
      <c r="T163" s="56"/>
      <c r="U163" s="34"/>
      <c r="V163" s="34"/>
      <c r="W163" s="34"/>
      <c r="X163" s="34"/>
      <c r="Y163" s="34"/>
      <c r="Z163" s="34"/>
      <c r="AA163" s="34"/>
      <c r="AB163" s="34"/>
      <c r="AC163" s="34"/>
      <c r="AD163" s="34"/>
      <c r="AE163" s="34"/>
      <c r="AT163" s="19" t="s">
        <v>191</v>
      </c>
      <c r="AU163" s="19" t="s">
        <v>87</v>
      </c>
    </row>
    <row r="164" spans="1:65" s="14" customFormat="1">
      <c r="B164" s="169"/>
      <c r="D164" s="153" t="s">
        <v>193</v>
      </c>
      <c r="E164" s="170" t="s">
        <v>3</v>
      </c>
      <c r="F164" s="171" t="s">
        <v>1394</v>
      </c>
      <c r="H164" s="170" t="s">
        <v>3</v>
      </c>
      <c r="I164" s="172"/>
      <c r="L164" s="169"/>
      <c r="M164" s="173"/>
      <c r="N164" s="174"/>
      <c r="O164" s="174"/>
      <c r="P164" s="174"/>
      <c r="Q164" s="174"/>
      <c r="R164" s="174"/>
      <c r="S164" s="174"/>
      <c r="T164" s="175"/>
      <c r="AT164" s="170" t="s">
        <v>193</v>
      </c>
      <c r="AU164" s="170" t="s">
        <v>87</v>
      </c>
      <c r="AV164" s="14" t="s">
        <v>85</v>
      </c>
      <c r="AW164" s="14" t="s">
        <v>36</v>
      </c>
      <c r="AX164" s="14" t="s">
        <v>77</v>
      </c>
      <c r="AY164" s="170" t="s">
        <v>177</v>
      </c>
    </row>
    <row r="165" spans="1:65" s="13" customFormat="1">
      <c r="B165" s="161"/>
      <c r="D165" s="153" t="s">
        <v>193</v>
      </c>
      <c r="E165" s="162" t="s">
        <v>3</v>
      </c>
      <c r="F165" s="163" t="s">
        <v>1395</v>
      </c>
      <c r="H165" s="164">
        <v>0.25</v>
      </c>
      <c r="I165" s="165"/>
      <c r="L165" s="161"/>
      <c r="M165" s="166"/>
      <c r="N165" s="167"/>
      <c r="O165" s="167"/>
      <c r="P165" s="167"/>
      <c r="Q165" s="167"/>
      <c r="R165" s="167"/>
      <c r="S165" s="167"/>
      <c r="T165" s="168"/>
      <c r="AT165" s="162" t="s">
        <v>193</v>
      </c>
      <c r="AU165" s="162" t="s">
        <v>87</v>
      </c>
      <c r="AV165" s="13" t="s">
        <v>87</v>
      </c>
      <c r="AW165" s="13" t="s">
        <v>36</v>
      </c>
      <c r="AX165" s="13" t="s">
        <v>85</v>
      </c>
      <c r="AY165" s="162" t="s">
        <v>177</v>
      </c>
    </row>
    <row r="166" spans="1:65" s="12" customFormat="1" ht="22.9" customHeight="1">
      <c r="B166" s="126"/>
      <c r="D166" s="127" t="s">
        <v>76</v>
      </c>
      <c r="E166" s="137" t="s">
        <v>178</v>
      </c>
      <c r="F166" s="137" t="s">
        <v>179</v>
      </c>
      <c r="I166" s="129"/>
      <c r="J166" s="138">
        <f>BK166</f>
        <v>0</v>
      </c>
      <c r="L166" s="126"/>
      <c r="M166" s="131"/>
      <c r="N166" s="132"/>
      <c r="O166" s="132"/>
      <c r="P166" s="133">
        <f>SUM(P167:P188)</f>
        <v>0</v>
      </c>
      <c r="Q166" s="132"/>
      <c r="R166" s="133">
        <f>SUM(R167:R188)</f>
        <v>0</v>
      </c>
      <c r="S166" s="132"/>
      <c r="T166" s="134">
        <f>SUM(T167:T188)</f>
        <v>0</v>
      </c>
      <c r="AR166" s="127" t="s">
        <v>85</v>
      </c>
      <c r="AT166" s="135" t="s">
        <v>76</v>
      </c>
      <c r="AU166" s="135" t="s">
        <v>85</v>
      </c>
      <c r="AY166" s="127" t="s">
        <v>177</v>
      </c>
      <c r="BK166" s="136">
        <f>SUM(BK167:BK188)</f>
        <v>0</v>
      </c>
    </row>
    <row r="167" spans="1:65" s="2" customFormat="1" ht="16.5" customHeight="1">
      <c r="A167" s="34"/>
      <c r="B167" s="139"/>
      <c r="C167" s="140" t="s">
        <v>9</v>
      </c>
      <c r="D167" s="140" t="s">
        <v>180</v>
      </c>
      <c r="E167" s="141" t="s">
        <v>181</v>
      </c>
      <c r="F167" s="142" t="s">
        <v>182</v>
      </c>
      <c r="G167" s="143" t="s">
        <v>183</v>
      </c>
      <c r="H167" s="144">
        <v>2.4E-2</v>
      </c>
      <c r="I167" s="145"/>
      <c r="J167" s="146">
        <f>ROUND(I167*H167,2)</f>
        <v>0</v>
      </c>
      <c r="K167" s="142" t="s">
        <v>184</v>
      </c>
      <c r="L167" s="35"/>
      <c r="M167" s="147" t="s">
        <v>3</v>
      </c>
      <c r="N167" s="148" t="s">
        <v>48</v>
      </c>
      <c r="O167" s="55"/>
      <c r="P167" s="149">
        <f>O167*H167</f>
        <v>0</v>
      </c>
      <c r="Q167" s="149">
        <v>0</v>
      </c>
      <c r="R167" s="149">
        <f>Q167*H167</f>
        <v>0</v>
      </c>
      <c r="S167" s="149">
        <v>0</v>
      </c>
      <c r="T167" s="150">
        <f>S167*H167</f>
        <v>0</v>
      </c>
      <c r="U167" s="34"/>
      <c r="V167" s="34"/>
      <c r="W167" s="34"/>
      <c r="X167" s="34"/>
      <c r="Y167" s="34"/>
      <c r="Z167" s="34"/>
      <c r="AA167" s="34"/>
      <c r="AB167" s="34"/>
      <c r="AC167" s="34"/>
      <c r="AD167" s="34"/>
      <c r="AE167" s="34"/>
      <c r="AR167" s="151" t="s">
        <v>185</v>
      </c>
      <c r="AT167" s="151" t="s">
        <v>180</v>
      </c>
      <c r="AU167" s="151" t="s">
        <v>87</v>
      </c>
      <c r="AY167" s="19" t="s">
        <v>177</v>
      </c>
      <c r="BE167" s="152">
        <f>IF(N167="základní",J167,0)</f>
        <v>0</v>
      </c>
      <c r="BF167" s="152">
        <f>IF(N167="snížená",J167,0)</f>
        <v>0</v>
      </c>
      <c r="BG167" s="152">
        <f>IF(N167="zákl. přenesená",J167,0)</f>
        <v>0</v>
      </c>
      <c r="BH167" s="152">
        <f>IF(N167="sníž. přenesená",J167,0)</f>
        <v>0</v>
      </c>
      <c r="BI167" s="152">
        <f>IF(N167="nulová",J167,0)</f>
        <v>0</v>
      </c>
      <c r="BJ167" s="19" t="s">
        <v>85</v>
      </c>
      <c r="BK167" s="152">
        <f>ROUND(I167*H167,2)</f>
        <v>0</v>
      </c>
      <c r="BL167" s="19" t="s">
        <v>185</v>
      </c>
      <c r="BM167" s="151" t="s">
        <v>1407</v>
      </c>
    </row>
    <row r="168" spans="1:65" s="2" customFormat="1">
      <c r="A168" s="34"/>
      <c r="B168" s="35"/>
      <c r="C168" s="34"/>
      <c r="D168" s="153" t="s">
        <v>187</v>
      </c>
      <c r="E168" s="34"/>
      <c r="F168" s="154" t="s">
        <v>188</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187</v>
      </c>
      <c r="AU168" s="19" t="s">
        <v>87</v>
      </c>
    </row>
    <row r="169" spans="1:65" s="2" customFormat="1">
      <c r="A169" s="34"/>
      <c r="B169" s="35"/>
      <c r="C169" s="34"/>
      <c r="D169" s="158" t="s">
        <v>189</v>
      </c>
      <c r="E169" s="34"/>
      <c r="F169" s="159" t="s">
        <v>190</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189</v>
      </c>
      <c r="AU169" s="19" t="s">
        <v>87</v>
      </c>
    </row>
    <row r="170" spans="1:65" s="2" customFormat="1" ht="107.25">
      <c r="A170" s="34"/>
      <c r="B170" s="35"/>
      <c r="C170" s="34"/>
      <c r="D170" s="153" t="s">
        <v>191</v>
      </c>
      <c r="E170" s="34"/>
      <c r="F170" s="160" t="s">
        <v>192</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191</v>
      </c>
      <c r="AU170" s="19" t="s">
        <v>87</v>
      </c>
    </row>
    <row r="171" spans="1:65" s="2" customFormat="1" ht="21.75" customHeight="1">
      <c r="A171" s="34"/>
      <c r="B171" s="139"/>
      <c r="C171" s="140" t="s">
        <v>237</v>
      </c>
      <c r="D171" s="140" t="s">
        <v>180</v>
      </c>
      <c r="E171" s="141" t="s">
        <v>202</v>
      </c>
      <c r="F171" s="142" t="s">
        <v>203</v>
      </c>
      <c r="G171" s="143" t="s">
        <v>183</v>
      </c>
      <c r="H171" s="144">
        <v>4.8000000000000001E-2</v>
      </c>
      <c r="I171" s="145"/>
      <c r="J171" s="146">
        <f>ROUND(I171*H171,2)</f>
        <v>0</v>
      </c>
      <c r="K171" s="142" t="s">
        <v>184</v>
      </c>
      <c r="L171" s="35"/>
      <c r="M171" s="147" t="s">
        <v>3</v>
      </c>
      <c r="N171" s="148" t="s">
        <v>48</v>
      </c>
      <c r="O171" s="55"/>
      <c r="P171" s="149">
        <f>O171*H171</f>
        <v>0</v>
      </c>
      <c r="Q171" s="149">
        <v>0</v>
      </c>
      <c r="R171" s="149">
        <f>Q171*H171</f>
        <v>0</v>
      </c>
      <c r="S171" s="149">
        <v>0</v>
      </c>
      <c r="T171" s="150">
        <f>S171*H171</f>
        <v>0</v>
      </c>
      <c r="U171" s="34"/>
      <c r="V171" s="34"/>
      <c r="W171" s="34"/>
      <c r="X171" s="34"/>
      <c r="Y171" s="34"/>
      <c r="Z171" s="34"/>
      <c r="AA171" s="34"/>
      <c r="AB171" s="34"/>
      <c r="AC171" s="34"/>
      <c r="AD171" s="34"/>
      <c r="AE171" s="34"/>
      <c r="AR171" s="151" t="s">
        <v>185</v>
      </c>
      <c r="AT171" s="151" t="s">
        <v>180</v>
      </c>
      <c r="AU171" s="151" t="s">
        <v>87</v>
      </c>
      <c r="AY171" s="19" t="s">
        <v>177</v>
      </c>
      <c r="BE171" s="152">
        <f>IF(N171="základní",J171,0)</f>
        <v>0</v>
      </c>
      <c r="BF171" s="152">
        <f>IF(N171="snížená",J171,0)</f>
        <v>0</v>
      </c>
      <c r="BG171" s="152">
        <f>IF(N171="zákl. přenesená",J171,0)</f>
        <v>0</v>
      </c>
      <c r="BH171" s="152">
        <f>IF(N171="sníž. přenesená",J171,0)</f>
        <v>0</v>
      </c>
      <c r="BI171" s="152">
        <f>IF(N171="nulová",J171,0)</f>
        <v>0</v>
      </c>
      <c r="BJ171" s="19" t="s">
        <v>85</v>
      </c>
      <c r="BK171" s="152">
        <f>ROUND(I171*H171,2)</f>
        <v>0</v>
      </c>
      <c r="BL171" s="19" t="s">
        <v>185</v>
      </c>
      <c r="BM171" s="151" t="s">
        <v>1408</v>
      </c>
    </row>
    <row r="172" spans="1:65" s="2" customFormat="1" ht="19.5">
      <c r="A172" s="34"/>
      <c r="B172" s="35"/>
      <c r="C172" s="34"/>
      <c r="D172" s="153" t="s">
        <v>187</v>
      </c>
      <c r="E172" s="34"/>
      <c r="F172" s="154" t="s">
        <v>205</v>
      </c>
      <c r="G172" s="34"/>
      <c r="H172" s="34"/>
      <c r="I172" s="155"/>
      <c r="J172" s="34"/>
      <c r="K172" s="34"/>
      <c r="L172" s="35"/>
      <c r="M172" s="156"/>
      <c r="N172" s="157"/>
      <c r="O172" s="55"/>
      <c r="P172" s="55"/>
      <c r="Q172" s="55"/>
      <c r="R172" s="55"/>
      <c r="S172" s="55"/>
      <c r="T172" s="56"/>
      <c r="U172" s="34"/>
      <c r="V172" s="34"/>
      <c r="W172" s="34"/>
      <c r="X172" s="34"/>
      <c r="Y172" s="34"/>
      <c r="Z172" s="34"/>
      <c r="AA172" s="34"/>
      <c r="AB172" s="34"/>
      <c r="AC172" s="34"/>
      <c r="AD172" s="34"/>
      <c r="AE172" s="34"/>
      <c r="AT172" s="19" t="s">
        <v>187</v>
      </c>
      <c r="AU172" s="19" t="s">
        <v>87</v>
      </c>
    </row>
    <row r="173" spans="1:65" s="2" customFormat="1">
      <c r="A173" s="34"/>
      <c r="B173" s="35"/>
      <c r="C173" s="34"/>
      <c r="D173" s="158" t="s">
        <v>189</v>
      </c>
      <c r="E173" s="34"/>
      <c r="F173" s="159" t="s">
        <v>206</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189</v>
      </c>
      <c r="AU173" s="19" t="s">
        <v>87</v>
      </c>
    </row>
    <row r="174" spans="1:65" s="2" customFormat="1" ht="107.25">
      <c r="A174" s="34"/>
      <c r="B174" s="35"/>
      <c r="C174" s="34"/>
      <c r="D174" s="153" t="s">
        <v>191</v>
      </c>
      <c r="E174" s="34"/>
      <c r="F174" s="160" t="s">
        <v>192</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191</v>
      </c>
      <c r="AU174" s="19" t="s">
        <v>87</v>
      </c>
    </row>
    <row r="175" spans="1:65" s="13" customFormat="1">
      <c r="B175" s="161"/>
      <c r="D175" s="153" t="s">
        <v>193</v>
      </c>
      <c r="F175" s="163" t="s">
        <v>1409</v>
      </c>
      <c r="H175" s="164">
        <v>4.8000000000000001E-2</v>
      </c>
      <c r="I175" s="165"/>
      <c r="L175" s="161"/>
      <c r="M175" s="166"/>
      <c r="N175" s="167"/>
      <c r="O175" s="167"/>
      <c r="P175" s="167"/>
      <c r="Q175" s="167"/>
      <c r="R175" s="167"/>
      <c r="S175" s="167"/>
      <c r="T175" s="168"/>
      <c r="AT175" s="162" t="s">
        <v>193</v>
      </c>
      <c r="AU175" s="162" t="s">
        <v>87</v>
      </c>
      <c r="AV175" s="13" t="s">
        <v>87</v>
      </c>
      <c r="AW175" s="13" t="s">
        <v>4</v>
      </c>
      <c r="AX175" s="13" t="s">
        <v>85</v>
      </c>
      <c r="AY175" s="162" t="s">
        <v>177</v>
      </c>
    </row>
    <row r="176" spans="1:65" s="2" customFormat="1" ht="16.5" customHeight="1">
      <c r="A176" s="34"/>
      <c r="B176" s="139"/>
      <c r="C176" s="140" t="s">
        <v>302</v>
      </c>
      <c r="D176" s="140" t="s">
        <v>180</v>
      </c>
      <c r="E176" s="141" t="s">
        <v>208</v>
      </c>
      <c r="F176" s="142" t="s">
        <v>209</v>
      </c>
      <c r="G176" s="143" t="s">
        <v>183</v>
      </c>
      <c r="H176" s="144">
        <v>2.4E-2</v>
      </c>
      <c r="I176" s="145"/>
      <c r="J176" s="146">
        <f>ROUND(I176*H176,2)</f>
        <v>0</v>
      </c>
      <c r="K176" s="142" t="s">
        <v>184</v>
      </c>
      <c r="L176" s="35"/>
      <c r="M176" s="147" t="s">
        <v>3</v>
      </c>
      <c r="N176" s="148" t="s">
        <v>48</v>
      </c>
      <c r="O176" s="55"/>
      <c r="P176" s="149">
        <f>O176*H176</f>
        <v>0</v>
      </c>
      <c r="Q176" s="149">
        <v>0</v>
      </c>
      <c r="R176" s="149">
        <f>Q176*H176</f>
        <v>0</v>
      </c>
      <c r="S176" s="149">
        <v>0</v>
      </c>
      <c r="T176" s="150">
        <f>S176*H176</f>
        <v>0</v>
      </c>
      <c r="U176" s="34"/>
      <c r="V176" s="34"/>
      <c r="W176" s="34"/>
      <c r="X176" s="34"/>
      <c r="Y176" s="34"/>
      <c r="Z176" s="34"/>
      <c r="AA176" s="34"/>
      <c r="AB176" s="34"/>
      <c r="AC176" s="34"/>
      <c r="AD176" s="34"/>
      <c r="AE176" s="34"/>
      <c r="AR176" s="151" t="s">
        <v>185</v>
      </c>
      <c r="AT176" s="151" t="s">
        <v>180</v>
      </c>
      <c r="AU176" s="151" t="s">
        <v>87</v>
      </c>
      <c r="AY176" s="19" t="s">
        <v>177</v>
      </c>
      <c r="BE176" s="152">
        <f>IF(N176="základní",J176,0)</f>
        <v>0</v>
      </c>
      <c r="BF176" s="152">
        <f>IF(N176="snížená",J176,0)</f>
        <v>0</v>
      </c>
      <c r="BG176" s="152">
        <f>IF(N176="zákl. přenesená",J176,0)</f>
        <v>0</v>
      </c>
      <c r="BH176" s="152">
        <f>IF(N176="sníž. přenesená",J176,0)</f>
        <v>0</v>
      </c>
      <c r="BI176" s="152">
        <f>IF(N176="nulová",J176,0)</f>
        <v>0</v>
      </c>
      <c r="BJ176" s="19" t="s">
        <v>85</v>
      </c>
      <c r="BK176" s="152">
        <f>ROUND(I176*H176,2)</f>
        <v>0</v>
      </c>
      <c r="BL176" s="19" t="s">
        <v>185</v>
      </c>
      <c r="BM176" s="151" t="s">
        <v>1410</v>
      </c>
    </row>
    <row r="177" spans="1:65" s="2" customFormat="1">
      <c r="A177" s="34"/>
      <c r="B177" s="35"/>
      <c r="C177" s="34"/>
      <c r="D177" s="153" t="s">
        <v>187</v>
      </c>
      <c r="E177" s="34"/>
      <c r="F177" s="154" t="s">
        <v>211</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187</v>
      </c>
      <c r="AU177" s="19" t="s">
        <v>87</v>
      </c>
    </row>
    <row r="178" spans="1:65" s="2" customFormat="1">
      <c r="A178" s="34"/>
      <c r="B178" s="35"/>
      <c r="C178" s="34"/>
      <c r="D178" s="158" t="s">
        <v>189</v>
      </c>
      <c r="E178" s="34"/>
      <c r="F178" s="159" t="s">
        <v>212</v>
      </c>
      <c r="G178" s="34"/>
      <c r="H178" s="34"/>
      <c r="I178" s="155"/>
      <c r="J178" s="34"/>
      <c r="K178" s="34"/>
      <c r="L178" s="35"/>
      <c r="M178" s="156"/>
      <c r="N178" s="157"/>
      <c r="O178" s="55"/>
      <c r="P178" s="55"/>
      <c r="Q178" s="55"/>
      <c r="R178" s="55"/>
      <c r="S178" s="55"/>
      <c r="T178" s="56"/>
      <c r="U178" s="34"/>
      <c r="V178" s="34"/>
      <c r="W178" s="34"/>
      <c r="X178" s="34"/>
      <c r="Y178" s="34"/>
      <c r="Z178" s="34"/>
      <c r="AA178" s="34"/>
      <c r="AB178" s="34"/>
      <c r="AC178" s="34"/>
      <c r="AD178" s="34"/>
      <c r="AE178" s="34"/>
      <c r="AT178" s="19" t="s">
        <v>189</v>
      </c>
      <c r="AU178" s="19" t="s">
        <v>87</v>
      </c>
    </row>
    <row r="179" spans="1:65" s="2" customFormat="1" ht="58.5">
      <c r="A179" s="34"/>
      <c r="B179" s="35"/>
      <c r="C179" s="34"/>
      <c r="D179" s="153" t="s">
        <v>191</v>
      </c>
      <c r="E179" s="34"/>
      <c r="F179" s="160" t="s">
        <v>213</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191</v>
      </c>
      <c r="AU179" s="19" t="s">
        <v>87</v>
      </c>
    </row>
    <row r="180" spans="1:65" s="2" customFormat="1" ht="16.5" customHeight="1">
      <c r="A180" s="34"/>
      <c r="B180" s="139"/>
      <c r="C180" s="140" t="s">
        <v>315</v>
      </c>
      <c r="D180" s="140" t="s">
        <v>180</v>
      </c>
      <c r="E180" s="141" t="s">
        <v>214</v>
      </c>
      <c r="F180" s="142" t="s">
        <v>215</v>
      </c>
      <c r="G180" s="143" t="s">
        <v>183</v>
      </c>
      <c r="H180" s="144">
        <v>0.45600000000000002</v>
      </c>
      <c r="I180" s="145"/>
      <c r="J180" s="146">
        <f>ROUND(I180*H180,2)</f>
        <v>0</v>
      </c>
      <c r="K180" s="142" t="s">
        <v>184</v>
      </c>
      <c r="L180" s="35"/>
      <c r="M180" s="147" t="s">
        <v>3</v>
      </c>
      <c r="N180" s="148" t="s">
        <v>48</v>
      </c>
      <c r="O180" s="55"/>
      <c r="P180" s="149">
        <f>O180*H180</f>
        <v>0</v>
      </c>
      <c r="Q180" s="149">
        <v>0</v>
      </c>
      <c r="R180" s="149">
        <f>Q180*H180</f>
        <v>0</v>
      </c>
      <c r="S180" s="149">
        <v>0</v>
      </c>
      <c r="T180" s="150">
        <f>S180*H180</f>
        <v>0</v>
      </c>
      <c r="U180" s="34"/>
      <c r="V180" s="34"/>
      <c r="W180" s="34"/>
      <c r="X180" s="34"/>
      <c r="Y180" s="34"/>
      <c r="Z180" s="34"/>
      <c r="AA180" s="34"/>
      <c r="AB180" s="34"/>
      <c r="AC180" s="34"/>
      <c r="AD180" s="34"/>
      <c r="AE180" s="34"/>
      <c r="AR180" s="151" t="s">
        <v>185</v>
      </c>
      <c r="AT180" s="151" t="s">
        <v>180</v>
      </c>
      <c r="AU180" s="151" t="s">
        <v>87</v>
      </c>
      <c r="AY180" s="19" t="s">
        <v>177</v>
      </c>
      <c r="BE180" s="152">
        <f>IF(N180="základní",J180,0)</f>
        <v>0</v>
      </c>
      <c r="BF180" s="152">
        <f>IF(N180="snížená",J180,0)</f>
        <v>0</v>
      </c>
      <c r="BG180" s="152">
        <f>IF(N180="zákl. přenesená",J180,0)</f>
        <v>0</v>
      </c>
      <c r="BH180" s="152">
        <f>IF(N180="sníž. přenesená",J180,0)</f>
        <v>0</v>
      </c>
      <c r="BI180" s="152">
        <f>IF(N180="nulová",J180,0)</f>
        <v>0</v>
      </c>
      <c r="BJ180" s="19" t="s">
        <v>85</v>
      </c>
      <c r="BK180" s="152">
        <f>ROUND(I180*H180,2)</f>
        <v>0</v>
      </c>
      <c r="BL180" s="19" t="s">
        <v>185</v>
      </c>
      <c r="BM180" s="151" t="s">
        <v>1411</v>
      </c>
    </row>
    <row r="181" spans="1:65" s="2" customFormat="1" ht="19.5">
      <c r="A181" s="34"/>
      <c r="B181" s="35"/>
      <c r="C181" s="34"/>
      <c r="D181" s="153" t="s">
        <v>187</v>
      </c>
      <c r="E181" s="34"/>
      <c r="F181" s="154" t="s">
        <v>217</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187</v>
      </c>
      <c r="AU181" s="19" t="s">
        <v>87</v>
      </c>
    </row>
    <row r="182" spans="1:65" s="2" customFormat="1">
      <c r="A182" s="34"/>
      <c r="B182" s="35"/>
      <c r="C182" s="34"/>
      <c r="D182" s="158" t="s">
        <v>189</v>
      </c>
      <c r="E182" s="34"/>
      <c r="F182" s="159" t="s">
        <v>218</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189</v>
      </c>
      <c r="AU182" s="19" t="s">
        <v>87</v>
      </c>
    </row>
    <row r="183" spans="1:65" s="2" customFormat="1" ht="58.5">
      <c r="A183" s="34"/>
      <c r="B183" s="35"/>
      <c r="C183" s="34"/>
      <c r="D183" s="153" t="s">
        <v>191</v>
      </c>
      <c r="E183" s="34"/>
      <c r="F183" s="160" t="s">
        <v>213</v>
      </c>
      <c r="G183" s="34"/>
      <c r="H183" s="34"/>
      <c r="I183" s="155"/>
      <c r="J183" s="34"/>
      <c r="K183" s="34"/>
      <c r="L183" s="35"/>
      <c r="M183" s="156"/>
      <c r="N183" s="157"/>
      <c r="O183" s="55"/>
      <c r="P183" s="55"/>
      <c r="Q183" s="55"/>
      <c r="R183" s="55"/>
      <c r="S183" s="55"/>
      <c r="T183" s="56"/>
      <c r="U183" s="34"/>
      <c r="V183" s="34"/>
      <c r="W183" s="34"/>
      <c r="X183" s="34"/>
      <c r="Y183" s="34"/>
      <c r="Z183" s="34"/>
      <c r="AA183" s="34"/>
      <c r="AB183" s="34"/>
      <c r="AC183" s="34"/>
      <c r="AD183" s="34"/>
      <c r="AE183" s="34"/>
      <c r="AT183" s="19" t="s">
        <v>191</v>
      </c>
      <c r="AU183" s="19" t="s">
        <v>87</v>
      </c>
    </row>
    <row r="184" spans="1:65" s="13" customFormat="1">
      <c r="B184" s="161"/>
      <c r="D184" s="153" t="s">
        <v>193</v>
      </c>
      <c r="F184" s="163" t="s">
        <v>1412</v>
      </c>
      <c r="H184" s="164">
        <v>0.45600000000000002</v>
      </c>
      <c r="I184" s="165"/>
      <c r="L184" s="161"/>
      <c r="M184" s="166"/>
      <c r="N184" s="167"/>
      <c r="O184" s="167"/>
      <c r="P184" s="167"/>
      <c r="Q184" s="167"/>
      <c r="R184" s="167"/>
      <c r="S184" s="167"/>
      <c r="T184" s="168"/>
      <c r="AT184" s="162" t="s">
        <v>193</v>
      </c>
      <c r="AU184" s="162" t="s">
        <v>87</v>
      </c>
      <c r="AV184" s="13" t="s">
        <v>87</v>
      </c>
      <c r="AW184" s="13" t="s">
        <v>4</v>
      </c>
      <c r="AX184" s="13" t="s">
        <v>85</v>
      </c>
      <c r="AY184" s="162" t="s">
        <v>177</v>
      </c>
    </row>
    <row r="185" spans="1:65" s="2" customFormat="1" ht="24.2" customHeight="1">
      <c r="A185" s="34"/>
      <c r="B185" s="139"/>
      <c r="C185" s="140" t="s">
        <v>461</v>
      </c>
      <c r="D185" s="140" t="s">
        <v>180</v>
      </c>
      <c r="E185" s="141" t="s">
        <v>223</v>
      </c>
      <c r="F185" s="142" t="s">
        <v>224</v>
      </c>
      <c r="G185" s="143" t="s">
        <v>183</v>
      </c>
      <c r="H185" s="144">
        <v>2.4E-2</v>
      </c>
      <c r="I185" s="145"/>
      <c r="J185" s="146">
        <f>ROUND(I185*H185,2)</f>
        <v>0</v>
      </c>
      <c r="K185" s="142" t="s">
        <v>184</v>
      </c>
      <c r="L185" s="35"/>
      <c r="M185" s="147" t="s">
        <v>3</v>
      </c>
      <c r="N185" s="148" t="s">
        <v>48</v>
      </c>
      <c r="O185" s="55"/>
      <c r="P185" s="149">
        <f>O185*H185</f>
        <v>0</v>
      </c>
      <c r="Q185" s="149">
        <v>0</v>
      </c>
      <c r="R185" s="149">
        <f>Q185*H185</f>
        <v>0</v>
      </c>
      <c r="S185" s="149">
        <v>0</v>
      </c>
      <c r="T185" s="150">
        <f>S185*H185</f>
        <v>0</v>
      </c>
      <c r="U185" s="34"/>
      <c r="V185" s="34"/>
      <c r="W185" s="34"/>
      <c r="X185" s="34"/>
      <c r="Y185" s="34"/>
      <c r="Z185" s="34"/>
      <c r="AA185" s="34"/>
      <c r="AB185" s="34"/>
      <c r="AC185" s="34"/>
      <c r="AD185" s="34"/>
      <c r="AE185" s="34"/>
      <c r="AR185" s="151" t="s">
        <v>185</v>
      </c>
      <c r="AT185" s="151" t="s">
        <v>180</v>
      </c>
      <c r="AU185" s="151" t="s">
        <v>87</v>
      </c>
      <c r="AY185" s="19" t="s">
        <v>177</v>
      </c>
      <c r="BE185" s="152">
        <f>IF(N185="základní",J185,0)</f>
        <v>0</v>
      </c>
      <c r="BF185" s="152">
        <f>IF(N185="snížená",J185,0)</f>
        <v>0</v>
      </c>
      <c r="BG185" s="152">
        <f>IF(N185="zákl. přenesená",J185,0)</f>
        <v>0</v>
      </c>
      <c r="BH185" s="152">
        <f>IF(N185="sníž. přenesená",J185,0)</f>
        <v>0</v>
      </c>
      <c r="BI185" s="152">
        <f>IF(N185="nulová",J185,0)</f>
        <v>0</v>
      </c>
      <c r="BJ185" s="19" t="s">
        <v>85</v>
      </c>
      <c r="BK185" s="152">
        <f>ROUND(I185*H185,2)</f>
        <v>0</v>
      </c>
      <c r="BL185" s="19" t="s">
        <v>185</v>
      </c>
      <c r="BM185" s="151" t="s">
        <v>1413</v>
      </c>
    </row>
    <row r="186" spans="1:65" s="2" customFormat="1" ht="19.5">
      <c r="A186" s="34"/>
      <c r="B186" s="35"/>
      <c r="C186" s="34"/>
      <c r="D186" s="153" t="s">
        <v>187</v>
      </c>
      <c r="E186" s="34"/>
      <c r="F186" s="154" t="s">
        <v>226</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187</v>
      </c>
      <c r="AU186" s="19" t="s">
        <v>87</v>
      </c>
    </row>
    <row r="187" spans="1:65" s="2" customFormat="1">
      <c r="A187" s="34"/>
      <c r="B187" s="35"/>
      <c r="C187" s="34"/>
      <c r="D187" s="158" t="s">
        <v>189</v>
      </c>
      <c r="E187" s="34"/>
      <c r="F187" s="159" t="s">
        <v>227</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189</v>
      </c>
      <c r="AU187" s="19" t="s">
        <v>87</v>
      </c>
    </row>
    <row r="188" spans="1:65" s="2" customFormat="1" ht="39">
      <c r="A188" s="34"/>
      <c r="B188" s="35"/>
      <c r="C188" s="34"/>
      <c r="D188" s="153" t="s">
        <v>191</v>
      </c>
      <c r="E188" s="34"/>
      <c r="F188" s="160" t="s">
        <v>228</v>
      </c>
      <c r="G188" s="34"/>
      <c r="H188" s="34"/>
      <c r="I188" s="155"/>
      <c r="J188" s="34"/>
      <c r="K188" s="34"/>
      <c r="L188" s="35"/>
      <c r="M188" s="156"/>
      <c r="N188" s="157"/>
      <c r="O188" s="55"/>
      <c r="P188" s="55"/>
      <c r="Q188" s="55"/>
      <c r="R188" s="55"/>
      <c r="S188" s="55"/>
      <c r="T188" s="56"/>
      <c r="U188" s="34"/>
      <c r="V188" s="34"/>
      <c r="W188" s="34"/>
      <c r="X188" s="34"/>
      <c r="Y188" s="34"/>
      <c r="Z188" s="34"/>
      <c r="AA188" s="34"/>
      <c r="AB188" s="34"/>
      <c r="AC188" s="34"/>
      <c r="AD188" s="34"/>
      <c r="AE188" s="34"/>
      <c r="AT188" s="19" t="s">
        <v>191</v>
      </c>
      <c r="AU188" s="19" t="s">
        <v>87</v>
      </c>
    </row>
    <row r="189" spans="1:65" s="12" customFormat="1" ht="22.9" customHeight="1">
      <c r="B189" s="126"/>
      <c r="D189" s="127" t="s">
        <v>76</v>
      </c>
      <c r="E189" s="137" t="s">
        <v>518</v>
      </c>
      <c r="F189" s="137" t="s">
        <v>519</v>
      </c>
      <c r="I189" s="129"/>
      <c r="J189" s="138">
        <f>BK189</f>
        <v>0</v>
      </c>
      <c r="L189" s="126"/>
      <c r="M189" s="131"/>
      <c r="N189" s="132"/>
      <c r="O189" s="132"/>
      <c r="P189" s="133">
        <f>SUM(P190:P193)</f>
        <v>0</v>
      </c>
      <c r="Q189" s="132"/>
      <c r="R189" s="133">
        <f>SUM(R190:R193)</f>
        <v>0</v>
      </c>
      <c r="S189" s="132"/>
      <c r="T189" s="134">
        <f>SUM(T190:T193)</f>
        <v>0</v>
      </c>
      <c r="AR189" s="127" t="s">
        <v>85</v>
      </c>
      <c r="AT189" s="135" t="s">
        <v>76</v>
      </c>
      <c r="AU189" s="135" t="s">
        <v>85</v>
      </c>
      <c r="AY189" s="127" t="s">
        <v>177</v>
      </c>
      <c r="BK189" s="136">
        <f>SUM(BK190:BK193)</f>
        <v>0</v>
      </c>
    </row>
    <row r="190" spans="1:65" s="2" customFormat="1" ht="16.5" customHeight="1">
      <c r="A190" s="34"/>
      <c r="B190" s="139"/>
      <c r="C190" s="140" t="s">
        <v>467</v>
      </c>
      <c r="D190" s="140" t="s">
        <v>180</v>
      </c>
      <c r="E190" s="141" t="s">
        <v>521</v>
      </c>
      <c r="F190" s="142" t="s">
        <v>522</v>
      </c>
      <c r="G190" s="143" t="s">
        <v>183</v>
      </c>
      <c r="H190" s="144">
        <v>26.626000000000001</v>
      </c>
      <c r="I190" s="145"/>
      <c r="J190" s="146">
        <f>ROUND(I190*H190,2)</f>
        <v>0</v>
      </c>
      <c r="K190" s="142" t="s">
        <v>184</v>
      </c>
      <c r="L190" s="35"/>
      <c r="M190" s="147" t="s">
        <v>3</v>
      </c>
      <c r="N190" s="148" t="s">
        <v>48</v>
      </c>
      <c r="O190" s="55"/>
      <c r="P190" s="149">
        <f>O190*H190</f>
        <v>0</v>
      </c>
      <c r="Q190" s="149">
        <v>0</v>
      </c>
      <c r="R190" s="149">
        <f>Q190*H190</f>
        <v>0</v>
      </c>
      <c r="S190" s="149">
        <v>0</v>
      </c>
      <c r="T190" s="150">
        <f>S190*H190</f>
        <v>0</v>
      </c>
      <c r="U190" s="34"/>
      <c r="V190" s="34"/>
      <c r="W190" s="34"/>
      <c r="X190" s="34"/>
      <c r="Y190" s="34"/>
      <c r="Z190" s="34"/>
      <c r="AA190" s="34"/>
      <c r="AB190" s="34"/>
      <c r="AC190" s="34"/>
      <c r="AD190" s="34"/>
      <c r="AE190" s="34"/>
      <c r="AR190" s="151" t="s">
        <v>185</v>
      </c>
      <c r="AT190" s="151" t="s">
        <v>180</v>
      </c>
      <c r="AU190" s="151" t="s">
        <v>87</v>
      </c>
      <c r="AY190" s="19" t="s">
        <v>177</v>
      </c>
      <c r="BE190" s="152">
        <f>IF(N190="základní",J190,0)</f>
        <v>0</v>
      </c>
      <c r="BF190" s="152">
        <f>IF(N190="snížená",J190,0)</f>
        <v>0</v>
      </c>
      <c r="BG190" s="152">
        <f>IF(N190="zákl. přenesená",J190,0)</f>
        <v>0</v>
      </c>
      <c r="BH190" s="152">
        <f>IF(N190="sníž. přenesená",J190,0)</f>
        <v>0</v>
      </c>
      <c r="BI190" s="152">
        <f>IF(N190="nulová",J190,0)</f>
        <v>0</v>
      </c>
      <c r="BJ190" s="19" t="s">
        <v>85</v>
      </c>
      <c r="BK190" s="152">
        <f>ROUND(I190*H190,2)</f>
        <v>0</v>
      </c>
      <c r="BL190" s="19" t="s">
        <v>185</v>
      </c>
      <c r="BM190" s="151" t="s">
        <v>1414</v>
      </c>
    </row>
    <row r="191" spans="1:65" s="2" customFormat="1" ht="19.5">
      <c r="A191" s="34"/>
      <c r="B191" s="35"/>
      <c r="C191" s="34"/>
      <c r="D191" s="153" t="s">
        <v>187</v>
      </c>
      <c r="E191" s="34"/>
      <c r="F191" s="154" t="s">
        <v>524</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187</v>
      </c>
      <c r="AU191" s="19" t="s">
        <v>87</v>
      </c>
    </row>
    <row r="192" spans="1:65" s="2" customFormat="1">
      <c r="A192" s="34"/>
      <c r="B192" s="35"/>
      <c r="C192" s="34"/>
      <c r="D192" s="158" t="s">
        <v>189</v>
      </c>
      <c r="E192" s="34"/>
      <c r="F192" s="159" t="s">
        <v>525</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189</v>
      </c>
      <c r="AU192" s="19" t="s">
        <v>87</v>
      </c>
    </row>
    <row r="193" spans="1:65" s="2" customFormat="1" ht="58.5">
      <c r="A193" s="34"/>
      <c r="B193" s="35"/>
      <c r="C193" s="34"/>
      <c r="D193" s="153" t="s">
        <v>191</v>
      </c>
      <c r="E193" s="34"/>
      <c r="F193" s="160" t="s">
        <v>526</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191</v>
      </c>
      <c r="AU193" s="19" t="s">
        <v>87</v>
      </c>
    </row>
    <row r="194" spans="1:65" s="12" customFormat="1" ht="25.9" customHeight="1">
      <c r="B194" s="126"/>
      <c r="D194" s="127" t="s">
        <v>76</v>
      </c>
      <c r="E194" s="128" t="s">
        <v>229</v>
      </c>
      <c r="F194" s="128" t="s">
        <v>230</v>
      </c>
      <c r="I194" s="129"/>
      <c r="J194" s="130">
        <f>BK194</f>
        <v>0</v>
      </c>
      <c r="L194" s="126"/>
      <c r="M194" s="131"/>
      <c r="N194" s="132"/>
      <c r="O194" s="132"/>
      <c r="P194" s="133">
        <f>P195+P218</f>
        <v>0</v>
      </c>
      <c r="Q194" s="132"/>
      <c r="R194" s="133">
        <f>R195+R218</f>
        <v>2.4276493760399998</v>
      </c>
      <c r="S194" s="132"/>
      <c r="T194" s="134">
        <f>T195+T218</f>
        <v>0</v>
      </c>
      <c r="AR194" s="127" t="s">
        <v>87</v>
      </c>
      <c r="AT194" s="135" t="s">
        <v>76</v>
      </c>
      <c r="AU194" s="135" t="s">
        <v>77</v>
      </c>
      <c r="AY194" s="127" t="s">
        <v>177</v>
      </c>
      <c r="BK194" s="136">
        <f>BK195+BK218</f>
        <v>0</v>
      </c>
    </row>
    <row r="195" spans="1:65" s="12" customFormat="1" ht="22.9" customHeight="1">
      <c r="B195" s="126"/>
      <c r="D195" s="127" t="s">
        <v>76</v>
      </c>
      <c r="E195" s="137" t="s">
        <v>1237</v>
      </c>
      <c r="F195" s="137" t="s">
        <v>1238</v>
      </c>
      <c r="I195" s="129"/>
      <c r="J195" s="138">
        <f>BK195</f>
        <v>0</v>
      </c>
      <c r="L195" s="126"/>
      <c r="M195" s="131"/>
      <c r="N195" s="132"/>
      <c r="O195" s="132"/>
      <c r="P195" s="133">
        <f>SUM(P196:P217)</f>
        <v>0</v>
      </c>
      <c r="Q195" s="132"/>
      <c r="R195" s="133">
        <f>SUM(R196:R217)</f>
        <v>2.2689947900399998</v>
      </c>
      <c r="S195" s="132"/>
      <c r="T195" s="134">
        <f>SUM(T196:T217)</f>
        <v>0</v>
      </c>
      <c r="AR195" s="127" t="s">
        <v>87</v>
      </c>
      <c r="AT195" s="135" t="s">
        <v>76</v>
      </c>
      <c r="AU195" s="135" t="s">
        <v>85</v>
      </c>
      <c r="AY195" s="127" t="s">
        <v>177</v>
      </c>
      <c r="BK195" s="136">
        <f>SUM(BK196:BK217)</f>
        <v>0</v>
      </c>
    </row>
    <row r="196" spans="1:65" s="2" customFormat="1" ht="16.5" customHeight="1">
      <c r="A196" s="34"/>
      <c r="B196" s="139"/>
      <c r="C196" s="140" t="s">
        <v>8</v>
      </c>
      <c r="D196" s="140" t="s">
        <v>180</v>
      </c>
      <c r="E196" s="141" t="s">
        <v>1415</v>
      </c>
      <c r="F196" s="142" t="s">
        <v>1416</v>
      </c>
      <c r="G196" s="143" t="s">
        <v>332</v>
      </c>
      <c r="H196" s="144">
        <v>332.50799999999998</v>
      </c>
      <c r="I196" s="145"/>
      <c r="J196" s="146">
        <f>ROUND(I196*H196,2)</f>
        <v>0</v>
      </c>
      <c r="K196" s="142" t="s">
        <v>184</v>
      </c>
      <c r="L196" s="35"/>
      <c r="M196" s="147" t="s">
        <v>3</v>
      </c>
      <c r="N196" s="148" t="s">
        <v>48</v>
      </c>
      <c r="O196" s="55"/>
      <c r="P196" s="149">
        <f>O196*H196</f>
        <v>0</v>
      </c>
      <c r="Q196" s="149">
        <v>0</v>
      </c>
      <c r="R196" s="149">
        <f>Q196*H196</f>
        <v>0</v>
      </c>
      <c r="S196" s="149">
        <v>0</v>
      </c>
      <c r="T196" s="150">
        <f>S196*H196</f>
        <v>0</v>
      </c>
      <c r="U196" s="34"/>
      <c r="V196" s="34"/>
      <c r="W196" s="34"/>
      <c r="X196" s="34"/>
      <c r="Y196" s="34"/>
      <c r="Z196" s="34"/>
      <c r="AA196" s="34"/>
      <c r="AB196" s="34"/>
      <c r="AC196" s="34"/>
      <c r="AD196" s="34"/>
      <c r="AE196" s="34"/>
      <c r="AR196" s="151" t="s">
        <v>237</v>
      </c>
      <c r="AT196" s="151" t="s">
        <v>180</v>
      </c>
      <c r="AU196" s="151" t="s">
        <v>87</v>
      </c>
      <c r="AY196" s="19" t="s">
        <v>177</v>
      </c>
      <c r="BE196" s="152">
        <f>IF(N196="základní",J196,0)</f>
        <v>0</v>
      </c>
      <c r="BF196" s="152">
        <f>IF(N196="snížená",J196,0)</f>
        <v>0</v>
      </c>
      <c r="BG196" s="152">
        <f>IF(N196="zákl. přenesená",J196,0)</f>
        <v>0</v>
      </c>
      <c r="BH196" s="152">
        <f>IF(N196="sníž. přenesená",J196,0)</f>
        <v>0</v>
      </c>
      <c r="BI196" s="152">
        <f>IF(N196="nulová",J196,0)</f>
        <v>0</v>
      </c>
      <c r="BJ196" s="19" t="s">
        <v>85</v>
      </c>
      <c r="BK196" s="152">
        <f>ROUND(I196*H196,2)</f>
        <v>0</v>
      </c>
      <c r="BL196" s="19" t="s">
        <v>237</v>
      </c>
      <c r="BM196" s="151" t="s">
        <v>1417</v>
      </c>
    </row>
    <row r="197" spans="1:65" s="2" customFormat="1">
      <c r="A197" s="34"/>
      <c r="B197" s="35"/>
      <c r="C197" s="34"/>
      <c r="D197" s="153" t="s">
        <v>187</v>
      </c>
      <c r="E197" s="34"/>
      <c r="F197" s="154" t="s">
        <v>1418</v>
      </c>
      <c r="G197" s="34"/>
      <c r="H197" s="34"/>
      <c r="I197" s="155"/>
      <c r="J197" s="34"/>
      <c r="K197" s="34"/>
      <c r="L197" s="35"/>
      <c r="M197" s="156"/>
      <c r="N197" s="157"/>
      <c r="O197" s="55"/>
      <c r="P197" s="55"/>
      <c r="Q197" s="55"/>
      <c r="R197" s="55"/>
      <c r="S197" s="55"/>
      <c r="T197" s="56"/>
      <c r="U197" s="34"/>
      <c r="V197" s="34"/>
      <c r="W197" s="34"/>
      <c r="X197" s="34"/>
      <c r="Y197" s="34"/>
      <c r="Z197" s="34"/>
      <c r="AA197" s="34"/>
      <c r="AB197" s="34"/>
      <c r="AC197" s="34"/>
      <c r="AD197" s="34"/>
      <c r="AE197" s="34"/>
      <c r="AT197" s="19" t="s">
        <v>187</v>
      </c>
      <c r="AU197" s="19" t="s">
        <v>87</v>
      </c>
    </row>
    <row r="198" spans="1:65" s="2" customFormat="1">
      <c r="A198" s="34"/>
      <c r="B198" s="35"/>
      <c r="C198" s="34"/>
      <c r="D198" s="158" t="s">
        <v>189</v>
      </c>
      <c r="E198" s="34"/>
      <c r="F198" s="159" t="s">
        <v>1419</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189</v>
      </c>
      <c r="AU198" s="19" t="s">
        <v>87</v>
      </c>
    </row>
    <row r="199" spans="1:65" s="2" customFormat="1" ht="39">
      <c r="A199" s="34"/>
      <c r="B199" s="35"/>
      <c r="C199" s="34"/>
      <c r="D199" s="153" t="s">
        <v>191</v>
      </c>
      <c r="E199" s="34"/>
      <c r="F199" s="160" t="s">
        <v>1420</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191</v>
      </c>
      <c r="AU199" s="19" t="s">
        <v>87</v>
      </c>
    </row>
    <row r="200" spans="1:65" s="2" customFormat="1" ht="16.5" customHeight="1">
      <c r="A200" s="34"/>
      <c r="B200" s="139"/>
      <c r="C200" s="195" t="s">
        <v>483</v>
      </c>
      <c r="D200" s="195" t="s">
        <v>484</v>
      </c>
      <c r="E200" s="196" t="s">
        <v>1421</v>
      </c>
      <c r="F200" s="197" t="s">
        <v>1422</v>
      </c>
      <c r="G200" s="198" t="s">
        <v>183</v>
      </c>
      <c r="H200" s="199">
        <v>0.1</v>
      </c>
      <c r="I200" s="200"/>
      <c r="J200" s="201">
        <f>ROUND(I200*H200,2)</f>
        <v>0</v>
      </c>
      <c r="K200" s="197" t="s">
        <v>184</v>
      </c>
      <c r="L200" s="202"/>
      <c r="M200" s="203" t="s">
        <v>3</v>
      </c>
      <c r="N200" s="204" t="s">
        <v>48</v>
      </c>
      <c r="O200" s="55"/>
      <c r="P200" s="149">
        <f>O200*H200</f>
        <v>0</v>
      </c>
      <c r="Q200" s="149">
        <v>1</v>
      </c>
      <c r="R200" s="149">
        <f>Q200*H200</f>
        <v>0.1</v>
      </c>
      <c r="S200" s="149">
        <v>0</v>
      </c>
      <c r="T200" s="150">
        <f>S200*H200</f>
        <v>0</v>
      </c>
      <c r="U200" s="34"/>
      <c r="V200" s="34"/>
      <c r="W200" s="34"/>
      <c r="X200" s="34"/>
      <c r="Y200" s="34"/>
      <c r="Z200" s="34"/>
      <c r="AA200" s="34"/>
      <c r="AB200" s="34"/>
      <c r="AC200" s="34"/>
      <c r="AD200" s="34"/>
      <c r="AE200" s="34"/>
      <c r="AR200" s="151" t="s">
        <v>537</v>
      </c>
      <c r="AT200" s="151" t="s">
        <v>484</v>
      </c>
      <c r="AU200" s="151" t="s">
        <v>87</v>
      </c>
      <c r="AY200" s="19" t="s">
        <v>177</v>
      </c>
      <c r="BE200" s="152">
        <f>IF(N200="základní",J200,0)</f>
        <v>0</v>
      </c>
      <c r="BF200" s="152">
        <f>IF(N200="snížená",J200,0)</f>
        <v>0</v>
      </c>
      <c r="BG200" s="152">
        <f>IF(N200="zákl. přenesená",J200,0)</f>
        <v>0</v>
      </c>
      <c r="BH200" s="152">
        <f>IF(N200="sníž. přenesená",J200,0)</f>
        <v>0</v>
      </c>
      <c r="BI200" s="152">
        <f>IF(N200="nulová",J200,0)</f>
        <v>0</v>
      </c>
      <c r="BJ200" s="19" t="s">
        <v>85</v>
      </c>
      <c r="BK200" s="152">
        <f>ROUND(I200*H200,2)</f>
        <v>0</v>
      </c>
      <c r="BL200" s="19" t="s">
        <v>237</v>
      </c>
      <c r="BM200" s="151" t="s">
        <v>1423</v>
      </c>
    </row>
    <row r="201" spans="1:65" s="2" customFormat="1">
      <c r="A201" s="34"/>
      <c r="B201" s="35"/>
      <c r="C201" s="34"/>
      <c r="D201" s="153" t="s">
        <v>187</v>
      </c>
      <c r="E201" s="34"/>
      <c r="F201" s="154" t="s">
        <v>1422</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187</v>
      </c>
      <c r="AU201" s="19" t="s">
        <v>87</v>
      </c>
    </row>
    <row r="202" spans="1:65" s="13" customFormat="1">
      <c r="B202" s="161"/>
      <c r="D202" s="153" t="s">
        <v>193</v>
      </c>
      <c r="F202" s="163" t="s">
        <v>1424</v>
      </c>
      <c r="H202" s="164">
        <v>0.1</v>
      </c>
      <c r="I202" s="165"/>
      <c r="L202" s="161"/>
      <c r="M202" s="166"/>
      <c r="N202" s="167"/>
      <c r="O202" s="167"/>
      <c r="P202" s="167"/>
      <c r="Q202" s="167"/>
      <c r="R202" s="167"/>
      <c r="S202" s="167"/>
      <c r="T202" s="168"/>
      <c r="AT202" s="162" t="s">
        <v>193</v>
      </c>
      <c r="AU202" s="162" t="s">
        <v>87</v>
      </c>
      <c r="AV202" s="13" t="s">
        <v>87</v>
      </c>
      <c r="AW202" s="13" t="s">
        <v>4</v>
      </c>
      <c r="AX202" s="13" t="s">
        <v>85</v>
      </c>
      <c r="AY202" s="162" t="s">
        <v>177</v>
      </c>
    </row>
    <row r="203" spans="1:65" s="2" customFormat="1" ht="16.5" customHeight="1">
      <c r="A203" s="34"/>
      <c r="B203" s="139"/>
      <c r="C203" s="140" t="s">
        <v>490</v>
      </c>
      <c r="D203" s="140" t="s">
        <v>180</v>
      </c>
      <c r="E203" s="141" t="s">
        <v>1425</v>
      </c>
      <c r="F203" s="142" t="s">
        <v>1426</v>
      </c>
      <c r="G203" s="143" t="s">
        <v>332</v>
      </c>
      <c r="H203" s="144">
        <v>332.50799999999998</v>
      </c>
      <c r="I203" s="145"/>
      <c r="J203" s="146">
        <f>ROUND(I203*H203,2)</f>
        <v>0</v>
      </c>
      <c r="K203" s="142" t="s">
        <v>184</v>
      </c>
      <c r="L203" s="35"/>
      <c r="M203" s="147" t="s">
        <v>3</v>
      </c>
      <c r="N203" s="148" t="s">
        <v>48</v>
      </c>
      <c r="O203" s="55"/>
      <c r="P203" s="149">
        <f>O203*H203</f>
        <v>0</v>
      </c>
      <c r="Q203" s="149">
        <v>8.8312999999999998E-4</v>
      </c>
      <c r="R203" s="149">
        <f>Q203*H203</f>
        <v>0.29364779003999997</v>
      </c>
      <c r="S203" s="149">
        <v>0</v>
      </c>
      <c r="T203" s="150">
        <f>S203*H203</f>
        <v>0</v>
      </c>
      <c r="U203" s="34"/>
      <c r="V203" s="34"/>
      <c r="W203" s="34"/>
      <c r="X203" s="34"/>
      <c r="Y203" s="34"/>
      <c r="Z203" s="34"/>
      <c r="AA203" s="34"/>
      <c r="AB203" s="34"/>
      <c r="AC203" s="34"/>
      <c r="AD203" s="34"/>
      <c r="AE203" s="34"/>
      <c r="AR203" s="151" t="s">
        <v>237</v>
      </c>
      <c r="AT203" s="151" t="s">
        <v>180</v>
      </c>
      <c r="AU203" s="151" t="s">
        <v>87</v>
      </c>
      <c r="AY203" s="19" t="s">
        <v>177</v>
      </c>
      <c r="BE203" s="152">
        <f>IF(N203="základní",J203,0)</f>
        <v>0</v>
      </c>
      <c r="BF203" s="152">
        <f>IF(N203="snížená",J203,0)</f>
        <v>0</v>
      </c>
      <c r="BG203" s="152">
        <f>IF(N203="zákl. přenesená",J203,0)</f>
        <v>0</v>
      </c>
      <c r="BH203" s="152">
        <f>IF(N203="sníž. přenesená",J203,0)</f>
        <v>0</v>
      </c>
      <c r="BI203" s="152">
        <f>IF(N203="nulová",J203,0)</f>
        <v>0</v>
      </c>
      <c r="BJ203" s="19" t="s">
        <v>85</v>
      </c>
      <c r="BK203" s="152">
        <f>ROUND(I203*H203,2)</f>
        <v>0</v>
      </c>
      <c r="BL203" s="19" t="s">
        <v>237</v>
      </c>
      <c r="BM203" s="151" t="s">
        <v>1427</v>
      </c>
    </row>
    <row r="204" spans="1:65" s="2" customFormat="1">
      <c r="A204" s="34"/>
      <c r="B204" s="35"/>
      <c r="C204" s="34"/>
      <c r="D204" s="153" t="s">
        <v>187</v>
      </c>
      <c r="E204" s="34"/>
      <c r="F204" s="154" t="s">
        <v>1428</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187</v>
      </c>
      <c r="AU204" s="19" t="s">
        <v>87</v>
      </c>
    </row>
    <row r="205" spans="1:65" s="2" customFormat="1">
      <c r="A205" s="34"/>
      <c r="B205" s="35"/>
      <c r="C205" s="34"/>
      <c r="D205" s="158" t="s">
        <v>189</v>
      </c>
      <c r="E205" s="34"/>
      <c r="F205" s="159" t="s">
        <v>1429</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189</v>
      </c>
      <c r="AU205" s="19" t="s">
        <v>87</v>
      </c>
    </row>
    <row r="206" spans="1:65" s="2" customFormat="1" ht="39">
      <c r="A206" s="34"/>
      <c r="B206" s="35"/>
      <c r="C206" s="34"/>
      <c r="D206" s="153" t="s">
        <v>191</v>
      </c>
      <c r="E206" s="34"/>
      <c r="F206" s="160" t="s">
        <v>1430</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191</v>
      </c>
      <c r="AU206" s="19" t="s">
        <v>87</v>
      </c>
    </row>
    <row r="207" spans="1:65" s="2" customFormat="1" ht="24.2" customHeight="1">
      <c r="A207" s="34"/>
      <c r="B207" s="139"/>
      <c r="C207" s="195" t="s">
        <v>496</v>
      </c>
      <c r="D207" s="195" t="s">
        <v>484</v>
      </c>
      <c r="E207" s="196" t="s">
        <v>1431</v>
      </c>
      <c r="F207" s="197" t="s">
        <v>1432</v>
      </c>
      <c r="G207" s="198" t="s">
        <v>332</v>
      </c>
      <c r="H207" s="199">
        <v>399.01</v>
      </c>
      <c r="I207" s="200"/>
      <c r="J207" s="201">
        <f>ROUND(I207*H207,2)</f>
        <v>0</v>
      </c>
      <c r="K207" s="197" t="s">
        <v>184</v>
      </c>
      <c r="L207" s="202"/>
      <c r="M207" s="203" t="s">
        <v>3</v>
      </c>
      <c r="N207" s="204" t="s">
        <v>48</v>
      </c>
      <c r="O207" s="55"/>
      <c r="P207" s="149">
        <f>O207*H207</f>
        <v>0</v>
      </c>
      <c r="Q207" s="149">
        <v>4.7000000000000002E-3</v>
      </c>
      <c r="R207" s="149">
        <f>Q207*H207</f>
        <v>1.8753470000000001</v>
      </c>
      <c r="S207" s="149">
        <v>0</v>
      </c>
      <c r="T207" s="150">
        <f>S207*H207</f>
        <v>0</v>
      </c>
      <c r="U207" s="34"/>
      <c r="V207" s="34"/>
      <c r="W207" s="34"/>
      <c r="X207" s="34"/>
      <c r="Y207" s="34"/>
      <c r="Z207" s="34"/>
      <c r="AA207" s="34"/>
      <c r="AB207" s="34"/>
      <c r="AC207" s="34"/>
      <c r="AD207" s="34"/>
      <c r="AE207" s="34"/>
      <c r="AR207" s="151" t="s">
        <v>537</v>
      </c>
      <c r="AT207" s="151" t="s">
        <v>484</v>
      </c>
      <c r="AU207" s="151" t="s">
        <v>87</v>
      </c>
      <c r="AY207" s="19" t="s">
        <v>177</v>
      </c>
      <c r="BE207" s="152">
        <f>IF(N207="základní",J207,0)</f>
        <v>0</v>
      </c>
      <c r="BF207" s="152">
        <f>IF(N207="snížená",J207,0)</f>
        <v>0</v>
      </c>
      <c r="BG207" s="152">
        <f>IF(N207="zákl. přenesená",J207,0)</f>
        <v>0</v>
      </c>
      <c r="BH207" s="152">
        <f>IF(N207="sníž. přenesená",J207,0)</f>
        <v>0</v>
      </c>
      <c r="BI207" s="152">
        <f>IF(N207="nulová",J207,0)</f>
        <v>0</v>
      </c>
      <c r="BJ207" s="19" t="s">
        <v>85</v>
      </c>
      <c r="BK207" s="152">
        <f>ROUND(I207*H207,2)</f>
        <v>0</v>
      </c>
      <c r="BL207" s="19" t="s">
        <v>237</v>
      </c>
      <c r="BM207" s="151" t="s">
        <v>1433</v>
      </c>
    </row>
    <row r="208" spans="1:65" s="2" customFormat="1" ht="19.5">
      <c r="A208" s="34"/>
      <c r="B208" s="35"/>
      <c r="C208" s="34"/>
      <c r="D208" s="153" t="s">
        <v>187</v>
      </c>
      <c r="E208" s="34"/>
      <c r="F208" s="154" t="s">
        <v>1432</v>
      </c>
      <c r="G208" s="34"/>
      <c r="H208" s="34"/>
      <c r="I208" s="155"/>
      <c r="J208" s="34"/>
      <c r="K208" s="34"/>
      <c r="L208" s="35"/>
      <c r="M208" s="156"/>
      <c r="N208" s="157"/>
      <c r="O208" s="55"/>
      <c r="P208" s="55"/>
      <c r="Q208" s="55"/>
      <c r="R208" s="55"/>
      <c r="S208" s="55"/>
      <c r="T208" s="56"/>
      <c r="U208" s="34"/>
      <c r="V208" s="34"/>
      <c r="W208" s="34"/>
      <c r="X208" s="34"/>
      <c r="Y208" s="34"/>
      <c r="Z208" s="34"/>
      <c r="AA208" s="34"/>
      <c r="AB208" s="34"/>
      <c r="AC208" s="34"/>
      <c r="AD208" s="34"/>
      <c r="AE208" s="34"/>
      <c r="AT208" s="19" t="s">
        <v>187</v>
      </c>
      <c r="AU208" s="19" t="s">
        <v>87</v>
      </c>
    </row>
    <row r="209" spans="1:65" s="13" customFormat="1">
      <c r="B209" s="161"/>
      <c r="D209" s="153" t="s">
        <v>193</v>
      </c>
      <c r="F209" s="163" t="s">
        <v>1434</v>
      </c>
      <c r="H209" s="164">
        <v>399.01</v>
      </c>
      <c r="I209" s="165"/>
      <c r="L209" s="161"/>
      <c r="M209" s="166"/>
      <c r="N209" s="167"/>
      <c r="O209" s="167"/>
      <c r="P209" s="167"/>
      <c r="Q209" s="167"/>
      <c r="R209" s="167"/>
      <c r="S209" s="167"/>
      <c r="T209" s="168"/>
      <c r="AT209" s="162" t="s">
        <v>193</v>
      </c>
      <c r="AU209" s="162" t="s">
        <v>87</v>
      </c>
      <c r="AV209" s="13" t="s">
        <v>87</v>
      </c>
      <c r="AW209" s="13" t="s">
        <v>4</v>
      </c>
      <c r="AX209" s="13" t="s">
        <v>85</v>
      </c>
      <c r="AY209" s="162" t="s">
        <v>177</v>
      </c>
    </row>
    <row r="210" spans="1:65" s="2" customFormat="1" ht="16.5" customHeight="1">
      <c r="A210" s="34"/>
      <c r="B210" s="139"/>
      <c r="C210" s="140" t="s">
        <v>502</v>
      </c>
      <c r="D210" s="140" t="s">
        <v>180</v>
      </c>
      <c r="E210" s="141" t="s">
        <v>1435</v>
      </c>
      <c r="F210" s="142" t="s">
        <v>1436</v>
      </c>
      <c r="G210" s="143" t="s">
        <v>183</v>
      </c>
      <c r="H210" s="144">
        <v>2.2690000000000001</v>
      </c>
      <c r="I210" s="145"/>
      <c r="J210" s="146">
        <f>ROUND(I210*H210,2)</f>
        <v>0</v>
      </c>
      <c r="K210" s="142" t="s">
        <v>184</v>
      </c>
      <c r="L210" s="35"/>
      <c r="M210" s="147" t="s">
        <v>3</v>
      </c>
      <c r="N210" s="148" t="s">
        <v>48</v>
      </c>
      <c r="O210" s="55"/>
      <c r="P210" s="149">
        <f>O210*H210</f>
        <v>0</v>
      </c>
      <c r="Q210" s="149">
        <v>0</v>
      </c>
      <c r="R210" s="149">
        <f>Q210*H210</f>
        <v>0</v>
      </c>
      <c r="S210" s="149">
        <v>0</v>
      </c>
      <c r="T210" s="150">
        <f>S210*H210</f>
        <v>0</v>
      </c>
      <c r="U210" s="34"/>
      <c r="V210" s="34"/>
      <c r="W210" s="34"/>
      <c r="X210" s="34"/>
      <c r="Y210" s="34"/>
      <c r="Z210" s="34"/>
      <c r="AA210" s="34"/>
      <c r="AB210" s="34"/>
      <c r="AC210" s="34"/>
      <c r="AD210" s="34"/>
      <c r="AE210" s="34"/>
      <c r="AR210" s="151" t="s">
        <v>237</v>
      </c>
      <c r="AT210" s="151" t="s">
        <v>180</v>
      </c>
      <c r="AU210" s="151" t="s">
        <v>87</v>
      </c>
      <c r="AY210" s="19" t="s">
        <v>177</v>
      </c>
      <c r="BE210" s="152">
        <f>IF(N210="základní",J210,0)</f>
        <v>0</v>
      </c>
      <c r="BF210" s="152">
        <f>IF(N210="snížená",J210,0)</f>
        <v>0</v>
      </c>
      <c r="BG210" s="152">
        <f>IF(N210="zákl. přenesená",J210,0)</f>
        <v>0</v>
      </c>
      <c r="BH210" s="152">
        <f>IF(N210="sníž. přenesená",J210,0)</f>
        <v>0</v>
      </c>
      <c r="BI210" s="152">
        <f>IF(N210="nulová",J210,0)</f>
        <v>0</v>
      </c>
      <c r="BJ210" s="19" t="s">
        <v>85</v>
      </c>
      <c r="BK210" s="152">
        <f>ROUND(I210*H210,2)</f>
        <v>0</v>
      </c>
      <c r="BL210" s="19" t="s">
        <v>237</v>
      </c>
      <c r="BM210" s="151" t="s">
        <v>1437</v>
      </c>
    </row>
    <row r="211" spans="1:65" s="2" customFormat="1" ht="19.5">
      <c r="A211" s="34"/>
      <c r="B211" s="35"/>
      <c r="C211" s="34"/>
      <c r="D211" s="153" t="s">
        <v>187</v>
      </c>
      <c r="E211" s="34"/>
      <c r="F211" s="154" t="s">
        <v>1438</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187</v>
      </c>
      <c r="AU211" s="19" t="s">
        <v>87</v>
      </c>
    </row>
    <row r="212" spans="1:65" s="2" customFormat="1">
      <c r="A212" s="34"/>
      <c r="B212" s="35"/>
      <c r="C212" s="34"/>
      <c r="D212" s="158" t="s">
        <v>189</v>
      </c>
      <c r="E212" s="34"/>
      <c r="F212" s="159" t="s">
        <v>1439</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189</v>
      </c>
      <c r="AU212" s="19" t="s">
        <v>87</v>
      </c>
    </row>
    <row r="213" spans="1:65" s="2" customFormat="1" ht="78">
      <c r="A213" s="34"/>
      <c r="B213" s="35"/>
      <c r="C213" s="34"/>
      <c r="D213" s="153" t="s">
        <v>191</v>
      </c>
      <c r="E213" s="34"/>
      <c r="F213" s="160" t="s">
        <v>1440</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191</v>
      </c>
      <c r="AU213" s="19" t="s">
        <v>87</v>
      </c>
    </row>
    <row r="214" spans="1:65" s="2" customFormat="1" ht="16.5" customHeight="1">
      <c r="A214" s="34"/>
      <c r="B214" s="139"/>
      <c r="C214" s="140" t="s">
        <v>504</v>
      </c>
      <c r="D214" s="140" t="s">
        <v>180</v>
      </c>
      <c r="E214" s="141" t="s">
        <v>1441</v>
      </c>
      <c r="F214" s="142" t="s">
        <v>1442</v>
      </c>
      <c r="G214" s="143" t="s">
        <v>183</v>
      </c>
      <c r="H214" s="144">
        <v>2.2690000000000001</v>
      </c>
      <c r="I214" s="145"/>
      <c r="J214" s="146">
        <f>ROUND(I214*H214,2)</f>
        <v>0</v>
      </c>
      <c r="K214" s="142" t="s">
        <v>184</v>
      </c>
      <c r="L214" s="35"/>
      <c r="M214" s="147" t="s">
        <v>3</v>
      </c>
      <c r="N214" s="148" t="s">
        <v>48</v>
      </c>
      <c r="O214" s="55"/>
      <c r="P214" s="149">
        <f>O214*H214</f>
        <v>0</v>
      </c>
      <c r="Q214" s="149">
        <v>0</v>
      </c>
      <c r="R214" s="149">
        <f>Q214*H214</f>
        <v>0</v>
      </c>
      <c r="S214" s="149">
        <v>0</v>
      </c>
      <c r="T214" s="150">
        <f>S214*H214</f>
        <v>0</v>
      </c>
      <c r="U214" s="34"/>
      <c r="V214" s="34"/>
      <c r="W214" s="34"/>
      <c r="X214" s="34"/>
      <c r="Y214" s="34"/>
      <c r="Z214" s="34"/>
      <c r="AA214" s="34"/>
      <c r="AB214" s="34"/>
      <c r="AC214" s="34"/>
      <c r="AD214" s="34"/>
      <c r="AE214" s="34"/>
      <c r="AR214" s="151" t="s">
        <v>237</v>
      </c>
      <c r="AT214" s="151" t="s">
        <v>180</v>
      </c>
      <c r="AU214" s="151" t="s">
        <v>87</v>
      </c>
      <c r="AY214" s="19" t="s">
        <v>177</v>
      </c>
      <c r="BE214" s="152">
        <f>IF(N214="základní",J214,0)</f>
        <v>0</v>
      </c>
      <c r="BF214" s="152">
        <f>IF(N214="snížená",J214,0)</f>
        <v>0</v>
      </c>
      <c r="BG214" s="152">
        <f>IF(N214="zákl. přenesená",J214,0)</f>
        <v>0</v>
      </c>
      <c r="BH214" s="152">
        <f>IF(N214="sníž. přenesená",J214,0)</f>
        <v>0</v>
      </c>
      <c r="BI214" s="152">
        <f>IF(N214="nulová",J214,0)</f>
        <v>0</v>
      </c>
      <c r="BJ214" s="19" t="s">
        <v>85</v>
      </c>
      <c r="BK214" s="152">
        <f>ROUND(I214*H214,2)</f>
        <v>0</v>
      </c>
      <c r="BL214" s="19" t="s">
        <v>237</v>
      </c>
      <c r="BM214" s="151" t="s">
        <v>1443</v>
      </c>
    </row>
    <row r="215" spans="1:65" s="2" customFormat="1" ht="19.5">
      <c r="A215" s="34"/>
      <c r="B215" s="35"/>
      <c r="C215" s="34"/>
      <c r="D215" s="153" t="s">
        <v>187</v>
      </c>
      <c r="E215" s="34"/>
      <c r="F215" s="154" t="s">
        <v>1444</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187</v>
      </c>
      <c r="AU215" s="19" t="s">
        <v>87</v>
      </c>
    </row>
    <row r="216" spans="1:65" s="2" customFormat="1">
      <c r="A216" s="34"/>
      <c r="B216" s="35"/>
      <c r="C216" s="34"/>
      <c r="D216" s="158" t="s">
        <v>189</v>
      </c>
      <c r="E216" s="34"/>
      <c r="F216" s="159" t="s">
        <v>1445</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189</v>
      </c>
      <c r="AU216" s="19" t="s">
        <v>87</v>
      </c>
    </row>
    <row r="217" spans="1:65" s="2" customFormat="1" ht="78">
      <c r="A217" s="34"/>
      <c r="B217" s="35"/>
      <c r="C217" s="34"/>
      <c r="D217" s="153" t="s">
        <v>191</v>
      </c>
      <c r="E217" s="34"/>
      <c r="F217" s="160" t="s">
        <v>1440</v>
      </c>
      <c r="G217" s="34"/>
      <c r="H217" s="34"/>
      <c r="I217" s="155"/>
      <c r="J217" s="34"/>
      <c r="K217" s="34"/>
      <c r="L217" s="35"/>
      <c r="M217" s="156"/>
      <c r="N217" s="157"/>
      <c r="O217" s="55"/>
      <c r="P217" s="55"/>
      <c r="Q217" s="55"/>
      <c r="R217" s="55"/>
      <c r="S217" s="55"/>
      <c r="T217" s="56"/>
      <c r="U217" s="34"/>
      <c r="V217" s="34"/>
      <c r="W217" s="34"/>
      <c r="X217" s="34"/>
      <c r="Y217" s="34"/>
      <c r="Z217" s="34"/>
      <c r="AA217" s="34"/>
      <c r="AB217" s="34"/>
      <c r="AC217" s="34"/>
      <c r="AD217" s="34"/>
      <c r="AE217" s="34"/>
      <c r="AT217" s="19" t="s">
        <v>191</v>
      </c>
      <c r="AU217" s="19" t="s">
        <v>87</v>
      </c>
    </row>
    <row r="218" spans="1:65" s="12" customFormat="1" ht="22.9" customHeight="1">
      <c r="B218" s="126"/>
      <c r="D218" s="127" t="s">
        <v>76</v>
      </c>
      <c r="E218" s="137" t="s">
        <v>1274</v>
      </c>
      <c r="F218" s="137" t="s">
        <v>1275</v>
      </c>
      <c r="I218" s="129"/>
      <c r="J218" s="138">
        <f>BK218</f>
        <v>0</v>
      </c>
      <c r="L218" s="126"/>
      <c r="M218" s="131"/>
      <c r="N218" s="132"/>
      <c r="O218" s="132"/>
      <c r="P218" s="133">
        <f>SUM(P219:P237)</f>
        <v>0</v>
      </c>
      <c r="Q218" s="132"/>
      <c r="R218" s="133">
        <f>SUM(R219:R237)</f>
        <v>0.15865458599999999</v>
      </c>
      <c r="S218" s="132"/>
      <c r="T218" s="134">
        <f>SUM(T219:T237)</f>
        <v>0</v>
      </c>
      <c r="AR218" s="127" t="s">
        <v>87</v>
      </c>
      <c r="AT218" s="135" t="s">
        <v>76</v>
      </c>
      <c r="AU218" s="135" t="s">
        <v>85</v>
      </c>
      <c r="AY218" s="127" t="s">
        <v>177</v>
      </c>
      <c r="BK218" s="136">
        <f>SUM(BK219:BK237)</f>
        <v>0</v>
      </c>
    </row>
    <row r="219" spans="1:65" s="2" customFormat="1" ht="16.5" customHeight="1">
      <c r="A219" s="34"/>
      <c r="B219" s="139"/>
      <c r="C219" s="140" t="s">
        <v>507</v>
      </c>
      <c r="D219" s="140" t="s">
        <v>180</v>
      </c>
      <c r="E219" s="141" t="s">
        <v>1446</v>
      </c>
      <c r="F219" s="142" t="s">
        <v>1447</v>
      </c>
      <c r="G219" s="143" t="s">
        <v>332</v>
      </c>
      <c r="H219" s="144">
        <v>9.5850000000000009</v>
      </c>
      <c r="I219" s="145"/>
      <c r="J219" s="146">
        <f>ROUND(I219*H219,2)</f>
        <v>0</v>
      </c>
      <c r="K219" s="142" t="s">
        <v>184</v>
      </c>
      <c r="L219" s="35"/>
      <c r="M219" s="147" t="s">
        <v>3</v>
      </c>
      <c r="N219" s="148" t="s">
        <v>48</v>
      </c>
      <c r="O219" s="55"/>
      <c r="P219" s="149">
        <f>O219*H219</f>
        <v>0</v>
      </c>
      <c r="Q219" s="149">
        <v>5.1600000000000001E-5</v>
      </c>
      <c r="R219" s="149">
        <f>Q219*H219</f>
        <v>4.9458600000000009E-4</v>
      </c>
      <c r="S219" s="149">
        <v>0</v>
      </c>
      <c r="T219" s="150">
        <f>S219*H219</f>
        <v>0</v>
      </c>
      <c r="U219" s="34"/>
      <c r="V219" s="34"/>
      <c r="W219" s="34"/>
      <c r="X219" s="34"/>
      <c r="Y219" s="34"/>
      <c r="Z219" s="34"/>
      <c r="AA219" s="34"/>
      <c r="AB219" s="34"/>
      <c r="AC219" s="34"/>
      <c r="AD219" s="34"/>
      <c r="AE219" s="34"/>
      <c r="AR219" s="151" t="s">
        <v>237</v>
      </c>
      <c r="AT219" s="151" t="s">
        <v>180</v>
      </c>
      <c r="AU219" s="151" t="s">
        <v>87</v>
      </c>
      <c r="AY219" s="19" t="s">
        <v>177</v>
      </c>
      <c r="BE219" s="152">
        <f>IF(N219="základní",J219,0)</f>
        <v>0</v>
      </c>
      <c r="BF219" s="152">
        <f>IF(N219="snížená",J219,0)</f>
        <v>0</v>
      </c>
      <c r="BG219" s="152">
        <f>IF(N219="zákl. přenesená",J219,0)</f>
        <v>0</v>
      </c>
      <c r="BH219" s="152">
        <f>IF(N219="sníž. přenesená",J219,0)</f>
        <v>0</v>
      </c>
      <c r="BI219" s="152">
        <f>IF(N219="nulová",J219,0)</f>
        <v>0</v>
      </c>
      <c r="BJ219" s="19" t="s">
        <v>85</v>
      </c>
      <c r="BK219" s="152">
        <f>ROUND(I219*H219,2)</f>
        <v>0</v>
      </c>
      <c r="BL219" s="19" t="s">
        <v>237</v>
      </c>
      <c r="BM219" s="151" t="s">
        <v>1448</v>
      </c>
    </row>
    <row r="220" spans="1:65" s="2" customFormat="1" ht="19.5">
      <c r="A220" s="34"/>
      <c r="B220" s="35"/>
      <c r="C220" s="34"/>
      <c r="D220" s="153" t="s">
        <v>187</v>
      </c>
      <c r="E220" s="34"/>
      <c r="F220" s="154" t="s">
        <v>1449</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187</v>
      </c>
      <c r="AU220" s="19" t="s">
        <v>87</v>
      </c>
    </row>
    <row r="221" spans="1:65" s="2" customFormat="1">
      <c r="A221" s="34"/>
      <c r="B221" s="35"/>
      <c r="C221" s="34"/>
      <c r="D221" s="158" t="s">
        <v>189</v>
      </c>
      <c r="E221" s="34"/>
      <c r="F221" s="159" t="s">
        <v>1450</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189</v>
      </c>
      <c r="AU221" s="19" t="s">
        <v>87</v>
      </c>
    </row>
    <row r="222" spans="1:65" s="2" customFormat="1" ht="29.25">
      <c r="A222" s="34"/>
      <c r="B222" s="35"/>
      <c r="C222" s="34"/>
      <c r="D222" s="153" t="s">
        <v>191</v>
      </c>
      <c r="E222" s="34"/>
      <c r="F222" s="160" t="s">
        <v>1451</v>
      </c>
      <c r="G222" s="34"/>
      <c r="H222" s="34"/>
      <c r="I222" s="155"/>
      <c r="J222" s="34"/>
      <c r="K222" s="34"/>
      <c r="L222" s="35"/>
      <c r="M222" s="156"/>
      <c r="N222" s="157"/>
      <c r="O222" s="55"/>
      <c r="P222" s="55"/>
      <c r="Q222" s="55"/>
      <c r="R222" s="55"/>
      <c r="S222" s="55"/>
      <c r="T222" s="56"/>
      <c r="U222" s="34"/>
      <c r="V222" s="34"/>
      <c r="W222" s="34"/>
      <c r="X222" s="34"/>
      <c r="Y222" s="34"/>
      <c r="Z222" s="34"/>
      <c r="AA222" s="34"/>
      <c r="AB222" s="34"/>
      <c r="AC222" s="34"/>
      <c r="AD222" s="34"/>
      <c r="AE222" s="34"/>
      <c r="AT222" s="19" t="s">
        <v>191</v>
      </c>
      <c r="AU222" s="19" t="s">
        <v>87</v>
      </c>
    </row>
    <row r="223" spans="1:65" s="14" customFormat="1">
      <c r="B223" s="169"/>
      <c r="D223" s="153" t="s">
        <v>193</v>
      </c>
      <c r="E223" s="170" t="s">
        <v>3</v>
      </c>
      <c r="F223" s="171" t="s">
        <v>1452</v>
      </c>
      <c r="H223" s="170" t="s">
        <v>3</v>
      </c>
      <c r="I223" s="172"/>
      <c r="L223" s="169"/>
      <c r="M223" s="173"/>
      <c r="N223" s="174"/>
      <c r="O223" s="174"/>
      <c r="P223" s="174"/>
      <c r="Q223" s="174"/>
      <c r="R223" s="174"/>
      <c r="S223" s="174"/>
      <c r="T223" s="175"/>
      <c r="AT223" s="170" t="s">
        <v>193</v>
      </c>
      <c r="AU223" s="170" t="s">
        <v>87</v>
      </c>
      <c r="AV223" s="14" t="s">
        <v>85</v>
      </c>
      <c r="AW223" s="14" t="s">
        <v>36</v>
      </c>
      <c r="AX223" s="14" t="s">
        <v>77</v>
      </c>
      <c r="AY223" s="170" t="s">
        <v>177</v>
      </c>
    </row>
    <row r="224" spans="1:65" s="13" customFormat="1">
      <c r="B224" s="161"/>
      <c r="D224" s="153" t="s">
        <v>193</v>
      </c>
      <c r="E224" s="162" t="s">
        <v>3</v>
      </c>
      <c r="F224" s="163" t="s">
        <v>1453</v>
      </c>
      <c r="H224" s="164">
        <v>8.0850000000000009</v>
      </c>
      <c r="I224" s="165"/>
      <c r="L224" s="161"/>
      <c r="M224" s="166"/>
      <c r="N224" s="167"/>
      <c r="O224" s="167"/>
      <c r="P224" s="167"/>
      <c r="Q224" s="167"/>
      <c r="R224" s="167"/>
      <c r="S224" s="167"/>
      <c r="T224" s="168"/>
      <c r="AT224" s="162" t="s">
        <v>193</v>
      </c>
      <c r="AU224" s="162" t="s">
        <v>87</v>
      </c>
      <c r="AV224" s="13" t="s">
        <v>87</v>
      </c>
      <c r="AW224" s="13" t="s">
        <v>36</v>
      </c>
      <c r="AX224" s="13" t="s">
        <v>77</v>
      </c>
      <c r="AY224" s="162" t="s">
        <v>177</v>
      </c>
    </row>
    <row r="225" spans="1:65" s="13" customFormat="1">
      <c r="B225" s="161"/>
      <c r="D225" s="153" t="s">
        <v>193</v>
      </c>
      <c r="E225" s="162" t="s">
        <v>3</v>
      </c>
      <c r="F225" s="163" t="s">
        <v>1454</v>
      </c>
      <c r="H225" s="164">
        <v>1.5</v>
      </c>
      <c r="I225" s="165"/>
      <c r="L225" s="161"/>
      <c r="M225" s="166"/>
      <c r="N225" s="167"/>
      <c r="O225" s="167"/>
      <c r="P225" s="167"/>
      <c r="Q225" s="167"/>
      <c r="R225" s="167"/>
      <c r="S225" s="167"/>
      <c r="T225" s="168"/>
      <c r="AT225" s="162" t="s">
        <v>193</v>
      </c>
      <c r="AU225" s="162" t="s">
        <v>87</v>
      </c>
      <c r="AV225" s="13" t="s">
        <v>87</v>
      </c>
      <c r="AW225" s="13" t="s">
        <v>36</v>
      </c>
      <c r="AX225" s="13" t="s">
        <v>77</v>
      </c>
      <c r="AY225" s="162" t="s">
        <v>177</v>
      </c>
    </row>
    <row r="226" spans="1:65" s="16" customFormat="1">
      <c r="B226" s="184"/>
      <c r="D226" s="153" t="s">
        <v>193</v>
      </c>
      <c r="E226" s="185" t="s">
        <v>3</v>
      </c>
      <c r="F226" s="186" t="s">
        <v>201</v>
      </c>
      <c r="H226" s="187">
        <v>9.5850000000000009</v>
      </c>
      <c r="I226" s="188"/>
      <c r="L226" s="184"/>
      <c r="M226" s="189"/>
      <c r="N226" s="190"/>
      <c r="O226" s="190"/>
      <c r="P226" s="190"/>
      <c r="Q226" s="190"/>
      <c r="R226" s="190"/>
      <c r="S226" s="190"/>
      <c r="T226" s="191"/>
      <c r="AT226" s="185" t="s">
        <v>193</v>
      </c>
      <c r="AU226" s="185" t="s">
        <v>87</v>
      </c>
      <c r="AV226" s="16" t="s">
        <v>185</v>
      </c>
      <c r="AW226" s="16" t="s">
        <v>36</v>
      </c>
      <c r="AX226" s="16" t="s">
        <v>85</v>
      </c>
      <c r="AY226" s="185" t="s">
        <v>177</v>
      </c>
    </row>
    <row r="227" spans="1:65" s="2" customFormat="1" ht="16.5" customHeight="1">
      <c r="A227" s="34"/>
      <c r="B227" s="139"/>
      <c r="C227" s="195" t="s">
        <v>509</v>
      </c>
      <c r="D227" s="195" t="s">
        <v>484</v>
      </c>
      <c r="E227" s="196" t="s">
        <v>1455</v>
      </c>
      <c r="F227" s="197" t="s">
        <v>1456</v>
      </c>
      <c r="G227" s="198" t="s">
        <v>332</v>
      </c>
      <c r="H227" s="199">
        <v>10.544</v>
      </c>
      <c r="I227" s="200"/>
      <c r="J227" s="201">
        <f>ROUND(I227*H227,2)</f>
        <v>0</v>
      </c>
      <c r="K227" s="197" t="s">
        <v>184</v>
      </c>
      <c r="L227" s="202"/>
      <c r="M227" s="203" t="s">
        <v>3</v>
      </c>
      <c r="N227" s="204" t="s">
        <v>48</v>
      </c>
      <c r="O227" s="55"/>
      <c r="P227" s="149">
        <f>O227*H227</f>
        <v>0</v>
      </c>
      <c r="Q227" s="149">
        <v>1.4999999999999999E-2</v>
      </c>
      <c r="R227" s="149">
        <f>Q227*H227</f>
        <v>0.15816</v>
      </c>
      <c r="S227" s="149">
        <v>0</v>
      </c>
      <c r="T227" s="150">
        <f>S227*H227</f>
        <v>0</v>
      </c>
      <c r="U227" s="34"/>
      <c r="V227" s="34"/>
      <c r="W227" s="34"/>
      <c r="X227" s="34"/>
      <c r="Y227" s="34"/>
      <c r="Z227" s="34"/>
      <c r="AA227" s="34"/>
      <c r="AB227" s="34"/>
      <c r="AC227" s="34"/>
      <c r="AD227" s="34"/>
      <c r="AE227" s="34"/>
      <c r="AR227" s="151" t="s">
        <v>537</v>
      </c>
      <c r="AT227" s="151" t="s">
        <v>484</v>
      </c>
      <c r="AU227" s="151" t="s">
        <v>87</v>
      </c>
      <c r="AY227" s="19" t="s">
        <v>177</v>
      </c>
      <c r="BE227" s="152">
        <f>IF(N227="základní",J227,0)</f>
        <v>0</v>
      </c>
      <c r="BF227" s="152">
        <f>IF(N227="snížená",J227,0)</f>
        <v>0</v>
      </c>
      <c r="BG227" s="152">
        <f>IF(N227="zákl. přenesená",J227,0)</f>
        <v>0</v>
      </c>
      <c r="BH227" s="152">
        <f>IF(N227="sníž. přenesená",J227,0)</f>
        <v>0</v>
      </c>
      <c r="BI227" s="152">
        <f>IF(N227="nulová",J227,0)</f>
        <v>0</v>
      </c>
      <c r="BJ227" s="19" t="s">
        <v>85</v>
      </c>
      <c r="BK227" s="152">
        <f>ROUND(I227*H227,2)</f>
        <v>0</v>
      </c>
      <c r="BL227" s="19" t="s">
        <v>237</v>
      </c>
      <c r="BM227" s="151" t="s">
        <v>1457</v>
      </c>
    </row>
    <row r="228" spans="1:65" s="2" customFormat="1">
      <c r="A228" s="34"/>
      <c r="B228" s="35"/>
      <c r="C228" s="34"/>
      <c r="D228" s="153" t="s">
        <v>187</v>
      </c>
      <c r="E228" s="34"/>
      <c r="F228" s="154" t="s">
        <v>1456</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187</v>
      </c>
      <c r="AU228" s="19" t="s">
        <v>87</v>
      </c>
    </row>
    <row r="229" spans="1:65" s="13" customFormat="1">
      <c r="B229" s="161"/>
      <c r="D229" s="153" t="s">
        <v>193</v>
      </c>
      <c r="F229" s="163" t="s">
        <v>1458</v>
      </c>
      <c r="H229" s="164">
        <v>10.544</v>
      </c>
      <c r="I229" s="165"/>
      <c r="L229" s="161"/>
      <c r="M229" s="166"/>
      <c r="N229" s="167"/>
      <c r="O229" s="167"/>
      <c r="P229" s="167"/>
      <c r="Q229" s="167"/>
      <c r="R229" s="167"/>
      <c r="S229" s="167"/>
      <c r="T229" s="168"/>
      <c r="AT229" s="162" t="s">
        <v>193</v>
      </c>
      <c r="AU229" s="162" t="s">
        <v>87</v>
      </c>
      <c r="AV229" s="13" t="s">
        <v>87</v>
      </c>
      <c r="AW229" s="13" t="s">
        <v>4</v>
      </c>
      <c r="AX229" s="13" t="s">
        <v>85</v>
      </c>
      <c r="AY229" s="162" t="s">
        <v>177</v>
      </c>
    </row>
    <row r="230" spans="1:65" s="2" customFormat="1" ht="16.5" customHeight="1">
      <c r="A230" s="34"/>
      <c r="B230" s="139"/>
      <c r="C230" s="140" t="s">
        <v>512</v>
      </c>
      <c r="D230" s="140" t="s">
        <v>180</v>
      </c>
      <c r="E230" s="141" t="s">
        <v>1459</v>
      </c>
      <c r="F230" s="142" t="s">
        <v>1460</v>
      </c>
      <c r="G230" s="143" t="s">
        <v>183</v>
      </c>
      <c r="H230" s="144">
        <v>0.159</v>
      </c>
      <c r="I230" s="145"/>
      <c r="J230" s="146">
        <f>ROUND(I230*H230,2)</f>
        <v>0</v>
      </c>
      <c r="K230" s="142" t="s">
        <v>184</v>
      </c>
      <c r="L230" s="35"/>
      <c r="M230" s="147" t="s">
        <v>3</v>
      </c>
      <c r="N230" s="148" t="s">
        <v>48</v>
      </c>
      <c r="O230" s="55"/>
      <c r="P230" s="149">
        <f>O230*H230</f>
        <v>0</v>
      </c>
      <c r="Q230" s="149">
        <v>0</v>
      </c>
      <c r="R230" s="149">
        <f>Q230*H230</f>
        <v>0</v>
      </c>
      <c r="S230" s="149">
        <v>0</v>
      </c>
      <c r="T230" s="150">
        <f>S230*H230</f>
        <v>0</v>
      </c>
      <c r="U230" s="34"/>
      <c r="V230" s="34"/>
      <c r="W230" s="34"/>
      <c r="X230" s="34"/>
      <c r="Y230" s="34"/>
      <c r="Z230" s="34"/>
      <c r="AA230" s="34"/>
      <c r="AB230" s="34"/>
      <c r="AC230" s="34"/>
      <c r="AD230" s="34"/>
      <c r="AE230" s="34"/>
      <c r="AR230" s="151" t="s">
        <v>237</v>
      </c>
      <c r="AT230" s="151" t="s">
        <v>180</v>
      </c>
      <c r="AU230" s="151" t="s">
        <v>87</v>
      </c>
      <c r="AY230" s="19" t="s">
        <v>177</v>
      </c>
      <c r="BE230" s="152">
        <f>IF(N230="základní",J230,0)</f>
        <v>0</v>
      </c>
      <c r="BF230" s="152">
        <f>IF(N230="snížená",J230,0)</f>
        <v>0</v>
      </c>
      <c r="BG230" s="152">
        <f>IF(N230="zákl. přenesená",J230,0)</f>
        <v>0</v>
      </c>
      <c r="BH230" s="152">
        <f>IF(N230="sníž. přenesená",J230,0)</f>
        <v>0</v>
      </c>
      <c r="BI230" s="152">
        <f>IF(N230="nulová",J230,0)</f>
        <v>0</v>
      </c>
      <c r="BJ230" s="19" t="s">
        <v>85</v>
      </c>
      <c r="BK230" s="152">
        <f>ROUND(I230*H230,2)</f>
        <v>0</v>
      </c>
      <c r="BL230" s="19" t="s">
        <v>237</v>
      </c>
      <c r="BM230" s="151" t="s">
        <v>1461</v>
      </c>
    </row>
    <row r="231" spans="1:65" s="2" customFormat="1" ht="19.5">
      <c r="A231" s="34"/>
      <c r="B231" s="35"/>
      <c r="C231" s="34"/>
      <c r="D231" s="153" t="s">
        <v>187</v>
      </c>
      <c r="E231" s="34"/>
      <c r="F231" s="154" t="s">
        <v>1462</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187</v>
      </c>
      <c r="AU231" s="19" t="s">
        <v>87</v>
      </c>
    </row>
    <row r="232" spans="1:65" s="2" customFormat="1">
      <c r="A232" s="34"/>
      <c r="B232" s="35"/>
      <c r="C232" s="34"/>
      <c r="D232" s="158" t="s">
        <v>189</v>
      </c>
      <c r="E232" s="34"/>
      <c r="F232" s="159" t="s">
        <v>1463</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189</v>
      </c>
      <c r="AU232" s="19" t="s">
        <v>87</v>
      </c>
    </row>
    <row r="233" spans="1:65" s="2" customFormat="1" ht="78">
      <c r="A233" s="34"/>
      <c r="B233" s="35"/>
      <c r="C233" s="34"/>
      <c r="D233" s="153" t="s">
        <v>191</v>
      </c>
      <c r="E233" s="34"/>
      <c r="F233" s="160" t="s">
        <v>1440</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191</v>
      </c>
      <c r="AU233" s="19" t="s">
        <v>87</v>
      </c>
    </row>
    <row r="234" spans="1:65" s="2" customFormat="1" ht="16.5" customHeight="1">
      <c r="A234" s="34"/>
      <c r="B234" s="139"/>
      <c r="C234" s="140" t="s">
        <v>520</v>
      </c>
      <c r="D234" s="140" t="s">
        <v>180</v>
      </c>
      <c r="E234" s="141" t="s">
        <v>1464</v>
      </c>
      <c r="F234" s="142" t="s">
        <v>1465</v>
      </c>
      <c r="G234" s="143" t="s">
        <v>183</v>
      </c>
      <c r="H234" s="144">
        <v>0.159</v>
      </c>
      <c r="I234" s="145"/>
      <c r="J234" s="146">
        <f>ROUND(I234*H234,2)</f>
        <v>0</v>
      </c>
      <c r="K234" s="142" t="s">
        <v>184</v>
      </c>
      <c r="L234" s="35"/>
      <c r="M234" s="147" t="s">
        <v>3</v>
      </c>
      <c r="N234" s="148" t="s">
        <v>48</v>
      </c>
      <c r="O234" s="55"/>
      <c r="P234" s="149">
        <f>O234*H234</f>
        <v>0</v>
      </c>
      <c r="Q234" s="149">
        <v>0</v>
      </c>
      <c r="R234" s="149">
        <f>Q234*H234</f>
        <v>0</v>
      </c>
      <c r="S234" s="149">
        <v>0</v>
      </c>
      <c r="T234" s="150">
        <f>S234*H234</f>
        <v>0</v>
      </c>
      <c r="U234" s="34"/>
      <c r="V234" s="34"/>
      <c r="W234" s="34"/>
      <c r="X234" s="34"/>
      <c r="Y234" s="34"/>
      <c r="Z234" s="34"/>
      <c r="AA234" s="34"/>
      <c r="AB234" s="34"/>
      <c r="AC234" s="34"/>
      <c r="AD234" s="34"/>
      <c r="AE234" s="34"/>
      <c r="AR234" s="151" t="s">
        <v>237</v>
      </c>
      <c r="AT234" s="151" t="s">
        <v>180</v>
      </c>
      <c r="AU234" s="151" t="s">
        <v>87</v>
      </c>
      <c r="AY234" s="19" t="s">
        <v>177</v>
      </c>
      <c r="BE234" s="152">
        <f>IF(N234="základní",J234,0)</f>
        <v>0</v>
      </c>
      <c r="BF234" s="152">
        <f>IF(N234="snížená",J234,0)</f>
        <v>0</v>
      </c>
      <c r="BG234" s="152">
        <f>IF(N234="zákl. přenesená",J234,0)</f>
        <v>0</v>
      </c>
      <c r="BH234" s="152">
        <f>IF(N234="sníž. přenesená",J234,0)</f>
        <v>0</v>
      </c>
      <c r="BI234" s="152">
        <f>IF(N234="nulová",J234,0)</f>
        <v>0</v>
      </c>
      <c r="BJ234" s="19" t="s">
        <v>85</v>
      </c>
      <c r="BK234" s="152">
        <f>ROUND(I234*H234,2)</f>
        <v>0</v>
      </c>
      <c r="BL234" s="19" t="s">
        <v>237</v>
      </c>
      <c r="BM234" s="151" t="s">
        <v>1466</v>
      </c>
    </row>
    <row r="235" spans="1:65" s="2" customFormat="1" ht="19.5">
      <c r="A235" s="34"/>
      <c r="B235" s="35"/>
      <c r="C235" s="34"/>
      <c r="D235" s="153" t="s">
        <v>187</v>
      </c>
      <c r="E235" s="34"/>
      <c r="F235" s="154" t="s">
        <v>1467</v>
      </c>
      <c r="G235" s="34"/>
      <c r="H235" s="34"/>
      <c r="I235" s="155"/>
      <c r="J235" s="34"/>
      <c r="K235" s="34"/>
      <c r="L235" s="35"/>
      <c r="M235" s="156"/>
      <c r="N235" s="157"/>
      <c r="O235" s="55"/>
      <c r="P235" s="55"/>
      <c r="Q235" s="55"/>
      <c r="R235" s="55"/>
      <c r="S235" s="55"/>
      <c r="T235" s="56"/>
      <c r="U235" s="34"/>
      <c r="V235" s="34"/>
      <c r="W235" s="34"/>
      <c r="X235" s="34"/>
      <c r="Y235" s="34"/>
      <c r="Z235" s="34"/>
      <c r="AA235" s="34"/>
      <c r="AB235" s="34"/>
      <c r="AC235" s="34"/>
      <c r="AD235" s="34"/>
      <c r="AE235" s="34"/>
      <c r="AT235" s="19" t="s">
        <v>187</v>
      </c>
      <c r="AU235" s="19" t="s">
        <v>87</v>
      </c>
    </row>
    <row r="236" spans="1:65" s="2" customFormat="1">
      <c r="A236" s="34"/>
      <c r="B236" s="35"/>
      <c r="C236" s="34"/>
      <c r="D236" s="158" t="s">
        <v>189</v>
      </c>
      <c r="E236" s="34"/>
      <c r="F236" s="159" t="s">
        <v>1468</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189</v>
      </c>
      <c r="AU236" s="19" t="s">
        <v>87</v>
      </c>
    </row>
    <row r="237" spans="1:65" s="2" customFormat="1" ht="78">
      <c r="A237" s="34"/>
      <c r="B237" s="35"/>
      <c r="C237" s="34"/>
      <c r="D237" s="153" t="s">
        <v>191</v>
      </c>
      <c r="E237" s="34"/>
      <c r="F237" s="160" t="s">
        <v>1440</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191</v>
      </c>
      <c r="AU237" s="19" t="s">
        <v>87</v>
      </c>
    </row>
    <row r="238" spans="1:65" s="12" customFormat="1" ht="25.9" customHeight="1">
      <c r="B238" s="126"/>
      <c r="D238" s="127" t="s">
        <v>76</v>
      </c>
      <c r="E238" s="128" t="s">
        <v>313</v>
      </c>
      <c r="F238" s="128" t="s">
        <v>314</v>
      </c>
      <c r="I238" s="129"/>
      <c r="J238" s="130">
        <f>BK238</f>
        <v>0</v>
      </c>
      <c r="L238" s="126"/>
      <c r="M238" s="131"/>
      <c r="N238" s="132"/>
      <c r="O238" s="132"/>
      <c r="P238" s="133">
        <f>SUM(P239:P241)</f>
        <v>0</v>
      </c>
      <c r="Q238" s="132"/>
      <c r="R238" s="133">
        <f>SUM(R239:R241)</f>
        <v>0</v>
      </c>
      <c r="S238" s="132"/>
      <c r="T238" s="134">
        <f>SUM(T239:T241)</f>
        <v>0</v>
      </c>
      <c r="AR238" s="127" t="s">
        <v>185</v>
      </c>
      <c r="AT238" s="135" t="s">
        <v>76</v>
      </c>
      <c r="AU238" s="135" t="s">
        <v>77</v>
      </c>
      <c r="AY238" s="127" t="s">
        <v>177</v>
      </c>
      <c r="BK238" s="136">
        <f>SUM(BK239:BK241)</f>
        <v>0</v>
      </c>
    </row>
    <row r="239" spans="1:65" s="2" customFormat="1" ht="16.5" customHeight="1">
      <c r="A239" s="34"/>
      <c r="B239" s="139"/>
      <c r="C239" s="140" t="s">
        <v>527</v>
      </c>
      <c r="D239" s="140" t="s">
        <v>180</v>
      </c>
      <c r="E239" s="141" t="s">
        <v>528</v>
      </c>
      <c r="F239" s="142" t="s">
        <v>529</v>
      </c>
      <c r="G239" s="143" t="s">
        <v>305</v>
      </c>
      <c r="H239" s="144">
        <v>100</v>
      </c>
      <c r="I239" s="145"/>
      <c r="J239" s="146">
        <f>ROUND(I239*H239,2)</f>
        <v>0</v>
      </c>
      <c r="K239" s="142" t="s">
        <v>184</v>
      </c>
      <c r="L239" s="35"/>
      <c r="M239" s="147" t="s">
        <v>3</v>
      </c>
      <c r="N239" s="148" t="s">
        <v>48</v>
      </c>
      <c r="O239" s="55"/>
      <c r="P239" s="149">
        <f>O239*H239</f>
        <v>0</v>
      </c>
      <c r="Q239" s="149">
        <v>0</v>
      </c>
      <c r="R239" s="149">
        <f>Q239*H239</f>
        <v>0</v>
      </c>
      <c r="S239" s="149">
        <v>0</v>
      </c>
      <c r="T239" s="150">
        <f>S239*H239</f>
        <v>0</v>
      </c>
      <c r="U239" s="34"/>
      <c r="V239" s="34"/>
      <c r="W239" s="34"/>
      <c r="X239" s="34"/>
      <c r="Y239" s="34"/>
      <c r="Z239" s="34"/>
      <c r="AA239" s="34"/>
      <c r="AB239" s="34"/>
      <c r="AC239" s="34"/>
      <c r="AD239" s="34"/>
      <c r="AE239" s="34"/>
      <c r="AR239" s="151" t="s">
        <v>318</v>
      </c>
      <c r="AT239" s="151" t="s">
        <v>180</v>
      </c>
      <c r="AU239" s="151" t="s">
        <v>85</v>
      </c>
      <c r="AY239" s="19" t="s">
        <v>177</v>
      </c>
      <c r="BE239" s="152">
        <f>IF(N239="základní",J239,0)</f>
        <v>0</v>
      </c>
      <c r="BF239" s="152">
        <f>IF(N239="snížená",J239,0)</f>
        <v>0</v>
      </c>
      <c r="BG239" s="152">
        <f>IF(N239="zákl. přenesená",J239,0)</f>
        <v>0</v>
      </c>
      <c r="BH239" s="152">
        <f>IF(N239="sníž. přenesená",J239,0)</f>
        <v>0</v>
      </c>
      <c r="BI239" s="152">
        <f>IF(N239="nulová",J239,0)</f>
        <v>0</v>
      </c>
      <c r="BJ239" s="19" t="s">
        <v>85</v>
      </c>
      <c r="BK239" s="152">
        <f>ROUND(I239*H239,2)</f>
        <v>0</v>
      </c>
      <c r="BL239" s="19" t="s">
        <v>318</v>
      </c>
      <c r="BM239" s="151" t="s">
        <v>1469</v>
      </c>
    </row>
    <row r="240" spans="1:65" s="2" customFormat="1">
      <c r="A240" s="34"/>
      <c r="B240" s="35"/>
      <c r="C240" s="34"/>
      <c r="D240" s="153" t="s">
        <v>187</v>
      </c>
      <c r="E240" s="34"/>
      <c r="F240" s="154" t="s">
        <v>531</v>
      </c>
      <c r="G240" s="34"/>
      <c r="H240" s="34"/>
      <c r="I240" s="155"/>
      <c r="J240" s="34"/>
      <c r="K240" s="34"/>
      <c r="L240" s="35"/>
      <c r="M240" s="156"/>
      <c r="N240" s="157"/>
      <c r="O240" s="55"/>
      <c r="P240" s="55"/>
      <c r="Q240" s="55"/>
      <c r="R240" s="55"/>
      <c r="S240" s="55"/>
      <c r="T240" s="56"/>
      <c r="U240" s="34"/>
      <c r="V240" s="34"/>
      <c r="W240" s="34"/>
      <c r="X240" s="34"/>
      <c r="Y240" s="34"/>
      <c r="Z240" s="34"/>
      <c r="AA240" s="34"/>
      <c r="AB240" s="34"/>
      <c r="AC240" s="34"/>
      <c r="AD240" s="34"/>
      <c r="AE240" s="34"/>
      <c r="AT240" s="19" t="s">
        <v>187</v>
      </c>
      <c r="AU240" s="19" t="s">
        <v>85</v>
      </c>
    </row>
    <row r="241" spans="1:65" s="2" customFormat="1">
      <c r="A241" s="34"/>
      <c r="B241" s="35"/>
      <c r="C241" s="34"/>
      <c r="D241" s="158" t="s">
        <v>189</v>
      </c>
      <c r="E241" s="34"/>
      <c r="F241" s="159" t="s">
        <v>532</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189</v>
      </c>
      <c r="AU241" s="19" t="s">
        <v>85</v>
      </c>
    </row>
    <row r="242" spans="1:65" s="12" customFormat="1" ht="25.9" customHeight="1">
      <c r="B242" s="126"/>
      <c r="D242" s="127" t="s">
        <v>76</v>
      </c>
      <c r="E242" s="128" t="s">
        <v>533</v>
      </c>
      <c r="F242" s="128" t="s">
        <v>534</v>
      </c>
      <c r="I242" s="129"/>
      <c r="J242" s="130">
        <f>BK242</f>
        <v>0</v>
      </c>
      <c r="L242" s="126"/>
      <c r="M242" s="131"/>
      <c r="N242" s="132"/>
      <c r="O242" s="132"/>
      <c r="P242" s="133">
        <f>P243</f>
        <v>0</v>
      </c>
      <c r="Q242" s="132"/>
      <c r="R242" s="133">
        <f>R243</f>
        <v>0</v>
      </c>
      <c r="S242" s="132"/>
      <c r="T242" s="134">
        <f>T243</f>
        <v>0</v>
      </c>
      <c r="AR242" s="127" t="s">
        <v>200</v>
      </c>
      <c r="AT242" s="135" t="s">
        <v>76</v>
      </c>
      <c r="AU242" s="135" t="s">
        <v>77</v>
      </c>
      <c r="AY242" s="127" t="s">
        <v>177</v>
      </c>
      <c r="BK242" s="136">
        <f>BK243</f>
        <v>0</v>
      </c>
    </row>
    <row r="243" spans="1:65" s="12" customFormat="1" ht="22.9" customHeight="1">
      <c r="B243" s="126"/>
      <c r="D243" s="127" t="s">
        <v>76</v>
      </c>
      <c r="E243" s="137" t="s">
        <v>535</v>
      </c>
      <c r="F243" s="137" t="s">
        <v>536</v>
      </c>
      <c r="I243" s="129"/>
      <c r="J243" s="138">
        <f>BK243</f>
        <v>0</v>
      </c>
      <c r="L243" s="126"/>
      <c r="M243" s="131"/>
      <c r="N243" s="132"/>
      <c r="O243" s="132"/>
      <c r="P243" s="133">
        <f>SUM(P244:P249)</f>
        <v>0</v>
      </c>
      <c r="Q243" s="132"/>
      <c r="R243" s="133">
        <f>SUM(R244:R249)</f>
        <v>0</v>
      </c>
      <c r="S243" s="132"/>
      <c r="T243" s="134">
        <f>SUM(T244:T249)</f>
        <v>0</v>
      </c>
      <c r="AR243" s="127" t="s">
        <v>200</v>
      </c>
      <c r="AT243" s="135" t="s">
        <v>76</v>
      </c>
      <c r="AU243" s="135" t="s">
        <v>85</v>
      </c>
      <c r="AY243" s="127" t="s">
        <v>177</v>
      </c>
      <c r="BK243" s="136">
        <f>SUM(BK244:BK249)</f>
        <v>0</v>
      </c>
    </row>
    <row r="244" spans="1:65" s="2" customFormat="1" ht="16.5" customHeight="1">
      <c r="A244" s="34"/>
      <c r="B244" s="139"/>
      <c r="C244" s="140" t="s">
        <v>537</v>
      </c>
      <c r="D244" s="140" t="s">
        <v>180</v>
      </c>
      <c r="E244" s="141" t="s">
        <v>1470</v>
      </c>
      <c r="F244" s="142" t="s">
        <v>1471</v>
      </c>
      <c r="G244" s="143" t="s">
        <v>305</v>
      </c>
      <c r="H244" s="144">
        <v>1</v>
      </c>
      <c r="I244" s="145"/>
      <c r="J244" s="146">
        <f>ROUND(I244*H244,2)</f>
        <v>0</v>
      </c>
      <c r="K244" s="142" t="s">
        <v>184</v>
      </c>
      <c r="L244" s="35"/>
      <c r="M244" s="147" t="s">
        <v>3</v>
      </c>
      <c r="N244" s="148" t="s">
        <v>48</v>
      </c>
      <c r="O244" s="55"/>
      <c r="P244" s="149">
        <f>O244*H244</f>
        <v>0</v>
      </c>
      <c r="Q244" s="149">
        <v>0</v>
      </c>
      <c r="R244" s="149">
        <f>Q244*H244</f>
        <v>0</v>
      </c>
      <c r="S244" s="149">
        <v>0</v>
      </c>
      <c r="T244" s="150">
        <f>S244*H244</f>
        <v>0</v>
      </c>
      <c r="U244" s="34"/>
      <c r="V244" s="34"/>
      <c r="W244" s="34"/>
      <c r="X244" s="34"/>
      <c r="Y244" s="34"/>
      <c r="Z244" s="34"/>
      <c r="AA244" s="34"/>
      <c r="AB244" s="34"/>
      <c r="AC244" s="34"/>
      <c r="AD244" s="34"/>
      <c r="AE244" s="34"/>
      <c r="AR244" s="151" t="s">
        <v>541</v>
      </c>
      <c r="AT244" s="151" t="s">
        <v>180</v>
      </c>
      <c r="AU244" s="151" t="s">
        <v>87</v>
      </c>
      <c r="AY244" s="19" t="s">
        <v>177</v>
      </c>
      <c r="BE244" s="152">
        <f>IF(N244="základní",J244,0)</f>
        <v>0</v>
      </c>
      <c r="BF244" s="152">
        <f>IF(N244="snížená",J244,0)</f>
        <v>0</v>
      </c>
      <c r="BG244" s="152">
        <f>IF(N244="zákl. přenesená",J244,0)</f>
        <v>0</v>
      </c>
      <c r="BH244" s="152">
        <f>IF(N244="sníž. přenesená",J244,0)</f>
        <v>0</v>
      </c>
      <c r="BI244" s="152">
        <f>IF(N244="nulová",J244,0)</f>
        <v>0</v>
      </c>
      <c r="BJ244" s="19" t="s">
        <v>85</v>
      </c>
      <c r="BK244" s="152">
        <f>ROUND(I244*H244,2)</f>
        <v>0</v>
      </c>
      <c r="BL244" s="19" t="s">
        <v>541</v>
      </c>
      <c r="BM244" s="151" t="s">
        <v>1472</v>
      </c>
    </row>
    <row r="245" spans="1:65" s="2" customFormat="1">
      <c r="A245" s="34"/>
      <c r="B245" s="35"/>
      <c r="C245" s="34"/>
      <c r="D245" s="153" t="s">
        <v>187</v>
      </c>
      <c r="E245" s="34"/>
      <c r="F245" s="154" t="s">
        <v>1471</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187</v>
      </c>
      <c r="AU245" s="19" t="s">
        <v>87</v>
      </c>
    </row>
    <row r="246" spans="1:65" s="2" customFormat="1">
      <c r="A246" s="34"/>
      <c r="B246" s="35"/>
      <c r="C246" s="34"/>
      <c r="D246" s="158" t="s">
        <v>189</v>
      </c>
      <c r="E246" s="34"/>
      <c r="F246" s="159" t="s">
        <v>1473</v>
      </c>
      <c r="G246" s="34"/>
      <c r="H246" s="34"/>
      <c r="I246" s="155"/>
      <c r="J246" s="34"/>
      <c r="K246" s="34"/>
      <c r="L246" s="35"/>
      <c r="M246" s="156"/>
      <c r="N246" s="157"/>
      <c r="O246" s="55"/>
      <c r="P246" s="55"/>
      <c r="Q246" s="55"/>
      <c r="R246" s="55"/>
      <c r="S246" s="55"/>
      <c r="T246" s="56"/>
      <c r="U246" s="34"/>
      <c r="V246" s="34"/>
      <c r="W246" s="34"/>
      <c r="X246" s="34"/>
      <c r="Y246" s="34"/>
      <c r="Z246" s="34"/>
      <c r="AA246" s="34"/>
      <c r="AB246" s="34"/>
      <c r="AC246" s="34"/>
      <c r="AD246" s="34"/>
      <c r="AE246" s="34"/>
      <c r="AT246" s="19" t="s">
        <v>189</v>
      </c>
      <c r="AU246" s="19" t="s">
        <v>87</v>
      </c>
    </row>
    <row r="247" spans="1:65" s="14" customFormat="1" ht="22.5">
      <c r="B247" s="169"/>
      <c r="D247" s="153" t="s">
        <v>193</v>
      </c>
      <c r="E247" s="170" t="s">
        <v>3</v>
      </c>
      <c r="F247" s="171" t="s">
        <v>1474</v>
      </c>
      <c r="H247" s="170" t="s">
        <v>3</v>
      </c>
      <c r="I247" s="172"/>
      <c r="L247" s="169"/>
      <c r="M247" s="173"/>
      <c r="N247" s="174"/>
      <c r="O247" s="174"/>
      <c r="P247" s="174"/>
      <c r="Q247" s="174"/>
      <c r="R247" s="174"/>
      <c r="S247" s="174"/>
      <c r="T247" s="175"/>
      <c r="AT247" s="170" t="s">
        <v>193</v>
      </c>
      <c r="AU247" s="170" t="s">
        <v>87</v>
      </c>
      <c r="AV247" s="14" t="s">
        <v>85</v>
      </c>
      <c r="AW247" s="14" t="s">
        <v>36</v>
      </c>
      <c r="AX247" s="14" t="s">
        <v>77</v>
      </c>
      <c r="AY247" s="170" t="s">
        <v>177</v>
      </c>
    </row>
    <row r="248" spans="1:65" s="14" customFormat="1">
      <c r="B248" s="169"/>
      <c r="D248" s="153" t="s">
        <v>193</v>
      </c>
      <c r="E248" s="170" t="s">
        <v>3</v>
      </c>
      <c r="F248" s="171" t="s">
        <v>1475</v>
      </c>
      <c r="H248" s="170" t="s">
        <v>3</v>
      </c>
      <c r="I248" s="172"/>
      <c r="L248" s="169"/>
      <c r="M248" s="173"/>
      <c r="N248" s="174"/>
      <c r="O248" s="174"/>
      <c r="P248" s="174"/>
      <c r="Q248" s="174"/>
      <c r="R248" s="174"/>
      <c r="S248" s="174"/>
      <c r="T248" s="175"/>
      <c r="AT248" s="170" t="s">
        <v>193</v>
      </c>
      <c r="AU248" s="170" t="s">
        <v>87</v>
      </c>
      <c r="AV248" s="14" t="s">
        <v>85</v>
      </c>
      <c r="AW248" s="14" t="s">
        <v>36</v>
      </c>
      <c r="AX248" s="14" t="s">
        <v>77</v>
      </c>
      <c r="AY248" s="170" t="s">
        <v>177</v>
      </c>
    </row>
    <row r="249" spans="1:65" s="13" customFormat="1">
      <c r="B249" s="161"/>
      <c r="D249" s="153" t="s">
        <v>193</v>
      </c>
      <c r="E249" s="162" t="s">
        <v>3</v>
      </c>
      <c r="F249" s="163" t="s">
        <v>85</v>
      </c>
      <c r="H249" s="164">
        <v>1</v>
      </c>
      <c r="I249" s="165"/>
      <c r="L249" s="161"/>
      <c r="M249" s="192"/>
      <c r="N249" s="193"/>
      <c r="O249" s="193"/>
      <c r="P249" s="193"/>
      <c r="Q249" s="193"/>
      <c r="R249" s="193"/>
      <c r="S249" s="193"/>
      <c r="T249" s="194"/>
      <c r="AT249" s="162" t="s">
        <v>193</v>
      </c>
      <c r="AU249" s="162" t="s">
        <v>87</v>
      </c>
      <c r="AV249" s="13" t="s">
        <v>87</v>
      </c>
      <c r="AW249" s="13" t="s">
        <v>36</v>
      </c>
      <c r="AX249" s="13" t="s">
        <v>85</v>
      </c>
      <c r="AY249" s="162" t="s">
        <v>177</v>
      </c>
    </row>
    <row r="250" spans="1:65" s="2" customFormat="1" ht="6.95" customHeight="1">
      <c r="A250" s="34"/>
      <c r="B250" s="44"/>
      <c r="C250" s="45"/>
      <c r="D250" s="45"/>
      <c r="E250" s="45"/>
      <c r="F250" s="45"/>
      <c r="G250" s="45"/>
      <c r="H250" s="45"/>
      <c r="I250" s="45"/>
      <c r="J250" s="45"/>
      <c r="K250" s="45"/>
      <c r="L250" s="35"/>
      <c r="M250" s="34"/>
      <c r="O250" s="34"/>
      <c r="P250" s="34"/>
      <c r="Q250" s="34"/>
      <c r="R250" s="34"/>
      <c r="S250" s="34"/>
      <c r="T250" s="34"/>
      <c r="U250" s="34"/>
      <c r="V250" s="34"/>
      <c r="W250" s="34"/>
      <c r="X250" s="34"/>
      <c r="Y250" s="34"/>
      <c r="Z250" s="34"/>
      <c r="AA250" s="34"/>
      <c r="AB250" s="34"/>
      <c r="AC250" s="34"/>
      <c r="AD250" s="34"/>
      <c r="AE250" s="34"/>
    </row>
  </sheetData>
  <autoFilter ref="C90:K249"/>
  <mergeCells count="9">
    <mergeCell ref="E50:H50"/>
    <mergeCell ref="E81:H81"/>
    <mergeCell ref="E83:H83"/>
    <mergeCell ref="L2:V2"/>
    <mergeCell ref="E7:H7"/>
    <mergeCell ref="E9:H9"/>
    <mergeCell ref="E18:H18"/>
    <mergeCell ref="E27:H27"/>
    <mergeCell ref="E48:H48"/>
  </mergeCells>
  <hyperlinks>
    <hyperlink ref="F96" r:id="rId1"/>
    <hyperlink ref="F103" r:id="rId2"/>
    <hyperlink ref="F107" r:id="rId3"/>
    <hyperlink ref="F111" r:id="rId4"/>
    <hyperlink ref="F118" r:id="rId5"/>
    <hyperlink ref="F122" r:id="rId6"/>
    <hyperlink ref="F130" r:id="rId7"/>
    <hyperlink ref="F136" r:id="rId8"/>
    <hyperlink ref="F140" r:id="rId9"/>
    <hyperlink ref="F146" r:id="rId10"/>
    <hyperlink ref="F150" r:id="rId11"/>
    <hyperlink ref="F156" r:id="rId12"/>
    <hyperlink ref="F162" r:id="rId13"/>
    <hyperlink ref="F169" r:id="rId14"/>
    <hyperlink ref="F173" r:id="rId15"/>
    <hyperlink ref="F178" r:id="rId16"/>
    <hyperlink ref="F182" r:id="rId17"/>
    <hyperlink ref="F187" r:id="rId18"/>
    <hyperlink ref="F192" r:id="rId19"/>
    <hyperlink ref="F198" r:id="rId20"/>
    <hyperlink ref="F205" r:id="rId21"/>
    <hyperlink ref="F212" r:id="rId22"/>
    <hyperlink ref="F216" r:id="rId23"/>
    <hyperlink ref="F221" r:id="rId24"/>
    <hyperlink ref="F232" r:id="rId25"/>
    <hyperlink ref="F236" r:id="rId26"/>
    <hyperlink ref="F241" r:id="rId27"/>
    <hyperlink ref="F246" r:id="rId28"/>
  </hyperlinks>
  <pageMargins left="0.39374999999999999" right="0.39374999999999999" top="0.39374999999999999" bottom="0.39374999999999999" header="0" footer="0"/>
  <pageSetup paperSize="9" scale="84" fitToHeight="100" orientation="landscape" blackAndWhite="1" r:id="rId29"/>
  <headerFooter>
    <oddFooter>&amp;CStrana &amp;P z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105</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1476</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ROUND(J86,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ROUND((SUM(BE86:BE238)),  2)</f>
        <v>0</v>
      </c>
      <c r="G33" s="34"/>
      <c r="H33" s="34"/>
      <c r="I33" s="98">
        <v>0.21</v>
      </c>
      <c r="J33" s="97">
        <f>ROUND(((SUM(BE86:BE238))*I33),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ROUND((SUM(BF86:BF238)),  2)</f>
        <v>0</v>
      </c>
      <c r="G34" s="34"/>
      <c r="H34" s="34"/>
      <c r="I34" s="98">
        <v>0.15</v>
      </c>
      <c r="J34" s="97">
        <f>ROUND(((SUM(BF86:BF238))*I34),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ROUND((SUM(BG86:BG238)),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ROUND((SUM(BH86:BH238)),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ROUND((SUM(BI86:BI238)),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7 - Vybourání stávající dispozice 2. NP</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J86</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J87</f>
        <v>0</v>
      </c>
      <c r="L60" s="108"/>
    </row>
    <row r="61" spans="1:47" s="10" customFormat="1" ht="19.899999999999999" customHeight="1">
      <c r="B61" s="112"/>
      <c r="D61" s="113" t="s">
        <v>325</v>
      </c>
      <c r="E61" s="114"/>
      <c r="F61" s="114"/>
      <c r="G61" s="114"/>
      <c r="H61" s="114"/>
      <c r="I61" s="114"/>
      <c r="J61" s="115">
        <f>J88</f>
        <v>0</v>
      </c>
      <c r="L61" s="112"/>
    </row>
    <row r="62" spans="1:47" s="10" customFormat="1" ht="19.899999999999999" customHeight="1">
      <c r="B62" s="112"/>
      <c r="D62" s="113" t="s">
        <v>154</v>
      </c>
      <c r="E62" s="114"/>
      <c r="F62" s="114"/>
      <c r="G62" s="114"/>
      <c r="H62" s="114"/>
      <c r="I62" s="114"/>
      <c r="J62" s="115">
        <f>J198</f>
        <v>0</v>
      </c>
      <c r="L62" s="112"/>
    </row>
    <row r="63" spans="1:47" s="10" customFormat="1" ht="19.899999999999999" customHeight="1">
      <c r="B63" s="112"/>
      <c r="D63" s="113" t="s">
        <v>326</v>
      </c>
      <c r="E63" s="114"/>
      <c r="F63" s="114"/>
      <c r="G63" s="114"/>
      <c r="H63" s="114"/>
      <c r="I63" s="114"/>
      <c r="J63" s="115">
        <f>J221</f>
        <v>0</v>
      </c>
      <c r="L63" s="112"/>
    </row>
    <row r="64" spans="1:47" s="9" customFormat="1" ht="24.95" customHeight="1">
      <c r="B64" s="108"/>
      <c r="D64" s="109" t="s">
        <v>155</v>
      </c>
      <c r="E64" s="110"/>
      <c r="F64" s="110"/>
      <c r="G64" s="110"/>
      <c r="H64" s="110"/>
      <c r="I64" s="110"/>
      <c r="J64" s="111">
        <f>J226</f>
        <v>0</v>
      </c>
      <c r="L64" s="108"/>
    </row>
    <row r="65" spans="1:31" s="10" customFormat="1" ht="19.899999999999999" customHeight="1">
      <c r="B65" s="112"/>
      <c r="D65" s="113" t="s">
        <v>1477</v>
      </c>
      <c r="E65" s="114"/>
      <c r="F65" s="114"/>
      <c r="G65" s="114"/>
      <c r="H65" s="114"/>
      <c r="I65" s="114"/>
      <c r="J65" s="115">
        <f>J227</f>
        <v>0</v>
      </c>
      <c r="L65" s="112"/>
    </row>
    <row r="66" spans="1:31" s="9" customFormat="1" ht="24.95" customHeight="1">
      <c r="B66" s="108"/>
      <c r="D66" s="109" t="s">
        <v>161</v>
      </c>
      <c r="E66" s="110"/>
      <c r="F66" s="110"/>
      <c r="G66" s="110"/>
      <c r="H66" s="110"/>
      <c r="I66" s="110"/>
      <c r="J66" s="111">
        <f>J235</f>
        <v>0</v>
      </c>
      <c r="L66" s="108"/>
    </row>
    <row r="67" spans="1:31" s="2" customFormat="1" ht="21.75" customHeight="1">
      <c r="A67" s="34"/>
      <c r="B67" s="35"/>
      <c r="C67" s="34"/>
      <c r="D67" s="34"/>
      <c r="E67" s="34"/>
      <c r="F67" s="34"/>
      <c r="G67" s="34"/>
      <c r="H67" s="34"/>
      <c r="I67" s="34"/>
      <c r="J67" s="34"/>
      <c r="K67" s="34"/>
      <c r="L67" s="91"/>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1"/>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1"/>
      <c r="S72" s="34"/>
      <c r="T72" s="34"/>
      <c r="U72" s="34"/>
      <c r="V72" s="34"/>
      <c r="W72" s="34"/>
      <c r="X72" s="34"/>
      <c r="Y72" s="34"/>
      <c r="Z72" s="34"/>
      <c r="AA72" s="34"/>
      <c r="AB72" s="34"/>
      <c r="AC72" s="34"/>
      <c r="AD72" s="34"/>
      <c r="AE72" s="34"/>
    </row>
    <row r="73" spans="1:31" s="2" customFormat="1" ht="24.95" customHeight="1">
      <c r="A73" s="34"/>
      <c r="B73" s="35"/>
      <c r="C73" s="23" t="s">
        <v>162</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c r="A76" s="34"/>
      <c r="B76" s="35"/>
      <c r="C76" s="34"/>
      <c r="D76" s="34"/>
      <c r="E76" s="436" t="str">
        <f>E7</f>
        <v>ZŠ P. HOLÉHO - PŘESTAVBA PLAVECKÉHO PAVILONU</v>
      </c>
      <c r="F76" s="437"/>
      <c r="G76" s="437"/>
      <c r="H76" s="437"/>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146</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432" t="str">
        <f>E9</f>
        <v>E 7 - Vybourání stávající dispozice 2. NP</v>
      </c>
      <c r="F78" s="435"/>
      <c r="G78" s="435"/>
      <c r="H78" s="435"/>
      <c r="I78" s="34"/>
      <c r="J78" s="34"/>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Prokopa Holého 2632, Louny, 440 01</v>
      </c>
      <c r="G80" s="34"/>
      <c r="H80" s="34"/>
      <c r="I80" s="29" t="s">
        <v>23</v>
      </c>
      <c r="J80" s="52" t="str">
        <f>IF(J12="","",J12)</f>
        <v>21. 9. 2022</v>
      </c>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Město Louny</v>
      </c>
      <c r="G82" s="34"/>
      <c r="H82" s="34"/>
      <c r="I82" s="29" t="s">
        <v>32</v>
      </c>
      <c r="J82" s="32" t="str">
        <f>E21</f>
        <v>RYSIK Design s.r.o.</v>
      </c>
      <c r="K82" s="34"/>
      <c r="L82" s="91"/>
      <c r="S82" s="34"/>
      <c r="T82" s="34"/>
      <c r="U82" s="34"/>
      <c r="V82" s="34"/>
      <c r="W82" s="34"/>
      <c r="X82" s="34"/>
      <c r="Y82" s="34"/>
      <c r="Z82" s="34"/>
      <c r="AA82" s="34"/>
      <c r="AB82" s="34"/>
      <c r="AC82" s="34"/>
      <c r="AD82" s="34"/>
      <c r="AE82" s="34"/>
    </row>
    <row r="83" spans="1:65" s="2" customFormat="1" ht="25.7" customHeight="1">
      <c r="A83" s="34"/>
      <c r="B83" s="35"/>
      <c r="C83" s="29" t="s">
        <v>30</v>
      </c>
      <c r="D83" s="34"/>
      <c r="E83" s="34"/>
      <c r="F83" s="27" t="str">
        <f>IF(E18="","",E18)</f>
        <v>Vyplň údaj</v>
      </c>
      <c r="G83" s="34"/>
      <c r="H83" s="34"/>
      <c r="I83" s="29" t="s">
        <v>37</v>
      </c>
      <c r="J83" s="32" t="str">
        <f>E24</f>
        <v>ing. Kateřina Tumpachová</v>
      </c>
      <c r="K83" s="34"/>
      <c r="L83" s="91"/>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11" customFormat="1" ht="29.25" customHeight="1">
      <c r="A85" s="116"/>
      <c r="B85" s="117"/>
      <c r="C85" s="118" t="s">
        <v>163</v>
      </c>
      <c r="D85" s="119" t="s">
        <v>62</v>
      </c>
      <c r="E85" s="119" t="s">
        <v>58</v>
      </c>
      <c r="F85" s="119" t="s">
        <v>59</v>
      </c>
      <c r="G85" s="119" t="s">
        <v>164</v>
      </c>
      <c r="H85" s="119" t="s">
        <v>165</v>
      </c>
      <c r="I85" s="119" t="s">
        <v>166</v>
      </c>
      <c r="J85" s="119" t="s">
        <v>151</v>
      </c>
      <c r="K85" s="120" t="s">
        <v>167</v>
      </c>
      <c r="L85" s="121"/>
      <c r="M85" s="59" t="s">
        <v>3</v>
      </c>
      <c r="N85" s="60" t="s">
        <v>47</v>
      </c>
      <c r="O85" s="60" t="s">
        <v>168</v>
      </c>
      <c r="P85" s="60" t="s">
        <v>169</v>
      </c>
      <c r="Q85" s="60" t="s">
        <v>170</v>
      </c>
      <c r="R85" s="60" t="s">
        <v>171</v>
      </c>
      <c r="S85" s="60" t="s">
        <v>172</v>
      </c>
      <c r="T85" s="61" t="s">
        <v>173</v>
      </c>
      <c r="U85" s="116"/>
      <c r="V85" s="116"/>
      <c r="W85" s="116"/>
      <c r="X85" s="116"/>
      <c r="Y85" s="116"/>
      <c r="Z85" s="116"/>
      <c r="AA85" s="116"/>
      <c r="AB85" s="116"/>
      <c r="AC85" s="116"/>
      <c r="AD85" s="116"/>
      <c r="AE85" s="116"/>
    </row>
    <row r="86" spans="1:65" s="2" customFormat="1" ht="22.9" customHeight="1">
      <c r="A86" s="34"/>
      <c r="B86" s="35"/>
      <c r="C86" s="66" t="s">
        <v>174</v>
      </c>
      <c r="D86" s="34"/>
      <c r="E86" s="34"/>
      <c r="F86" s="34"/>
      <c r="G86" s="34"/>
      <c r="H86" s="34"/>
      <c r="I86" s="34"/>
      <c r="J86" s="122">
        <f>BK86</f>
        <v>0</v>
      </c>
      <c r="K86" s="34"/>
      <c r="L86" s="35"/>
      <c r="M86" s="62"/>
      <c r="N86" s="53"/>
      <c r="O86" s="63"/>
      <c r="P86" s="123">
        <f>P87+P226+P235</f>
        <v>0</v>
      </c>
      <c r="Q86" s="63"/>
      <c r="R86" s="123">
        <f>R87+R226+R235</f>
        <v>8.16482238591</v>
      </c>
      <c r="S86" s="63"/>
      <c r="T86" s="124">
        <f>T87+T226+T235</f>
        <v>277.63042900000005</v>
      </c>
      <c r="U86" s="34"/>
      <c r="V86" s="34"/>
      <c r="W86" s="34"/>
      <c r="X86" s="34"/>
      <c r="Y86" s="34"/>
      <c r="Z86" s="34"/>
      <c r="AA86" s="34"/>
      <c r="AB86" s="34"/>
      <c r="AC86" s="34"/>
      <c r="AD86" s="34"/>
      <c r="AE86" s="34"/>
      <c r="AT86" s="19" t="s">
        <v>76</v>
      </c>
      <c r="AU86" s="19" t="s">
        <v>152</v>
      </c>
      <c r="BK86" s="125">
        <f>BK87+BK226+BK235</f>
        <v>0</v>
      </c>
    </row>
    <row r="87" spans="1:65" s="12" customFormat="1" ht="25.9" customHeight="1">
      <c r="B87" s="126"/>
      <c r="D87" s="127" t="s">
        <v>76</v>
      </c>
      <c r="E87" s="128" t="s">
        <v>175</v>
      </c>
      <c r="F87" s="128" t="s">
        <v>176</v>
      </c>
      <c r="I87" s="129"/>
      <c r="J87" s="130">
        <f>BK87</f>
        <v>0</v>
      </c>
      <c r="L87" s="126"/>
      <c r="M87" s="131"/>
      <c r="N87" s="132"/>
      <c r="O87" s="132"/>
      <c r="P87" s="133">
        <f>P88+P198+P221</f>
        <v>0</v>
      </c>
      <c r="Q87" s="132"/>
      <c r="R87" s="133">
        <f>R88+R198+R221</f>
        <v>8.16482238591</v>
      </c>
      <c r="S87" s="132"/>
      <c r="T87" s="134">
        <f>T88+T198+T221</f>
        <v>276.74242900000007</v>
      </c>
      <c r="AR87" s="127" t="s">
        <v>85</v>
      </c>
      <c r="AT87" s="135" t="s">
        <v>76</v>
      </c>
      <c r="AU87" s="135" t="s">
        <v>77</v>
      </c>
      <c r="AY87" s="127" t="s">
        <v>177</v>
      </c>
      <c r="BK87" s="136">
        <f>BK88+BK198+BK221</f>
        <v>0</v>
      </c>
    </row>
    <row r="88" spans="1:65" s="12" customFormat="1" ht="22.9" customHeight="1">
      <c r="B88" s="126"/>
      <c r="D88" s="127" t="s">
        <v>76</v>
      </c>
      <c r="E88" s="137" t="s">
        <v>252</v>
      </c>
      <c r="F88" s="137" t="s">
        <v>329</v>
      </c>
      <c r="I88" s="129"/>
      <c r="J88" s="138">
        <f>BK88</f>
        <v>0</v>
      </c>
      <c r="L88" s="126"/>
      <c r="M88" s="131"/>
      <c r="N88" s="132"/>
      <c r="O88" s="132"/>
      <c r="P88" s="133">
        <f>SUM(P89:P197)</f>
        <v>0</v>
      </c>
      <c r="Q88" s="132"/>
      <c r="R88" s="133">
        <f>SUM(R89:R197)</f>
        <v>8.16482238591</v>
      </c>
      <c r="S88" s="132"/>
      <c r="T88" s="134">
        <f>SUM(T89:T197)</f>
        <v>276.74242900000007</v>
      </c>
      <c r="AR88" s="127" t="s">
        <v>85</v>
      </c>
      <c r="AT88" s="135" t="s">
        <v>76</v>
      </c>
      <c r="AU88" s="135" t="s">
        <v>85</v>
      </c>
      <c r="AY88" s="127" t="s">
        <v>177</v>
      </c>
      <c r="BK88" s="136">
        <f>SUM(BK89:BK197)</f>
        <v>0</v>
      </c>
    </row>
    <row r="89" spans="1:65" s="2" customFormat="1" ht="21.75" customHeight="1">
      <c r="A89" s="34"/>
      <c r="B89" s="139"/>
      <c r="C89" s="140" t="s">
        <v>85</v>
      </c>
      <c r="D89" s="140" t="s">
        <v>180</v>
      </c>
      <c r="E89" s="141" t="s">
        <v>682</v>
      </c>
      <c r="F89" s="142" t="s">
        <v>683</v>
      </c>
      <c r="G89" s="143" t="s">
        <v>332</v>
      </c>
      <c r="H89" s="144">
        <v>328.8</v>
      </c>
      <c r="I89" s="145"/>
      <c r="J89" s="146">
        <f>ROUND(I89*H89,2)</f>
        <v>0</v>
      </c>
      <c r="K89" s="142" t="s">
        <v>184</v>
      </c>
      <c r="L89" s="35"/>
      <c r="M89" s="147" t="s">
        <v>3</v>
      </c>
      <c r="N89" s="148" t="s">
        <v>48</v>
      </c>
      <c r="O89" s="55"/>
      <c r="P89" s="149">
        <f>O89*H89</f>
        <v>0</v>
      </c>
      <c r="Q89" s="149">
        <v>1.2999999999999999E-4</v>
      </c>
      <c r="R89" s="149">
        <f>Q89*H89</f>
        <v>4.2743999999999997E-2</v>
      </c>
      <c r="S89" s="149">
        <v>0</v>
      </c>
      <c r="T89" s="150">
        <f>S89*H89</f>
        <v>0</v>
      </c>
      <c r="U89" s="34"/>
      <c r="V89" s="34"/>
      <c r="W89" s="34"/>
      <c r="X89" s="34"/>
      <c r="Y89" s="34"/>
      <c r="Z89" s="34"/>
      <c r="AA89" s="34"/>
      <c r="AB89" s="34"/>
      <c r="AC89" s="34"/>
      <c r="AD89" s="34"/>
      <c r="AE89" s="34"/>
      <c r="AR89" s="151" t="s">
        <v>185</v>
      </c>
      <c r="AT89" s="151" t="s">
        <v>180</v>
      </c>
      <c r="AU89" s="151" t="s">
        <v>87</v>
      </c>
      <c r="AY89" s="19" t="s">
        <v>177</v>
      </c>
      <c r="BE89" s="152">
        <f>IF(N89="základní",J89,0)</f>
        <v>0</v>
      </c>
      <c r="BF89" s="152">
        <f>IF(N89="snížená",J89,0)</f>
        <v>0</v>
      </c>
      <c r="BG89" s="152">
        <f>IF(N89="zákl. přenesená",J89,0)</f>
        <v>0</v>
      </c>
      <c r="BH89" s="152">
        <f>IF(N89="sníž. přenesená",J89,0)</f>
        <v>0</v>
      </c>
      <c r="BI89" s="152">
        <f>IF(N89="nulová",J89,0)</f>
        <v>0</v>
      </c>
      <c r="BJ89" s="19" t="s">
        <v>85</v>
      </c>
      <c r="BK89" s="152">
        <f>ROUND(I89*H89,2)</f>
        <v>0</v>
      </c>
      <c r="BL89" s="19" t="s">
        <v>185</v>
      </c>
      <c r="BM89" s="151" t="s">
        <v>1478</v>
      </c>
    </row>
    <row r="90" spans="1:65" s="2" customFormat="1">
      <c r="A90" s="34"/>
      <c r="B90" s="35"/>
      <c r="C90" s="34"/>
      <c r="D90" s="153" t="s">
        <v>187</v>
      </c>
      <c r="E90" s="34"/>
      <c r="F90" s="154" t="s">
        <v>685</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187</v>
      </c>
      <c r="AU90" s="19" t="s">
        <v>87</v>
      </c>
    </row>
    <row r="91" spans="1:65" s="2" customFormat="1">
      <c r="A91" s="34"/>
      <c r="B91" s="35"/>
      <c r="C91" s="34"/>
      <c r="D91" s="158" t="s">
        <v>189</v>
      </c>
      <c r="E91" s="34"/>
      <c r="F91" s="159" t="s">
        <v>686</v>
      </c>
      <c r="G91" s="34"/>
      <c r="H91" s="34"/>
      <c r="I91" s="155"/>
      <c r="J91" s="34"/>
      <c r="K91" s="34"/>
      <c r="L91" s="35"/>
      <c r="M91" s="156"/>
      <c r="N91" s="157"/>
      <c r="O91" s="55"/>
      <c r="P91" s="55"/>
      <c r="Q91" s="55"/>
      <c r="R91" s="55"/>
      <c r="S91" s="55"/>
      <c r="T91" s="56"/>
      <c r="U91" s="34"/>
      <c r="V91" s="34"/>
      <c r="W91" s="34"/>
      <c r="X91" s="34"/>
      <c r="Y91" s="34"/>
      <c r="Z91" s="34"/>
      <c r="AA91" s="34"/>
      <c r="AB91" s="34"/>
      <c r="AC91" s="34"/>
      <c r="AD91" s="34"/>
      <c r="AE91" s="34"/>
      <c r="AT91" s="19" t="s">
        <v>189</v>
      </c>
      <c r="AU91" s="19" t="s">
        <v>87</v>
      </c>
    </row>
    <row r="92" spans="1:65" s="2" customFormat="1" ht="48.75">
      <c r="A92" s="34"/>
      <c r="B92" s="35"/>
      <c r="C92" s="34"/>
      <c r="D92" s="153" t="s">
        <v>191</v>
      </c>
      <c r="E92" s="34"/>
      <c r="F92" s="160" t="s">
        <v>336</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191</v>
      </c>
      <c r="AU92" s="19" t="s">
        <v>87</v>
      </c>
    </row>
    <row r="93" spans="1:65" s="13" customFormat="1">
      <c r="B93" s="161"/>
      <c r="D93" s="153" t="s">
        <v>193</v>
      </c>
      <c r="E93" s="162" t="s">
        <v>3</v>
      </c>
      <c r="F93" s="163" t="s">
        <v>995</v>
      </c>
      <c r="H93" s="164">
        <v>328.8</v>
      </c>
      <c r="I93" s="165"/>
      <c r="L93" s="161"/>
      <c r="M93" s="166"/>
      <c r="N93" s="167"/>
      <c r="O93" s="167"/>
      <c r="P93" s="167"/>
      <c r="Q93" s="167"/>
      <c r="R93" s="167"/>
      <c r="S93" s="167"/>
      <c r="T93" s="168"/>
      <c r="AT93" s="162" t="s">
        <v>193</v>
      </c>
      <c r="AU93" s="162" t="s">
        <v>87</v>
      </c>
      <c r="AV93" s="13" t="s">
        <v>87</v>
      </c>
      <c r="AW93" s="13" t="s">
        <v>36</v>
      </c>
      <c r="AX93" s="13" t="s">
        <v>77</v>
      </c>
      <c r="AY93" s="162" t="s">
        <v>177</v>
      </c>
    </row>
    <row r="94" spans="1:65" s="16" customFormat="1">
      <c r="B94" s="184"/>
      <c r="D94" s="153" t="s">
        <v>193</v>
      </c>
      <c r="E94" s="185" t="s">
        <v>3</v>
      </c>
      <c r="F94" s="186" t="s">
        <v>201</v>
      </c>
      <c r="H94" s="187">
        <v>328.8</v>
      </c>
      <c r="I94" s="188"/>
      <c r="L94" s="184"/>
      <c r="M94" s="189"/>
      <c r="N94" s="190"/>
      <c r="O94" s="190"/>
      <c r="P94" s="190"/>
      <c r="Q94" s="190"/>
      <c r="R94" s="190"/>
      <c r="S94" s="190"/>
      <c r="T94" s="191"/>
      <c r="AT94" s="185" t="s">
        <v>193</v>
      </c>
      <c r="AU94" s="185" t="s">
        <v>87</v>
      </c>
      <c r="AV94" s="16" t="s">
        <v>185</v>
      </c>
      <c r="AW94" s="16" t="s">
        <v>36</v>
      </c>
      <c r="AX94" s="16" t="s">
        <v>85</v>
      </c>
      <c r="AY94" s="185" t="s">
        <v>177</v>
      </c>
    </row>
    <row r="95" spans="1:65" s="2" customFormat="1" ht="16.5" customHeight="1">
      <c r="A95" s="34"/>
      <c r="B95" s="139"/>
      <c r="C95" s="140" t="s">
        <v>87</v>
      </c>
      <c r="D95" s="140" t="s">
        <v>180</v>
      </c>
      <c r="E95" s="141" t="s">
        <v>339</v>
      </c>
      <c r="F95" s="142" t="s">
        <v>340</v>
      </c>
      <c r="G95" s="143" t="s">
        <v>332</v>
      </c>
      <c r="H95" s="144">
        <v>328.8</v>
      </c>
      <c r="I95" s="145"/>
      <c r="J95" s="146">
        <f>ROUND(I95*H95,2)</f>
        <v>0</v>
      </c>
      <c r="K95" s="142" t="s">
        <v>184</v>
      </c>
      <c r="L95" s="35"/>
      <c r="M95" s="147" t="s">
        <v>3</v>
      </c>
      <c r="N95" s="148" t="s">
        <v>48</v>
      </c>
      <c r="O95" s="55"/>
      <c r="P95" s="149">
        <f>O95*H95</f>
        <v>0</v>
      </c>
      <c r="Q95" s="149">
        <v>3.4999999999999997E-5</v>
      </c>
      <c r="R95" s="149">
        <f>Q95*H95</f>
        <v>1.1507999999999999E-2</v>
      </c>
      <c r="S95" s="149">
        <v>0</v>
      </c>
      <c r="T95" s="150">
        <f>S95*H95</f>
        <v>0</v>
      </c>
      <c r="U95" s="34"/>
      <c r="V95" s="34"/>
      <c r="W95" s="34"/>
      <c r="X95" s="34"/>
      <c r="Y95" s="34"/>
      <c r="Z95" s="34"/>
      <c r="AA95" s="34"/>
      <c r="AB95" s="34"/>
      <c r="AC95" s="34"/>
      <c r="AD95" s="34"/>
      <c r="AE95" s="34"/>
      <c r="AR95" s="151" t="s">
        <v>185</v>
      </c>
      <c r="AT95" s="151" t="s">
        <v>180</v>
      </c>
      <c r="AU95" s="151" t="s">
        <v>87</v>
      </c>
      <c r="AY95" s="19" t="s">
        <v>177</v>
      </c>
      <c r="BE95" s="152">
        <f>IF(N95="základní",J95,0)</f>
        <v>0</v>
      </c>
      <c r="BF95" s="152">
        <f>IF(N95="snížená",J95,0)</f>
        <v>0</v>
      </c>
      <c r="BG95" s="152">
        <f>IF(N95="zákl. přenesená",J95,0)</f>
        <v>0</v>
      </c>
      <c r="BH95" s="152">
        <f>IF(N95="sníž. přenesená",J95,0)</f>
        <v>0</v>
      </c>
      <c r="BI95" s="152">
        <f>IF(N95="nulová",J95,0)</f>
        <v>0</v>
      </c>
      <c r="BJ95" s="19" t="s">
        <v>85</v>
      </c>
      <c r="BK95" s="152">
        <f>ROUND(I95*H95,2)</f>
        <v>0</v>
      </c>
      <c r="BL95" s="19" t="s">
        <v>185</v>
      </c>
      <c r="BM95" s="151" t="s">
        <v>1479</v>
      </c>
    </row>
    <row r="96" spans="1:65" s="2" customFormat="1">
      <c r="A96" s="34"/>
      <c r="B96" s="35"/>
      <c r="C96" s="34"/>
      <c r="D96" s="153" t="s">
        <v>187</v>
      </c>
      <c r="E96" s="34"/>
      <c r="F96" s="154" t="s">
        <v>342</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187</v>
      </c>
      <c r="AU96" s="19" t="s">
        <v>87</v>
      </c>
    </row>
    <row r="97" spans="1:65" s="2" customFormat="1">
      <c r="A97" s="34"/>
      <c r="B97" s="35"/>
      <c r="C97" s="34"/>
      <c r="D97" s="158" t="s">
        <v>189</v>
      </c>
      <c r="E97" s="34"/>
      <c r="F97" s="159" t="s">
        <v>343</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189</v>
      </c>
      <c r="AU97" s="19" t="s">
        <v>87</v>
      </c>
    </row>
    <row r="98" spans="1:65" s="2" customFormat="1" ht="165.75">
      <c r="A98" s="34"/>
      <c r="B98" s="35"/>
      <c r="C98" s="34"/>
      <c r="D98" s="153" t="s">
        <v>191</v>
      </c>
      <c r="E98" s="34"/>
      <c r="F98" s="160" t="s">
        <v>344</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191</v>
      </c>
      <c r="AU98" s="19" t="s">
        <v>87</v>
      </c>
    </row>
    <row r="99" spans="1:65" s="2" customFormat="1" ht="16.5" customHeight="1">
      <c r="A99" s="34"/>
      <c r="B99" s="139"/>
      <c r="C99" s="140" t="s">
        <v>198</v>
      </c>
      <c r="D99" s="140" t="s">
        <v>180</v>
      </c>
      <c r="E99" s="141" t="s">
        <v>1480</v>
      </c>
      <c r="F99" s="142" t="s">
        <v>1481</v>
      </c>
      <c r="G99" s="143" t="s">
        <v>332</v>
      </c>
      <c r="H99" s="144">
        <v>616.92200000000003</v>
      </c>
      <c r="I99" s="145"/>
      <c r="J99" s="146">
        <f>ROUND(I99*H99,2)</f>
        <v>0</v>
      </c>
      <c r="K99" s="142" t="s">
        <v>184</v>
      </c>
      <c r="L99" s="35"/>
      <c r="M99" s="147" t="s">
        <v>3</v>
      </c>
      <c r="N99" s="148" t="s">
        <v>48</v>
      </c>
      <c r="O99" s="55"/>
      <c r="P99" s="149">
        <f>O99*H99</f>
        <v>0</v>
      </c>
      <c r="Q99" s="149">
        <v>0</v>
      </c>
      <c r="R99" s="149">
        <f>Q99*H99</f>
        <v>0</v>
      </c>
      <c r="S99" s="149">
        <v>0.26100000000000001</v>
      </c>
      <c r="T99" s="150">
        <f>S99*H99</f>
        <v>161.01664200000002</v>
      </c>
      <c r="U99" s="34"/>
      <c r="V99" s="34"/>
      <c r="W99" s="34"/>
      <c r="X99" s="34"/>
      <c r="Y99" s="34"/>
      <c r="Z99" s="34"/>
      <c r="AA99" s="34"/>
      <c r="AB99" s="34"/>
      <c r="AC99" s="34"/>
      <c r="AD99" s="34"/>
      <c r="AE99" s="34"/>
      <c r="AR99" s="151" t="s">
        <v>185</v>
      </c>
      <c r="AT99" s="151" t="s">
        <v>180</v>
      </c>
      <c r="AU99" s="151" t="s">
        <v>87</v>
      </c>
      <c r="AY99" s="19" t="s">
        <v>177</v>
      </c>
      <c r="BE99" s="152">
        <f>IF(N99="základní",J99,0)</f>
        <v>0</v>
      </c>
      <c r="BF99" s="152">
        <f>IF(N99="snížená",J99,0)</f>
        <v>0</v>
      </c>
      <c r="BG99" s="152">
        <f>IF(N99="zákl. přenesená",J99,0)</f>
        <v>0</v>
      </c>
      <c r="BH99" s="152">
        <f>IF(N99="sníž. přenesená",J99,0)</f>
        <v>0</v>
      </c>
      <c r="BI99" s="152">
        <f>IF(N99="nulová",J99,0)</f>
        <v>0</v>
      </c>
      <c r="BJ99" s="19" t="s">
        <v>85</v>
      </c>
      <c r="BK99" s="152">
        <f>ROUND(I99*H99,2)</f>
        <v>0</v>
      </c>
      <c r="BL99" s="19" t="s">
        <v>185</v>
      </c>
      <c r="BM99" s="151" t="s">
        <v>1482</v>
      </c>
    </row>
    <row r="100" spans="1:65" s="2" customFormat="1" ht="19.5">
      <c r="A100" s="34"/>
      <c r="B100" s="35"/>
      <c r="C100" s="34"/>
      <c r="D100" s="153" t="s">
        <v>187</v>
      </c>
      <c r="E100" s="34"/>
      <c r="F100" s="154" t="s">
        <v>1483</v>
      </c>
      <c r="G100" s="34"/>
      <c r="H100" s="34"/>
      <c r="I100" s="155"/>
      <c r="J100" s="34"/>
      <c r="K100" s="34"/>
      <c r="L100" s="35"/>
      <c r="M100" s="156"/>
      <c r="N100" s="157"/>
      <c r="O100" s="55"/>
      <c r="P100" s="55"/>
      <c r="Q100" s="55"/>
      <c r="R100" s="55"/>
      <c r="S100" s="55"/>
      <c r="T100" s="56"/>
      <c r="U100" s="34"/>
      <c r="V100" s="34"/>
      <c r="W100" s="34"/>
      <c r="X100" s="34"/>
      <c r="Y100" s="34"/>
      <c r="Z100" s="34"/>
      <c r="AA100" s="34"/>
      <c r="AB100" s="34"/>
      <c r="AC100" s="34"/>
      <c r="AD100" s="34"/>
      <c r="AE100" s="34"/>
      <c r="AT100" s="19" t="s">
        <v>187</v>
      </c>
      <c r="AU100" s="19" t="s">
        <v>87</v>
      </c>
    </row>
    <row r="101" spans="1:65" s="2" customFormat="1">
      <c r="A101" s="34"/>
      <c r="B101" s="35"/>
      <c r="C101" s="34"/>
      <c r="D101" s="158" t="s">
        <v>189</v>
      </c>
      <c r="E101" s="34"/>
      <c r="F101" s="159" t="s">
        <v>1484</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189</v>
      </c>
      <c r="AU101" s="19" t="s">
        <v>87</v>
      </c>
    </row>
    <row r="102" spans="1:65" s="13" customFormat="1" ht="22.5">
      <c r="B102" s="161"/>
      <c r="D102" s="153" t="s">
        <v>193</v>
      </c>
      <c r="E102" s="162" t="s">
        <v>3</v>
      </c>
      <c r="F102" s="163" t="s">
        <v>1485</v>
      </c>
      <c r="H102" s="164">
        <v>665.29899999999998</v>
      </c>
      <c r="I102" s="165"/>
      <c r="L102" s="161"/>
      <c r="M102" s="166"/>
      <c r="N102" s="167"/>
      <c r="O102" s="167"/>
      <c r="P102" s="167"/>
      <c r="Q102" s="167"/>
      <c r="R102" s="167"/>
      <c r="S102" s="167"/>
      <c r="T102" s="168"/>
      <c r="AT102" s="162" t="s">
        <v>193</v>
      </c>
      <c r="AU102" s="162" t="s">
        <v>87</v>
      </c>
      <c r="AV102" s="13" t="s">
        <v>87</v>
      </c>
      <c r="AW102" s="13" t="s">
        <v>36</v>
      </c>
      <c r="AX102" s="13" t="s">
        <v>77</v>
      </c>
      <c r="AY102" s="162" t="s">
        <v>177</v>
      </c>
    </row>
    <row r="103" spans="1:65" s="13" customFormat="1">
      <c r="B103" s="161"/>
      <c r="D103" s="153" t="s">
        <v>193</v>
      </c>
      <c r="E103" s="162" t="s">
        <v>3</v>
      </c>
      <c r="F103" s="163" t="s">
        <v>1486</v>
      </c>
      <c r="H103" s="164">
        <v>9.2230000000000008</v>
      </c>
      <c r="I103" s="165"/>
      <c r="L103" s="161"/>
      <c r="M103" s="166"/>
      <c r="N103" s="167"/>
      <c r="O103" s="167"/>
      <c r="P103" s="167"/>
      <c r="Q103" s="167"/>
      <c r="R103" s="167"/>
      <c r="S103" s="167"/>
      <c r="T103" s="168"/>
      <c r="AT103" s="162" t="s">
        <v>193</v>
      </c>
      <c r="AU103" s="162" t="s">
        <v>87</v>
      </c>
      <c r="AV103" s="13" t="s">
        <v>87</v>
      </c>
      <c r="AW103" s="13" t="s">
        <v>36</v>
      </c>
      <c r="AX103" s="13" t="s">
        <v>77</v>
      </c>
      <c r="AY103" s="162" t="s">
        <v>177</v>
      </c>
    </row>
    <row r="104" spans="1:65" s="14" customFormat="1">
      <c r="B104" s="169"/>
      <c r="D104" s="153" t="s">
        <v>193</v>
      </c>
      <c r="E104" s="170" t="s">
        <v>3</v>
      </c>
      <c r="F104" s="171" t="s">
        <v>1487</v>
      </c>
      <c r="H104" s="170" t="s">
        <v>3</v>
      </c>
      <c r="I104" s="172"/>
      <c r="L104" s="169"/>
      <c r="M104" s="173"/>
      <c r="N104" s="174"/>
      <c r="O104" s="174"/>
      <c r="P104" s="174"/>
      <c r="Q104" s="174"/>
      <c r="R104" s="174"/>
      <c r="S104" s="174"/>
      <c r="T104" s="175"/>
      <c r="AT104" s="170" t="s">
        <v>193</v>
      </c>
      <c r="AU104" s="170" t="s">
        <v>87</v>
      </c>
      <c r="AV104" s="14" t="s">
        <v>85</v>
      </c>
      <c r="AW104" s="14" t="s">
        <v>36</v>
      </c>
      <c r="AX104" s="14" t="s">
        <v>77</v>
      </c>
      <c r="AY104" s="170" t="s">
        <v>177</v>
      </c>
    </row>
    <row r="105" spans="1:65" s="13" customFormat="1">
      <c r="B105" s="161"/>
      <c r="D105" s="153" t="s">
        <v>193</v>
      </c>
      <c r="E105" s="162" t="s">
        <v>3</v>
      </c>
      <c r="F105" s="163" t="s">
        <v>1488</v>
      </c>
      <c r="H105" s="164">
        <v>-57.6</v>
      </c>
      <c r="I105" s="165"/>
      <c r="L105" s="161"/>
      <c r="M105" s="166"/>
      <c r="N105" s="167"/>
      <c r="O105" s="167"/>
      <c r="P105" s="167"/>
      <c r="Q105" s="167"/>
      <c r="R105" s="167"/>
      <c r="S105" s="167"/>
      <c r="T105" s="168"/>
      <c r="AT105" s="162" t="s">
        <v>193</v>
      </c>
      <c r="AU105" s="162" t="s">
        <v>87</v>
      </c>
      <c r="AV105" s="13" t="s">
        <v>87</v>
      </c>
      <c r="AW105" s="13" t="s">
        <v>36</v>
      </c>
      <c r="AX105" s="13" t="s">
        <v>77</v>
      </c>
      <c r="AY105" s="162" t="s">
        <v>177</v>
      </c>
    </row>
    <row r="106" spans="1:65" s="16" customFormat="1">
      <c r="B106" s="184"/>
      <c r="D106" s="153" t="s">
        <v>193</v>
      </c>
      <c r="E106" s="185" t="s">
        <v>3</v>
      </c>
      <c r="F106" s="186" t="s">
        <v>201</v>
      </c>
      <c r="H106" s="187">
        <v>616.92199999999991</v>
      </c>
      <c r="I106" s="188"/>
      <c r="L106" s="184"/>
      <c r="M106" s="189"/>
      <c r="N106" s="190"/>
      <c r="O106" s="190"/>
      <c r="P106" s="190"/>
      <c r="Q106" s="190"/>
      <c r="R106" s="190"/>
      <c r="S106" s="190"/>
      <c r="T106" s="191"/>
      <c r="AT106" s="185" t="s">
        <v>193</v>
      </c>
      <c r="AU106" s="185" t="s">
        <v>87</v>
      </c>
      <c r="AV106" s="16" t="s">
        <v>185</v>
      </c>
      <c r="AW106" s="16" t="s">
        <v>36</v>
      </c>
      <c r="AX106" s="16" t="s">
        <v>85</v>
      </c>
      <c r="AY106" s="185" t="s">
        <v>177</v>
      </c>
    </row>
    <row r="107" spans="1:65" s="2" customFormat="1" ht="16.5" customHeight="1">
      <c r="A107" s="34"/>
      <c r="B107" s="139"/>
      <c r="C107" s="140" t="s">
        <v>185</v>
      </c>
      <c r="D107" s="140" t="s">
        <v>180</v>
      </c>
      <c r="E107" s="141" t="s">
        <v>1489</v>
      </c>
      <c r="F107" s="142" t="s">
        <v>1490</v>
      </c>
      <c r="G107" s="143" t="s">
        <v>332</v>
      </c>
      <c r="H107" s="144">
        <v>19.100000000000001</v>
      </c>
      <c r="I107" s="145"/>
      <c r="J107" s="146">
        <f>ROUND(I107*H107,2)</f>
        <v>0</v>
      </c>
      <c r="K107" s="142" t="s">
        <v>184</v>
      </c>
      <c r="L107" s="35"/>
      <c r="M107" s="147" t="s">
        <v>3</v>
      </c>
      <c r="N107" s="148" t="s">
        <v>48</v>
      </c>
      <c r="O107" s="55"/>
      <c r="P107" s="149">
        <f>O107*H107</f>
        <v>0</v>
      </c>
      <c r="Q107" s="149">
        <v>0</v>
      </c>
      <c r="R107" s="149">
        <f>Q107*H107</f>
        <v>0</v>
      </c>
      <c r="S107" s="149">
        <v>0.1</v>
      </c>
      <c r="T107" s="150">
        <f>S107*H107</f>
        <v>1.9100000000000001</v>
      </c>
      <c r="U107" s="34"/>
      <c r="V107" s="34"/>
      <c r="W107" s="34"/>
      <c r="X107" s="34"/>
      <c r="Y107" s="34"/>
      <c r="Z107" s="34"/>
      <c r="AA107" s="34"/>
      <c r="AB107" s="34"/>
      <c r="AC107" s="34"/>
      <c r="AD107" s="34"/>
      <c r="AE107" s="34"/>
      <c r="AR107" s="151" t="s">
        <v>185</v>
      </c>
      <c r="AT107" s="151" t="s">
        <v>180</v>
      </c>
      <c r="AU107" s="151" t="s">
        <v>87</v>
      </c>
      <c r="AY107" s="19" t="s">
        <v>177</v>
      </c>
      <c r="BE107" s="152">
        <f>IF(N107="základní",J107,0)</f>
        <v>0</v>
      </c>
      <c r="BF107" s="152">
        <f>IF(N107="snížená",J107,0)</f>
        <v>0</v>
      </c>
      <c r="BG107" s="152">
        <f>IF(N107="zákl. přenesená",J107,0)</f>
        <v>0</v>
      </c>
      <c r="BH107" s="152">
        <f>IF(N107="sníž. přenesená",J107,0)</f>
        <v>0</v>
      </c>
      <c r="BI107" s="152">
        <f>IF(N107="nulová",J107,0)</f>
        <v>0</v>
      </c>
      <c r="BJ107" s="19" t="s">
        <v>85</v>
      </c>
      <c r="BK107" s="152">
        <f>ROUND(I107*H107,2)</f>
        <v>0</v>
      </c>
      <c r="BL107" s="19" t="s">
        <v>185</v>
      </c>
      <c r="BM107" s="151" t="s">
        <v>1491</v>
      </c>
    </row>
    <row r="108" spans="1:65" s="2" customFormat="1" ht="19.5">
      <c r="A108" s="34"/>
      <c r="B108" s="35"/>
      <c r="C108" s="34"/>
      <c r="D108" s="153" t="s">
        <v>187</v>
      </c>
      <c r="E108" s="34"/>
      <c r="F108" s="154" t="s">
        <v>1492</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187</v>
      </c>
      <c r="AU108" s="19" t="s">
        <v>87</v>
      </c>
    </row>
    <row r="109" spans="1:65" s="2" customFormat="1">
      <c r="A109" s="34"/>
      <c r="B109" s="35"/>
      <c r="C109" s="34"/>
      <c r="D109" s="158" t="s">
        <v>189</v>
      </c>
      <c r="E109" s="34"/>
      <c r="F109" s="159" t="s">
        <v>1493</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189</v>
      </c>
      <c r="AU109" s="19" t="s">
        <v>87</v>
      </c>
    </row>
    <row r="110" spans="1:65" s="14" customFormat="1">
      <c r="B110" s="169"/>
      <c r="D110" s="153" t="s">
        <v>193</v>
      </c>
      <c r="E110" s="170" t="s">
        <v>3</v>
      </c>
      <c r="F110" s="171" t="s">
        <v>1494</v>
      </c>
      <c r="H110" s="170" t="s">
        <v>3</v>
      </c>
      <c r="I110" s="172"/>
      <c r="L110" s="169"/>
      <c r="M110" s="173"/>
      <c r="N110" s="174"/>
      <c r="O110" s="174"/>
      <c r="P110" s="174"/>
      <c r="Q110" s="174"/>
      <c r="R110" s="174"/>
      <c r="S110" s="174"/>
      <c r="T110" s="175"/>
      <c r="AT110" s="170" t="s">
        <v>193</v>
      </c>
      <c r="AU110" s="170" t="s">
        <v>87</v>
      </c>
      <c r="AV110" s="14" t="s">
        <v>85</v>
      </c>
      <c r="AW110" s="14" t="s">
        <v>36</v>
      </c>
      <c r="AX110" s="14" t="s">
        <v>77</v>
      </c>
      <c r="AY110" s="170" t="s">
        <v>177</v>
      </c>
    </row>
    <row r="111" spans="1:65" s="13" customFormat="1">
      <c r="B111" s="161"/>
      <c r="D111" s="153" t="s">
        <v>193</v>
      </c>
      <c r="E111" s="162" t="s">
        <v>3</v>
      </c>
      <c r="F111" s="163" t="s">
        <v>1495</v>
      </c>
      <c r="H111" s="164">
        <v>19.100000000000001</v>
      </c>
      <c r="I111" s="165"/>
      <c r="L111" s="161"/>
      <c r="M111" s="166"/>
      <c r="N111" s="167"/>
      <c r="O111" s="167"/>
      <c r="P111" s="167"/>
      <c r="Q111" s="167"/>
      <c r="R111" s="167"/>
      <c r="S111" s="167"/>
      <c r="T111" s="168"/>
      <c r="AT111" s="162" t="s">
        <v>193</v>
      </c>
      <c r="AU111" s="162" t="s">
        <v>87</v>
      </c>
      <c r="AV111" s="13" t="s">
        <v>87</v>
      </c>
      <c r="AW111" s="13" t="s">
        <v>36</v>
      </c>
      <c r="AX111" s="13" t="s">
        <v>85</v>
      </c>
      <c r="AY111" s="162" t="s">
        <v>177</v>
      </c>
    </row>
    <row r="112" spans="1:65" s="2" customFormat="1" ht="21.75" customHeight="1">
      <c r="A112" s="34"/>
      <c r="B112" s="139"/>
      <c r="C112" s="140" t="s">
        <v>200</v>
      </c>
      <c r="D112" s="140" t="s">
        <v>180</v>
      </c>
      <c r="E112" s="141" t="s">
        <v>1496</v>
      </c>
      <c r="F112" s="142" t="s">
        <v>1497</v>
      </c>
      <c r="G112" s="143" t="s">
        <v>808</v>
      </c>
      <c r="H112" s="144">
        <v>30.803999999999998</v>
      </c>
      <c r="I112" s="145"/>
      <c r="J112" s="146">
        <f>ROUND(I112*H112,2)</f>
        <v>0</v>
      </c>
      <c r="K112" s="142" t="s">
        <v>184</v>
      </c>
      <c r="L112" s="35"/>
      <c r="M112" s="147" t="s">
        <v>3</v>
      </c>
      <c r="N112" s="148" t="s">
        <v>48</v>
      </c>
      <c r="O112" s="55"/>
      <c r="P112" s="149">
        <f>O112*H112</f>
        <v>0</v>
      </c>
      <c r="Q112" s="149">
        <v>0</v>
      </c>
      <c r="R112" s="149">
        <f>Q112*H112</f>
        <v>0</v>
      </c>
      <c r="S112" s="149">
        <v>2.2000000000000002</v>
      </c>
      <c r="T112" s="150">
        <f>S112*H112</f>
        <v>67.768799999999999</v>
      </c>
      <c r="U112" s="34"/>
      <c r="V112" s="34"/>
      <c r="W112" s="34"/>
      <c r="X112" s="34"/>
      <c r="Y112" s="34"/>
      <c r="Z112" s="34"/>
      <c r="AA112" s="34"/>
      <c r="AB112" s="34"/>
      <c r="AC112" s="34"/>
      <c r="AD112" s="34"/>
      <c r="AE112" s="34"/>
      <c r="AR112" s="151" t="s">
        <v>185</v>
      </c>
      <c r="AT112" s="151" t="s">
        <v>180</v>
      </c>
      <c r="AU112" s="151" t="s">
        <v>87</v>
      </c>
      <c r="AY112" s="19" t="s">
        <v>177</v>
      </c>
      <c r="BE112" s="152">
        <f>IF(N112="základní",J112,0)</f>
        <v>0</v>
      </c>
      <c r="BF112" s="152">
        <f>IF(N112="snížená",J112,0)</f>
        <v>0</v>
      </c>
      <c r="BG112" s="152">
        <f>IF(N112="zákl. přenesená",J112,0)</f>
        <v>0</v>
      </c>
      <c r="BH112" s="152">
        <f>IF(N112="sníž. přenesená",J112,0)</f>
        <v>0</v>
      </c>
      <c r="BI112" s="152">
        <f>IF(N112="nulová",J112,0)</f>
        <v>0</v>
      </c>
      <c r="BJ112" s="19" t="s">
        <v>85</v>
      </c>
      <c r="BK112" s="152">
        <f>ROUND(I112*H112,2)</f>
        <v>0</v>
      </c>
      <c r="BL112" s="19" t="s">
        <v>185</v>
      </c>
      <c r="BM112" s="151" t="s">
        <v>1498</v>
      </c>
    </row>
    <row r="113" spans="1:65" s="2" customFormat="1">
      <c r="A113" s="34"/>
      <c r="B113" s="35"/>
      <c r="C113" s="34"/>
      <c r="D113" s="153" t="s">
        <v>187</v>
      </c>
      <c r="E113" s="34"/>
      <c r="F113" s="154" t="s">
        <v>1499</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187</v>
      </c>
      <c r="AU113" s="19" t="s">
        <v>87</v>
      </c>
    </row>
    <row r="114" spans="1:65" s="2" customFormat="1">
      <c r="A114" s="34"/>
      <c r="B114" s="35"/>
      <c r="C114" s="34"/>
      <c r="D114" s="158" t="s">
        <v>189</v>
      </c>
      <c r="E114" s="34"/>
      <c r="F114" s="159" t="s">
        <v>1500</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189</v>
      </c>
      <c r="AU114" s="19" t="s">
        <v>87</v>
      </c>
    </row>
    <row r="115" spans="1:65" s="13" customFormat="1">
      <c r="B115" s="161"/>
      <c r="D115" s="153" t="s">
        <v>193</v>
      </c>
      <c r="E115" s="162" t="s">
        <v>3</v>
      </c>
      <c r="F115" s="163" t="s">
        <v>1501</v>
      </c>
      <c r="H115" s="164">
        <v>30.803999999999998</v>
      </c>
      <c r="I115" s="165"/>
      <c r="L115" s="161"/>
      <c r="M115" s="166"/>
      <c r="N115" s="167"/>
      <c r="O115" s="167"/>
      <c r="P115" s="167"/>
      <c r="Q115" s="167"/>
      <c r="R115" s="167"/>
      <c r="S115" s="167"/>
      <c r="T115" s="168"/>
      <c r="AT115" s="162" t="s">
        <v>193</v>
      </c>
      <c r="AU115" s="162" t="s">
        <v>87</v>
      </c>
      <c r="AV115" s="13" t="s">
        <v>87</v>
      </c>
      <c r="AW115" s="13" t="s">
        <v>36</v>
      </c>
      <c r="AX115" s="13" t="s">
        <v>85</v>
      </c>
      <c r="AY115" s="162" t="s">
        <v>177</v>
      </c>
    </row>
    <row r="116" spans="1:65" s="2" customFormat="1" ht="16.5" customHeight="1">
      <c r="A116" s="34"/>
      <c r="B116" s="139"/>
      <c r="C116" s="140" t="s">
        <v>233</v>
      </c>
      <c r="D116" s="140" t="s">
        <v>180</v>
      </c>
      <c r="E116" s="141" t="s">
        <v>1502</v>
      </c>
      <c r="F116" s="142" t="s">
        <v>1503</v>
      </c>
      <c r="G116" s="143" t="s">
        <v>808</v>
      </c>
      <c r="H116" s="144">
        <v>30.803999999999998</v>
      </c>
      <c r="I116" s="145"/>
      <c r="J116" s="146">
        <f>ROUND(I116*H116,2)</f>
        <v>0</v>
      </c>
      <c r="K116" s="142" t="s">
        <v>184</v>
      </c>
      <c r="L116" s="35"/>
      <c r="M116" s="147" t="s">
        <v>3</v>
      </c>
      <c r="N116" s="148" t="s">
        <v>48</v>
      </c>
      <c r="O116" s="55"/>
      <c r="P116" s="149">
        <f>O116*H116</f>
        <v>0</v>
      </c>
      <c r="Q116" s="149">
        <v>0</v>
      </c>
      <c r="R116" s="149">
        <f>Q116*H116</f>
        <v>0</v>
      </c>
      <c r="S116" s="149">
        <v>4.3999999999999997E-2</v>
      </c>
      <c r="T116" s="150">
        <f>S116*H116</f>
        <v>1.3553759999999999</v>
      </c>
      <c r="U116" s="34"/>
      <c r="V116" s="34"/>
      <c r="W116" s="34"/>
      <c r="X116" s="34"/>
      <c r="Y116" s="34"/>
      <c r="Z116" s="34"/>
      <c r="AA116" s="34"/>
      <c r="AB116" s="34"/>
      <c r="AC116" s="34"/>
      <c r="AD116" s="34"/>
      <c r="AE116" s="34"/>
      <c r="AR116" s="151" t="s">
        <v>185</v>
      </c>
      <c r="AT116" s="151" t="s">
        <v>180</v>
      </c>
      <c r="AU116" s="151" t="s">
        <v>87</v>
      </c>
      <c r="AY116" s="19" t="s">
        <v>177</v>
      </c>
      <c r="BE116" s="152">
        <f>IF(N116="základní",J116,0)</f>
        <v>0</v>
      </c>
      <c r="BF116" s="152">
        <f>IF(N116="snížená",J116,0)</f>
        <v>0</v>
      </c>
      <c r="BG116" s="152">
        <f>IF(N116="zákl. přenesená",J116,0)</f>
        <v>0</v>
      </c>
      <c r="BH116" s="152">
        <f>IF(N116="sníž. přenesená",J116,0)</f>
        <v>0</v>
      </c>
      <c r="BI116" s="152">
        <f>IF(N116="nulová",J116,0)</f>
        <v>0</v>
      </c>
      <c r="BJ116" s="19" t="s">
        <v>85</v>
      </c>
      <c r="BK116" s="152">
        <f>ROUND(I116*H116,2)</f>
        <v>0</v>
      </c>
      <c r="BL116" s="19" t="s">
        <v>185</v>
      </c>
      <c r="BM116" s="151" t="s">
        <v>1504</v>
      </c>
    </row>
    <row r="117" spans="1:65" s="2" customFormat="1">
      <c r="A117" s="34"/>
      <c r="B117" s="35"/>
      <c r="C117" s="34"/>
      <c r="D117" s="153" t="s">
        <v>187</v>
      </c>
      <c r="E117" s="34"/>
      <c r="F117" s="154" t="s">
        <v>1505</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187</v>
      </c>
      <c r="AU117" s="19" t="s">
        <v>87</v>
      </c>
    </row>
    <row r="118" spans="1:65" s="2" customFormat="1">
      <c r="A118" s="34"/>
      <c r="B118" s="35"/>
      <c r="C118" s="34"/>
      <c r="D118" s="158" t="s">
        <v>189</v>
      </c>
      <c r="E118" s="34"/>
      <c r="F118" s="159" t="s">
        <v>1506</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189</v>
      </c>
      <c r="AU118" s="19" t="s">
        <v>87</v>
      </c>
    </row>
    <row r="119" spans="1:65" s="2" customFormat="1" ht="16.5" customHeight="1">
      <c r="A119" s="34"/>
      <c r="B119" s="139"/>
      <c r="C119" s="140" t="s">
        <v>241</v>
      </c>
      <c r="D119" s="140" t="s">
        <v>180</v>
      </c>
      <c r="E119" s="141" t="s">
        <v>1507</v>
      </c>
      <c r="F119" s="142" t="s">
        <v>1508</v>
      </c>
      <c r="G119" s="143" t="s">
        <v>332</v>
      </c>
      <c r="H119" s="144">
        <v>308.04399999999998</v>
      </c>
      <c r="I119" s="145"/>
      <c r="J119" s="146">
        <f>ROUND(I119*H119,2)</f>
        <v>0</v>
      </c>
      <c r="K119" s="142" t="s">
        <v>184</v>
      </c>
      <c r="L119" s="35"/>
      <c r="M119" s="147" t="s">
        <v>3</v>
      </c>
      <c r="N119" s="148" t="s">
        <v>48</v>
      </c>
      <c r="O119" s="55"/>
      <c r="P119" s="149">
        <f>O119*H119</f>
        <v>0</v>
      </c>
      <c r="Q119" s="149">
        <v>0</v>
      </c>
      <c r="R119" s="149">
        <f>Q119*H119</f>
        <v>0</v>
      </c>
      <c r="S119" s="149">
        <v>5.7000000000000002E-2</v>
      </c>
      <c r="T119" s="150">
        <f>S119*H119</f>
        <v>17.558508</v>
      </c>
      <c r="U119" s="34"/>
      <c r="V119" s="34"/>
      <c r="W119" s="34"/>
      <c r="X119" s="34"/>
      <c r="Y119" s="34"/>
      <c r="Z119" s="34"/>
      <c r="AA119" s="34"/>
      <c r="AB119" s="34"/>
      <c r="AC119" s="34"/>
      <c r="AD119" s="34"/>
      <c r="AE119" s="34"/>
      <c r="AR119" s="151" t="s">
        <v>185</v>
      </c>
      <c r="AT119" s="151" t="s">
        <v>180</v>
      </c>
      <c r="AU119" s="151" t="s">
        <v>87</v>
      </c>
      <c r="AY119" s="19" t="s">
        <v>177</v>
      </c>
      <c r="BE119" s="152">
        <f>IF(N119="základní",J119,0)</f>
        <v>0</v>
      </c>
      <c r="BF119" s="152">
        <f>IF(N119="snížená",J119,0)</f>
        <v>0</v>
      </c>
      <c r="BG119" s="152">
        <f>IF(N119="zákl. přenesená",J119,0)</f>
        <v>0</v>
      </c>
      <c r="BH119" s="152">
        <f>IF(N119="sníž. přenesená",J119,0)</f>
        <v>0</v>
      </c>
      <c r="BI119" s="152">
        <f>IF(N119="nulová",J119,0)</f>
        <v>0</v>
      </c>
      <c r="BJ119" s="19" t="s">
        <v>85</v>
      </c>
      <c r="BK119" s="152">
        <f>ROUND(I119*H119,2)</f>
        <v>0</v>
      </c>
      <c r="BL119" s="19" t="s">
        <v>185</v>
      </c>
      <c r="BM119" s="151" t="s">
        <v>1509</v>
      </c>
    </row>
    <row r="120" spans="1:65" s="2" customFormat="1" ht="19.5">
      <c r="A120" s="34"/>
      <c r="B120" s="35"/>
      <c r="C120" s="34"/>
      <c r="D120" s="153" t="s">
        <v>187</v>
      </c>
      <c r="E120" s="34"/>
      <c r="F120" s="154" t="s">
        <v>1510</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187</v>
      </c>
      <c r="AU120" s="19" t="s">
        <v>87</v>
      </c>
    </row>
    <row r="121" spans="1:65" s="2" customFormat="1">
      <c r="A121" s="34"/>
      <c r="B121" s="35"/>
      <c r="C121" s="34"/>
      <c r="D121" s="158" t="s">
        <v>189</v>
      </c>
      <c r="E121" s="34"/>
      <c r="F121" s="159" t="s">
        <v>1511</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189</v>
      </c>
      <c r="AU121" s="19" t="s">
        <v>87</v>
      </c>
    </row>
    <row r="122" spans="1:65" s="2" customFormat="1" ht="29.25">
      <c r="A122" s="34"/>
      <c r="B122" s="35"/>
      <c r="C122" s="34"/>
      <c r="D122" s="153" t="s">
        <v>191</v>
      </c>
      <c r="E122" s="34"/>
      <c r="F122" s="160" t="s">
        <v>1512</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191</v>
      </c>
      <c r="AU122" s="19" t="s">
        <v>87</v>
      </c>
    </row>
    <row r="123" spans="1:65" s="13" customFormat="1">
      <c r="B123" s="161"/>
      <c r="D123" s="153" t="s">
        <v>193</v>
      </c>
      <c r="E123" s="162" t="s">
        <v>3</v>
      </c>
      <c r="F123" s="163" t="s">
        <v>1513</v>
      </c>
      <c r="H123" s="164">
        <v>308.04399999999998</v>
      </c>
      <c r="I123" s="165"/>
      <c r="L123" s="161"/>
      <c r="M123" s="166"/>
      <c r="N123" s="167"/>
      <c r="O123" s="167"/>
      <c r="P123" s="167"/>
      <c r="Q123" s="167"/>
      <c r="R123" s="167"/>
      <c r="S123" s="167"/>
      <c r="T123" s="168"/>
      <c r="AT123" s="162" t="s">
        <v>193</v>
      </c>
      <c r="AU123" s="162" t="s">
        <v>87</v>
      </c>
      <c r="AV123" s="13" t="s">
        <v>87</v>
      </c>
      <c r="AW123" s="13" t="s">
        <v>36</v>
      </c>
      <c r="AX123" s="13" t="s">
        <v>85</v>
      </c>
      <c r="AY123" s="162" t="s">
        <v>177</v>
      </c>
    </row>
    <row r="124" spans="1:65" s="2" customFormat="1" ht="16.5" customHeight="1">
      <c r="A124" s="34"/>
      <c r="B124" s="139"/>
      <c r="C124" s="140" t="s">
        <v>248</v>
      </c>
      <c r="D124" s="140" t="s">
        <v>180</v>
      </c>
      <c r="E124" s="141" t="s">
        <v>1044</v>
      </c>
      <c r="F124" s="142" t="s">
        <v>1045</v>
      </c>
      <c r="G124" s="143" t="s">
        <v>332</v>
      </c>
      <c r="H124" s="144">
        <v>57.6</v>
      </c>
      <c r="I124" s="145"/>
      <c r="J124" s="146">
        <f>ROUND(I124*H124,2)</f>
        <v>0</v>
      </c>
      <c r="K124" s="142" t="s">
        <v>184</v>
      </c>
      <c r="L124" s="35"/>
      <c r="M124" s="147" t="s">
        <v>3</v>
      </c>
      <c r="N124" s="148" t="s">
        <v>48</v>
      </c>
      <c r="O124" s="55"/>
      <c r="P124" s="149">
        <f>O124*H124</f>
        <v>0</v>
      </c>
      <c r="Q124" s="149">
        <v>0</v>
      </c>
      <c r="R124" s="149">
        <f>Q124*H124</f>
        <v>0</v>
      </c>
      <c r="S124" s="149">
        <v>7.5999999999999998E-2</v>
      </c>
      <c r="T124" s="150">
        <f>S124*H124</f>
        <v>4.3776000000000002</v>
      </c>
      <c r="U124" s="34"/>
      <c r="V124" s="34"/>
      <c r="W124" s="34"/>
      <c r="X124" s="34"/>
      <c r="Y124" s="34"/>
      <c r="Z124" s="34"/>
      <c r="AA124" s="34"/>
      <c r="AB124" s="34"/>
      <c r="AC124" s="34"/>
      <c r="AD124" s="34"/>
      <c r="AE124" s="34"/>
      <c r="AR124" s="151" t="s">
        <v>185</v>
      </c>
      <c r="AT124" s="151" t="s">
        <v>180</v>
      </c>
      <c r="AU124" s="151" t="s">
        <v>87</v>
      </c>
      <c r="AY124" s="19" t="s">
        <v>177</v>
      </c>
      <c r="BE124" s="152">
        <f>IF(N124="základní",J124,0)</f>
        <v>0</v>
      </c>
      <c r="BF124" s="152">
        <f>IF(N124="snížená",J124,0)</f>
        <v>0</v>
      </c>
      <c r="BG124" s="152">
        <f>IF(N124="zákl. přenesená",J124,0)</f>
        <v>0</v>
      </c>
      <c r="BH124" s="152">
        <f>IF(N124="sníž. přenesená",J124,0)</f>
        <v>0</v>
      </c>
      <c r="BI124" s="152">
        <f>IF(N124="nulová",J124,0)</f>
        <v>0</v>
      </c>
      <c r="BJ124" s="19" t="s">
        <v>85</v>
      </c>
      <c r="BK124" s="152">
        <f>ROUND(I124*H124,2)</f>
        <v>0</v>
      </c>
      <c r="BL124" s="19" t="s">
        <v>185</v>
      </c>
      <c r="BM124" s="151" t="s">
        <v>1514</v>
      </c>
    </row>
    <row r="125" spans="1:65" s="2" customFormat="1">
      <c r="A125" s="34"/>
      <c r="B125" s="35"/>
      <c r="C125" s="34"/>
      <c r="D125" s="153" t="s">
        <v>187</v>
      </c>
      <c r="E125" s="34"/>
      <c r="F125" s="154" t="s">
        <v>1047</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187</v>
      </c>
      <c r="AU125" s="19" t="s">
        <v>87</v>
      </c>
    </row>
    <row r="126" spans="1:65" s="2" customFormat="1">
      <c r="A126" s="34"/>
      <c r="B126" s="35"/>
      <c r="C126" s="34"/>
      <c r="D126" s="158" t="s">
        <v>189</v>
      </c>
      <c r="E126" s="34"/>
      <c r="F126" s="159" t="s">
        <v>1048</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189</v>
      </c>
      <c r="AU126" s="19" t="s">
        <v>87</v>
      </c>
    </row>
    <row r="127" spans="1:65" s="2" customFormat="1" ht="39">
      <c r="A127" s="34"/>
      <c r="B127" s="35"/>
      <c r="C127" s="34"/>
      <c r="D127" s="153" t="s">
        <v>191</v>
      </c>
      <c r="E127" s="34"/>
      <c r="F127" s="160" t="s">
        <v>1042</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191</v>
      </c>
      <c r="AU127" s="19" t="s">
        <v>87</v>
      </c>
    </row>
    <row r="128" spans="1:65" s="13" customFormat="1">
      <c r="B128" s="161"/>
      <c r="D128" s="153" t="s">
        <v>193</v>
      </c>
      <c r="E128" s="162" t="s">
        <v>3</v>
      </c>
      <c r="F128" s="163" t="s">
        <v>1515</v>
      </c>
      <c r="H128" s="164">
        <v>36</v>
      </c>
      <c r="I128" s="165"/>
      <c r="L128" s="161"/>
      <c r="M128" s="166"/>
      <c r="N128" s="167"/>
      <c r="O128" s="167"/>
      <c r="P128" s="167"/>
      <c r="Q128" s="167"/>
      <c r="R128" s="167"/>
      <c r="S128" s="167"/>
      <c r="T128" s="168"/>
      <c r="AT128" s="162" t="s">
        <v>193</v>
      </c>
      <c r="AU128" s="162" t="s">
        <v>87</v>
      </c>
      <c r="AV128" s="13" t="s">
        <v>87</v>
      </c>
      <c r="AW128" s="13" t="s">
        <v>36</v>
      </c>
      <c r="AX128" s="13" t="s">
        <v>77</v>
      </c>
      <c r="AY128" s="162" t="s">
        <v>177</v>
      </c>
    </row>
    <row r="129" spans="1:65" s="13" customFormat="1">
      <c r="B129" s="161"/>
      <c r="D129" s="153" t="s">
        <v>193</v>
      </c>
      <c r="E129" s="162" t="s">
        <v>3</v>
      </c>
      <c r="F129" s="163" t="s">
        <v>1516</v>
      </c>
      <c r="H129" s="164">
        <v>4.8</v>
      </c>
      <c r="I129" s="165"/>
      <c r="L129" s="161"/>
      <c r="M129" s="166"/>
      <c r="N129" s="167"/>
      <c r="O129" s="167"/>
      <c r="P129" s="167"/>
      <c r="Q129" s="167"/>
      <c r="R129" s="167"/>
      <c r="S129" s="167"/>
      <c r="T129" s="168"/>
      <c r="AT129" s="162" t="s">
        <v>193</v>
      </c>
      <c r="AU129" s="162" t="s">
        <v>87</v>
      </c>
      <c r="AV129" s="13" t="s">
        <v>87</v>
      </c>
      <c r="AW129" s="13" t="s">
        <v>36</v>
      </c>
      <c r="AX129" s="13" t="s">
        <v>77</v>
      </c>
      <c r="AY129" s="162" t="s">
        <v>177</v>
      </c>
    </row>
    <row r="130" spans="1:65" s="13" customFormat="1">
      <c r="B130" s="161"/>
      <c r="D130" s="153" t="s">
        <v>193</v>
      </c>
      <c r="E130" s="162" t="s">
        <v>3</v>
      </c>
      <c r="F130" s="163" t="s">
        <v>1517</v>
      </c>
      <c r="H130" s="164">
        <v>16.8</v>
      </c>
      <c r="I130" s="165"/>
      <c r="L130" s="161"/>
      <c r="M130" s="166"/>
      <c r="N130" s="167"/>
      <c r="O130" s="167"/>
      <c r="P130" s="167"/>
      <c r="Q130" s="167"/>
      <c r="R130" s="167"/>
      <c r="S130" s="167"/>
      <c r="T130" s="168"/>
      <c r="AT130" s="162" t="s">
        <v>193</v>
      </c>
      <c r="AU130" s="162" t="s">
        <v>87</v>
      </c>
      <c r="AV130" s="13" t="s">
        <v>87</v>
      </c>
      <c r="AW130" s="13" t="s">
        <v>36</v>
      </c>
      <c r="AX130" s="13" t="s">
        <v>77</v>
      </c>
      <c r="AY130" s="162" t="s">
        <v>177</v>
      </c>
    </row>
    <row r="131" spans="1:65" s="16" customFormat="1">
      <c r="B131" s="184"/>
      <c r="D131" s="153" t="s">
        <v>193</v>
      </c>
      <c r="E131" s="185" t="s">
        <v>3</v>
      </c>
      <c r="F131" s="186" t="s">
        <v>201</v>
      </c>
      <c r="H131" s="187">
        <v>57.599999999999994</v>
      </c>
      <c r="I131" s="188"/>
      <c r="L131" s="184"/>
      <c r="M131" s="189"/>
      <c r="N131" s="190"/>
      <c r="O131" s="190"/>
      <c r="P131" s="190"/>
      <c r="Q131" s="190"/>
      <c r="R131" s="190"/>
      <c r="S131" s="190"/>
      <c r="T131" s="191"/>
      <c r="AT131" s="185" t="s">
        <v>193</v>
      </c>
      <c r="AU131" s="185" t="s">
        <v>87</v>
      </c>
      <c r="AV131" s="16" t="s">
        <v>185</v>
      </c>
      <c r="AW131" s="16" t="s">
        <v>36</v>
      </c>
      <c r="AX131" s="16" t="s">
        <v>85</v>
      </c>
      <c r="AY131" s="185" t="s">
        <v>177</v>
      </c>
    </row>
    <row r="132" spans="1:65" s="2" customFormat="1" ht="21.75" customHeight="1">
      <c r="A132" s="34"/>
      <c r="B132" s="139"/>
      <c r="C132" s="140" t="s">
        <v>252</v>
      </c>
      <c r="D132" s="140" t="s">
        <v>180</v>
      </c>
      <c r="E132" s="141" t="s">
        <v>1518</v>
      </c>
      <c r="F132" s="142" t="s">
        <v>1519</v>
      </c>
      <c r="G132" s="143" t="s">
        <v>332</v>
      </c>
      <c r="H132" s="144">
        <v>115.32</v>
      </c>
      <c r="I132" s="145"/>
      <c r="J132" s="146">
        <f>ROUND(I132*H132,2)</f>
        <v>0</v>
      </c>
      <c r="K132" s="142" t="s">
        <v>184</v>
      </c>
      <c r="L132" s="35"/>
      <c r="M132" s="147" t="s">
        <v>3</v>
      </c>
      <c r="N132" s="148" t="s">
        <v>48</v>
      </c>
      <c r="O132" s="55"/>
      <c r="P132" s="149">
        <f>O132*H132</f>
        <v>0</v>
      </c>
      <c r="Q132" s="149">
        <v>0</v>
      </c>
      <c r="R132" s="149">
        <f>Q132*H132</f>
        <v>0</v>
      </c>
      <c r="S132" s="149">
        <v>4.5999999999999999E-2</v>
      </c>
      <c r="T132" s="150">
        <f>S132*H132</f>
        <v>5.3047199999999997</v>
      </c>
      <c r="U132" s="34"/>
      <c r="V132" s="34"/>
      <c r="W132" s="34"/>
      <c r="X132" s="34"/>
      <c r="Y132" s="34"/>
      <c r="Z132" s="34"/>
      <c r="AA132" s="34"/>
      <c r="AB132" s="34"/>
      <c r="AC132" s="34"/>
      <c r="AD132" s="34"/>
      <c r="AE132" s="34"/>
      <c r="AR132" s="151" t="s">
        <v>185</v>
      </c>
      <c r="AT132" s="151" t="s">
        <v>180</v>
      </c>
      <c r="AU132" s="151" t="s">
        <v>87</v>
      </c>
      <c r="AY132" s="19" t="s">
        <v>177</v>
      </c>
      <c r="BE132" s="152">
        <f>IF(N132="základní",J132,0)</f>
        <v>0</v>
      </c>
      <c r="BF132" s="152">
        <f>IF(N132="snížená",J132,0)</f>
        <v>0</v>
      </c>
      <c r="BG132" s="152">
        <f>IF(N132="zákl. přenesená",J132,0)</f>
        <v>0</v>
      </c>
      <c r="BH132" s="152">
        <f>IF(N132="sníž. přenesená",J132,0)</f>
        <v>0</v>
      </c>
      <c r="BI132" s="152">
        <f>IF(N132="nulová",J132,0)</f>
        <v>0</v>
      </c>
      <c r="BJ132" s="19" t="s">
        <v>85</v>
      </c>
      <c r="BK132" s="152">
        <f>ROUND(I132*H132,2)</f>
        <v>0</v>
      </c>
      <c r="BL132" s="19" t="s">
        <v>185</v>
      </c>
      <c r="BM132" s="151" t="s">
        <v>1520</v>
      </c>
    </row>
    <row r="133" spans="1:65" s="2" customFormat="1" ht="19.5">
      <c r="A133" s="34"/>
      <c r="B133" s="35"/>
      <c r="C133" s="34"/>
      <c r="D133" s="153" t="s">
        <v>187</v>
      </c>
      <c r="E133" s="34"/>
      <c r="F133" s="154" t="s">
        <v>1521</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187</v>
      </c>
      <c r="AU133" s="19" t="s">
        <v>87</v>
      </c>
    </row>
    <row r="134" spans="1:65" s="2" customFormat="1">
      <c r="A134" s="34"/>
      <c r="B134" s="35"/>
      <c r="C134" s="34"/>
      <c r="D134" s="158" t="s">
        <v>189</v>
      </c>
      <c r="E134" s="34"/>
      <c r="F134" s="159" t="s">
        <v>1522</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189</v>
      </c>
      <c r="AU134" s="19" t="s">
        <v>87</v>
      </c>
    </row>
    <row r="135" spans="1:65" s="2" customFormat="1" ht="29.25">
      <c r="A135" s="34"/>
      <c r="B135" s="35"/>
      <c r="C135" s="34"/>
      <c r="D135" s="153" t="s">
        <v>191</v>
      </c>
      <c r="E135" s="34"/>
      <c r="F135" s="160" t="s">
        <v>1114</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191</v>
      </c>
      <c r="AU135" s="19" t="s">
        <v>87</v>
      </c>
    </row>
    <row r="136" spans="1:65" s="13" customFormat="1">
      <c r="B136" s="161"/>
      <c r="D136" s="153" t="s">
        <v>193</v>
      </c>
      <c r="E136" s="162" t="s">
        <v>3</v>
      </c>
      <c r="F136" s="163" t="s">
        <v>1523</v>
      </c>
      <c r="H136" s="164">
        <v>90.988</v>
      </c>
      <c r="I136" s="165"/>
      <c r="L136" s="161"/>
      <c r="M136" s="166"/>
      <c r="N136" s="167"/>
      <c r="O136" s="167"/>
      <c r="P136" s="167"/>
      <c r="Q136" s="167"/>
      <c r="R136" s="167"/>
      <c r="S136" s="167"/>
      <c r="T136" s="168"/>
      <c r="AT136" s="162" t="s">
        <v>193</v>
      </c>
      <c r="AU136" s="162" t="s">
        <v>87</v>
      </c>
      <c r="AV136" s="13" t="s">
        <v>87</v>
      </c>
      <c r="AW136" s="13" t="s">
        <v>36</v>
      </c>
      <c r="AX136" s="13" t="s">
        <v>77</v>
      </c>
      <c r="AY136" s="162" t="s">
        <v>177</v>
      </c>
    </row>
    <row r="137" spans="1:65" s="13" customFormat="1">
      <c r="B137" s="161"/>
      <c r="D137" s="153" t="s">
        <v>193</v>
      </c>
      <c r="E137" s="162" t="s">
        <v>3</v>
      </c>
      <c r="F137" s="163" t="s">
        <v>1524</v>
      </c>
      <c r="H137" s="164">
        <v>24.332000000000001</v>
      </c>
      <c r="I137" s="165"/>
      <c r="L137" s="161"/>
      <c r="M137" s="166"/>
      <c r="N137" s="167"/>
      <c r="O137" s="167"/>
      <c r="P137" s="167"/>
      <c r="Q137" s="167"/>
      <c r="R137" s="167"/>
      <c r="S137" s="167"/>
      <c r="T137" s="168"/>
      <c r="AT137" s="162" t="s">
        <v>193</v>
      </c>
      <c r="AU137" s="162" t="s">
        <v>87</v>
      </c>
      <c r="AV137" s="13" t="s">
        <v>87</v>
      </c>
      <c r="AW137" s="13" t="s">
        <v>36</v>
      </c>
      <c r="AX137" s="13" t="s">
        <v>77</v>
      </c>
      <c r="AY137" s="162" t="s">
        <v>177</v>
      </c>
    </row>
    <row r="138" spans="1:65" s="16" customFormat="1">
      <c r="B138" s="184"/>
      <c r="D138" s="153" t="s">
        <v>193</v>
      </c>
      <c r="E138" s="185" t="s">
        <v>3</v>
      </c>
      <c r="F138" s="186" t="s">
        <v>201</v>
      </c>
      <c r="H138" s="187">
        <v>115.32</v>
      </c>
      <c r="I138" s="188"/>
      <c r="L138" s="184"/>
      <c r="M138" s="189"/>
      <c r="N138" s="190"/>
      <c r="O138" s="190"/>
      <c r="P138" s="190"/>
      <c r="Q138" s="190"/>
      <c r="R138" s="190"/>
      <c r="S138" s="190"/>
      <c r="T138" s="191"/>
      <c r="AT138" s="185" t="s">
        <v>193</v>
      </c>
      <c r="AU138" s="185" t="s">
        <v>87</v>
      </c>
      <c r="AV138" s="16" t="s">
        <v>185</v>
      </c>
      <c r="AW138" s="16" t="s">
        <v>36</v>
      </c>
      <c r="AX138" s="16" t="s">
        <v>85</v>
      </c>
      <c r="AY138" s="185" t="s">
        <v>177</v>
      </c>
    </row>
    <row r="139" spans="1:65" s="2" customFormat="1" ht="16.5" customHeight="1">
      <c r="A139" s="34"/>
      <c r="B139" s="139"/>
      <c r="C139" s="140" t="s">
        <v>258</v>
      </c>
      <c r="D139" s="140" t="s">
        <v>180</v>
      </c>
      <c r="E139" s="141" t="s">
        <v>1120</v>
      </c>
      <c r="F139" s="142" t="s">
        <v>1121</v>
      </c>
      <c r="G139" s="143" t="s">
        <v>332</v>
      </c>
      <c r="H139" s="144">
        <v>46.207000000000001</v>
      </c>
      <c r="I139" s="145"/>
      <c r="J139" s="146">
        <f>ROUND(I139*H139,2)</f>
        <v>0</v>
      </c>
      <c r="K139" s="142" t="s">
        <v>184</v>
      </c>
      <c r="L139" s="35"/>
      <c r="M139" s="147" t="s">
        <v>3</v>
      </c>
      <c r="N139" s="148" t="s">
        <v>48</v>
      </c>
      <c r="O139" s="55"/>
      <c r="P139" s="149">
        <f>O139*H139</f>
        <v>0</v>
      </c>
      <c r="Q139" s="149">
        <v>0</v>
      </c>
      <c r="R139" s="149">
        <f>Q139*H139</f>
        <v>0</v>
      </c>
      <c r="S139" s="149">
        <v>6.6000000000000003E-2</v>
      </c>
      <c r="T139" s="150">
        <f>S139*H139</f>
        <v>3.0496620000000001</v>
      </c>
      <c r="U139" s="34"/>
      <c r="V139" s="34"/>
      <c r="W139" s="34"/>
      <c r="X139" s="34"/>
      <c r="Y139" s="34"/>
      <c r="Z139" s="34"/>
      <c r="AA139" s="34"/>
      <c r="AB139" s="34"/>
      <c r="AC139" s="34"/>
      <c r="AD139" s="34"/>
      <c r="AE139" s="34"/>
      <c r="AR139" s="151" t="s">
        <v>185</v>
      </c>
      <c r="AT139" s="151" t="s">
        <v>180</v>
      </c>
      <c r="AU139" s="151" t="s">
        <v>87</v>
      </c>
      <c r="AY139" s="19" t="s">
        <v>177</v>
      </c>
      <c r="BE139" s="152">
        <f>IF(N139="základní",J139,0)</f>
        <v>0</v>
      </c>
      <c r="BF139" s="152">
        <f>IF(N139="snížená",J139,0)</f>
        <v>0</v>
      </c>
      <c r="BG139" s="152">
        <f>IF(N139="zákl. přenesená",J139,0)</f>
        <v>0</v>
      </c>
      <c r="BH139" s="152">
        <f>IF(N139="sníž. přenesená",J139,0)</f>
        <v>0</v>
      </c>
      <c r="BI139" s="152">
        <f>IF(N139="nulová",J139,0)</f>
        <v>0</v>
      </c>
      <c r="BJ139" s="19" t="s">
        <v>85</v>
      </c>
      <c r="BK139" s="152">
        <f>ROUND(I139*H139,2)</f>
        <v>0</v>
      </c>
      <c r="BL139" s="19" t="s">
        <v>185</v>
      </c>
      <c r="BM139" s="151" t="s">
        <v>1525</v>
      </c>
    </row>
    <row r="140" spans="1:65" s="2" customFormat="1">
      <c r="A140" s="34"/>
      <c r="B140" s="35"/>
      <c r="C140" s="34"/>
      <c r="D140" s="153" t="s">
        <v>187</v>
      </c>
      <c r="E140" s="34"/>
      <c r="F140" s="154" t="s">
        <v>1123</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187</v>
      </c>
      <c r="AU140" s="19" t="s">
        <v>87</v>
      </c>
    </row>
    <row r="141" spans="1:65" s="2" customFormat="1">
      <c r="A141" s="34"/>
      <c r="B141" s="35"/>
      <c r="C141" s="34"/>
      <c r="D141" s="158" t="s">
        <v>189</v>
      </c>
      <c r="E141" s="34"/>
      <c r="F141" s="159" t="s">
        <v>1124</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189</v>
      </c>
      <c r="AU141" s="19" t="s">
        <v>87</v>
      </c>
    </row>
    <row r="142" spans="1:65" s="2" customFormat="1" ht="39">
      <c r="A142" s="34"/>
      <c r="B142" s="35"/>
      <c r="C142" s="34"/>
      <c r="D142" s="153" t="s">
        <v>191</v>
      </c>
      <c r="E142" s="34"/>
      <c r="F142" s="160" t="s">
        <v>350</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191</v>
      </c>
      <c r="AU142" s="19" t="s">
        <v>87</v>
      </c>
    </row>
    <row r="143" spans="1:65" s="2" customFormat="1" ht="16.5" customHeight="1">
      <c r="A143" s="34"/>
      <c r="B143" s="139"/>
      <c r="C143" s="140" t="s">
        <v>265</v>
      </c>
      <c r="D143" s="140" t="s">
        <v>180</v>
      </c>
      <c r="E143" s="141" t="s">
        <v>1127</v>
      </c>
      <c r="F143" s="142" t="s">
        <v>1128</v>
      </c>
      <c r="G143" s="143" t="s">
        <v>332</v>
      </c>
      <c r="H143" s="144">
        <v>61.609000000000002</v>
      </c>
      <c r="I143" s="145"/>
      <c r="J143" s="146">
        <f>ROUND(I143*H143,2)</f>
        <v>0</v>
      </c>
      <c r="K143" s="142" t="s">
        <v>184</v>
      </c>
      <c r="L143" s="35"/>
      <c r="M143" s="147" t="s">
        <v>3</v>
      </c>
      <c r="N143" s="148" t="s">
        <v>48</v>
      </c>
      <c r="O143" s="55"/>
      <c r="P143" s="149">
        <f>O143*H143</f>
        <v>0</v>
      </c>
      <c r="Q143" s="149">
        <v>0</v>
      </c>
      <c r="R143" s="149">
        <f>Q143*H143</f>
        <v>0</v>
      </c>
      <c r="S143" s="149">
        <v>0.11</v>
      </c>
      <c r="T143" s="150">
        <f>S143*H143</f>
        <v>6.7769900000000005</v>
      </c>
      <c r="U143" s="34"/>
      <c r="V143" s="34"/>
      <c r="W143" s="34"/>
      <c r="X143" s="34"/>
      <c r="Y143" s="34"/>
      <c r="Z143" s="34"/>
      <c r="AA143" s="34"/>
      <c r="AB143" s="34"/>
      <c r="AC143" s="34"/>
      <c r="AD143" s="34"/>
      <c r="AE143" s="34"/>
      <c r="AR143" s="151" t="s">
        <v>185</v>
      </c>
      <c r="AT143" s="151" t="s">
        <v>180</v>
      </c>
      <c r="AU143" s="151" t="s">
        <v>87</v>
      </c>
      <c r="AY143" s="19" t="s">
        <v>177</v>
      </c>
      <c r="BE143" s="152">
        <f>IF(N143="základní",J143,0)</f>
        <v>0</v>
      </c>
      <c r="BF143" s="152">
        <f>IF(N143="snížená",J143,0)</f>
        <v>0</v>
      </c>
      <c r="BG143" s="152">
        <f>IF(N143="zákl. přenesená",J143,0)</f>
        <v>0</v>
      </c>
      <c r="BH143" s="152">
        <f>IF(N143="sníž. přenesená",J143,0)</f>
        <v>0</v>
      </c>
      <c r="BI143" s="152">
        <f>IF(N143="nulová",J143,0)</f>
        <v>0</v>
      </c>
      <c r="BJ143" s="19" t="s">
        <v>85</v>
      </c>
      <c r="BK143" s="152">
        <f>ROUND(I143*H143,2)</f>
        <v>0</v>
      </c>
      <c r="BL143" s="19" t="s">
        <v>185</v>
      </c>
      <c r="BM143" s="151" t="s">
        <v>1526</v>
      </c>
    </row>
    <row r="144" spans="1:65" s="2" customFormat="1">
      <c r="A144" s="34"/>
      <c r="B144" s="35"/>
      <c r="C144" s="34"/>
      <c r="D144" s="153" t="s">
        <v>187</v>
      </c>
      <c r="E144" s="34"/>
      <c r="F144" s="154" t="s">
        <v>1130</v>
      </c>
      <c r="G144" s="34"/>
      <c r="H144" s="34"/>
      <c r="I144" s="155"/>
      <c r="J144" s="34"/>
      <c r="K144" s="34"/>
      <c r="L144" s="35"/>
      <c r="M144" s="156"/>
      <c r="N144" s="157"/>
      <c r="O144" s="55"/>
      <c r="P144" s="55"/>
      <c r="Q144" s="55"/>
      <c r="R144" s="55"/>
      <c r="S144" s="55"/>
      <c r="T144" s="56"/>
      <c r="U144" s="34"/>
      <c r="V144" s="34"/>
      <c r="W144" s="34"/>
      <c r="X144" s="34"/>
      <c r="Y144" s="34"/>
      <c r="Z144" s="34"/>
      <c r="AA144" s="34"/>
      <c r="AB144" s="34"/>
      <c r="AC144" s="34"/>
      <c r="AD144" s="34"/>
      <c r="AE144" s="34"/>
      <c r="AT144" s="19" t="s">
        <v>187</v>
      </c>
      <c r="AU144" s="19" t="s">
        <v>87</v>
      </c>
    </row>
    <row r="145" spans="1:65" s="2" customFormat="1">
      <c r="A145" s="34"/>
      <c r="B145" s="35"/>
      <c r="C145" s="34"/>
      <c r="D145" s="158" t="s">
        <v>189</v>
      </c>
      <c r="E145" s="34"/>
      <c r="F145" s="159" t="s">
        <v>1131</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189</v>
      </c>
      <c r="AU145" s="19" t="s">
        <v>87</v>
      </c>
    </row>
    <row r="146" spans="1:65" s="2" customFormat="1" ht="39">
      <c r="A146" s="34"/>
      <c r="B146" s="35"/>
      <c r="C146" s="34"/>
      <c r="D146" s="153" t="s">
        <v>191</v>
      </c>
      <c r="E146" s="34"/>
      <c r="F146" s="160" t="s">
        <v>350</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191</v>
      </c>
      <c r="AU146" s="19" t="s">
        <v>87</v>
      </c>
    </row>
    <row r="147" spans="1:65" s="2" customFormat="1" ht="16.5" customHeight="1">
      <c r="A147" s="34"/>
      <c r="B147" s="139"/>
      <c r="C147" s="140" t="s">
        <v>271</v>
      </c>
      <c r="D147" s="140" t="s">
        <v>180</v>
      </c>
      <c r="E147" s="141" t="s">
        <v>367</v>
      </c>
      <c r="F147" s="142" t="s">
        <v>368</v>
      </c>
      <c r="G147" s="143" t="s">
        <v>332</v>
      </c>
      <c r="H147" s="144">
        <v>107.816</v>
      </c>
      <c r="I147" s="145"/>
      <c r="J147" s="146">
        <f>ROUND(I147*H147,2)</f>
        <v>0</v>
      </c>
      <c r="K147" s="142" t="s">
        <v>184</v>
      </c>
      <c r="L147" s="35"/>
      <c r="M147" s="147" t="s">
        <v>3</v>
      </c>
      <c r="N147" s="148" t="s">
        <v>48</v>
      </c>
      <c r="O147" s="55"/>
      <c r="P147" s="149">
        <f>O147*H147</f>
        <v>0</v>
      </c>
      <c r="Q147" s="149">
        <v>0</v>
      </c>
      <c r="R147" s="149">
        <f>Q147*H147</f>
        <v>0</v>
      </c>
      <c r="S147" s="149">
        <v>7.0000000000000007E-2</v>
      </c>
      <c r="T147" s="150">
        <f>S147*H147</f>
        <v>7.5471200000000005</v>
      </c>
      <c r="U147" s="34"/>
      <c r="V147" s="34"/>
      <c r="W147" s="34"/>
      <c r="X147" s="34"/>
      <c r="Y147" s="34"/>
      <c r="Z147" s="34"/>
      <c r="AA147" s="34"/>
      <c r="AB147" s="34"/>
      <c r="AC147" s="34"/>
      <c r="AD147" s="34"/>
      <c r="AE147" s="34"/>
      <c r="AR147" s="151" t="s">
        <v>185</v>
      </c>
      <c r="AT147" s="151" t="s">
        <v>180</v>
      </c>
      <c r="AU147" s="151" t="s">
        <v>87</v>
      </c>
      <c r="AY147" s="19" t="s">
        <v>177</v>
      </c>
      <c r="BE147" s="152">
        <f>IF(N147="základní",J147,0)</f>
        <v>0</v>
      </c>
      <c r="BF147" s="152">
        <f>IF(N147="snížená",J147,0)</f>
        <v>0</v>
      </c>
      <c r="BG147" s="152">
        <f>IF(N147="zákl. přenesená",J147,0)</f>
        <v>0</v>
      </c>
      <c r="BH147" s="152">
        <f>IF(N147="sníž. přenesená",J147,0)</f>
        <v>0</v>
      </c>
      <c r="BI147" s="152">
        <f>IF(N147="nulová",J147,0)</f>
        <v>0</v>
      </c>
      <c r="BJ147" s="19" t="s">
        <v>85</v>
      </c>
      <c r="BK147" s="152">
        <f>ROUND(I147*H147,2)</f>
        <v>0</v>
      </c>
      <c r="BL147" s="19" t="s">
        <v>185</v>
      </c>
      <c r="BM147" s="151" t="s">
        <v>1527</v>
      </c>
    </row>
    <row r="148" spans="1:65" s="2" customFormat="1">
      <c r="A148" s="34"/>
      <c r="B148" s="35"/>
      <c r="C148" s="34"/>
      <c r="D148" s="153" t="s">
        <v>187</v>
      </c>
      <c r="E148" s="34"/>
      <c r="F148" s="154" t="s">
        <v>370</v>
      </c>
      <c r="G148" s="34"/>
      <c r="H148" s="34"/>
      <c r="I148" s="155"/>
      <c r="J148" s="34"/>
      <c r="K148" s="34"/>
      <c r="L148" s="35"/>
      <c r="M148" s="156"/>
      <c r="N148" s="157"/>
      <c r="O148" s="55"/>
      <c r="P148" s="55"/>
      <c r="Q148" s="55"/>
      <c r="R148" s="55"/>
      <c r="S148" s="55"/>
      <c r="T148" s="56"/>
      <c r="U148" s="34"/>
      <c r="V148" s="34"/>
      <c r="W148" s="34"/>
      <c r="X148" s="34"/>
      <c r="Y148" s="34"/>
      <c r="Z148" s="34"/>
      <c r="AA148" s="34"/>
      <c r="AB148" s="34"/>
      <c r="AC148" s="34"/>
      <c r="AD148" s="34"/>
      <c r="AE148" s="34"/>
      <c r="AT148" s="19" t="s">
        <v>187</v>
      </c>
      <c r="AU148" s="19" t="s">
        <v>87</v>
      </c>
    </row>
    <row r="149" spans="1:65" s="2" customFormat="1">
      <c r="A149" s="34"/>
      <c r="B149" s="35"/>
      <c r="C149" s="34"/>
      <c r="D149" s="158" t="s">
        <v>189</v>
      </c>
      <c r="E149" s="34"/>
      <c r="F149" s="159" t="s">
        <v>371</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189</v>
      </c>
      <c r="AU149" s="19" t="s">
        <v>87</v>
      </c>
    </row>
    <row r="150" spans="1:65" s="2" customFormat="1" ht="58.5">
      <c r="A150" s="34"/>
      <c r="B150" s="35"/>
      <c r="C150" s="34"/>
      <c r="D150" s="153" t="s">
        <v>191</v>
      </c>
      <c r="E150" s="34"/>
      <c r="F150" s="160" t="s">
        <v>372</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191</v>
      </c>
      <c r="AU150" s="19" t="s">
        <v>87</v>
      </c>
    </row>
    <row r="151" spans="1:65" s="2" customFormat="1" ht="16.5" customHeight="1">
      <c r="A151" s="34"/>
      <c r="B151" s="139"/>
      <c r="C151" s="140" t="s">
        <v>277</v>
      </c>
      <c r="D151" s="140" t="s">
        <v>180</v>
      </c>
      <c r="E151" s="141" t="s">
        <v>378</v>
      </c>
      <c r="F151" s="142" t="s">
        <v>379</v>
      </c>
      <c r="G151" s="143" t="s">
        <v>332</v>
      </c>
      <c r="H151" s="144">
        <v>107.816</v>
      </c>
      <c r="I151" s="145"/>
      <c r="J151" s="146">
        <f>ROUND(I151*H151,2)</f>
        <v>0</v>
      </c>
      <c r="K151" s="142" t="s">
        <v>184</v>
      </c>
      <c r="L151" s="35"/>
      <c r="M151" s="147" t="s">
        <v>3</v>
      </c>
      <c r="N151" s="148" t="s">
        <v>48</v>
      </c>
      <c r="O151" s="55"/>
      <c r="P151" s="149">
        <f>O151*H151</f>
        <v>0</v>
      </c>
      <c r="Q151" s="149">
        <v>0</v>
      </c>
      <c r="R151" s="149">
        <f>Q151*H151</f>
        <v>0</v>
      </c>
      <c r="S151" s="149">
        <v>0</v>
      </c>
      <c r="T151" s="150">
        <f>S151*H151</f>
        <v>0</v>
      </c>
      <c r="U151" s="34"/>
      <c r="V151" s="34"/>
      <c r="W151" s="34"/>
      <c r="X151" s="34"/>
      <c r="Y151" s="34"/>
      <c r="Z151" s="34"/>
      <c r="AA151" s="34"/>
      <c r="AB151" s="34"/>
      <c r="AC151" s="34"/>
      <c r="AD151" s="34"/>
      <c r="AE151" s="34"/>
      <c r="AR151" s="151" t="s">
        <v>185</v>
      </c>
      <c r="AT151" s="151" t="s">
        <v>180</v>
      </c>
      <c r="AU151" s="151" t="s">
        <v>87</v>
      </c>
      <c r="AY151" s="19" t="s">
        <v>177</v>
      </c>
      <c r="BE151" s="152">
        <f>IF(N151="základní",J151,0)</f>
        <v>0</v>
      </c>
      <c r="BF151" s="152">
        <f>IF(N151="snížená",J151,0)</f>
        <v>0</v>
      </c>
      <c r="BG151" s="152">
        <f>IF(N151="zákl. přenesená",J151,0)</f>
        <v>0</v>
      </c>
      <c r="BH151" s="152">
        <f>IF(N151="sníž. přenesená",J151,0)</f>
        <v>0</v>
      </c>
      <c r="BI151" s="152">
        <f>IF(N151="nulová",J151,0)</f>
        <v>0</v>
      </c>
      <c r="BJ151" s="19" t="s">
        <v>85</v>
      </c>
      <c r="BK151" s="152">
        <f>ROUND(I151*H151,2)</f>
        <v>0</v>
      </c>
      <c r="BL151" s="19" t="s">
        <v>185</v>
      </c>
      <c r="BM151" s="151" t="s">
        <v>1528</v>
      </c>
    </row>
    <row r="152" spans="1:65" s="2" customFormat="1">
      <c r="A152" s="34"/>
      <c r="B152" s="35"/>
      <c r="C152" s="34"/>
      <c r="D152" s="153" t="s">
        <v>187</v>
      </c>
      <c r="E152" s="34"/>
      <c r="F152" s="154" t="s">
        <v>381</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187</v>
      </c>
      <c r="AU152" s="19" t="s">
        <v>87</v>
      </c>
    </row>
    <row r="153" spans="1:65" s="2" customFormat="1">
      <c r="A153" s="34"/>
      <c r="B153" s="35"/>
      <c r="C153" s="34"/>
      <c r="D153" s="158" t="s">
        <v>189</v>
      </c>
      <c r="E153" s="34"/>
      <c r="F153" s="159" t="s">
        <v>382</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189</v>
      </c>
      <c r="AU153" s="19" t="s">
        <v>87</v>
      </c>
    </row>
    <row r="154" spans="1:65" s="2" customFormat="1" ht="58.5">
      <c r="A154" s="34"/>
      <c r="B154" s="35"/>
      <c r="C154" s="34"/>
      <c r="D154" s="153" t="s">
        <v>191</v>
      </c>
      <c r="E154" s="34"/>
      <c r="F154" s="160" t="s">
        <v>383</v>
      </c>
      <c r="G154" s="34"/>
      <c r="H154" s="34"/>
      <c r="I154" s="155"/>
      <c r="J154" s="34"/>
      <c r="K154" s="34"/>
      <c r="L154" s="35"/>
      <c r="M154" s="156"/>
      <c r="N154" s="157"/>
      <c r="O154" s="55"/>
      <c r="P154" s="55"/>
      <c r="Q154" s="55"/>
      <c r="R154" s="55"/>
      <c r="S154" s="55"/>
      <c r="T154" s="56"/>
      <c r="U154" s="34"/>
      <c r="V154" s="34"/>
      <c r="W154" s="34"/>
      <c r="X154" s="34"/>
      <c r="Y154" s="34"/>
      <c r="Z154" s="34"/>
      <c r="AA154" s="34"/>
      <c r="AB154" s="34"/>
      <c r="AC154" s="34"/>
      <c r="AD154" s="34"/>
      <c r="AE154" s="34"/>
      <c r="AT154" s="19" t="s">
        <v>191</v>
      </c>
      <c r="AU154" s="19" t="s">
        <v>87</v>
      </c>
    </row>
    <row r="155" spans="1:65" s="2" customFormat="1" ht="16.5" customHeight="1">
      <c r="A155" s="34"/>
      <c r="B155" s="139"/>
      <c r="C155" s="140" t="s">
        <v>283</v>
      </c>
      <c r="D155" s="140" t="s">
        <v>180</v>
      </c>
      <c r="E155" s="141" t="s">
        <v>1151</v>
      </c>
      <c r="F155" s="142" t="s">
        <v>1152</v>
      </c>
      <c r="G155" s="143" t="s">
        <v>332</v>
      </c>
      <c r="H155" s="144">
        <v>46.207000000000001</v>
      </c>
      <c r="I155" s="145"/>
      <c r="J155" s="146">
        <f>ROUND(I155*H155,2)</f>
        <v>0</v>
      </c>
      <c r="K155" s="142" t="s">
        <v>184</v>
      </c>
      <c r="L155" s="35"/>
      <c r="M155" s="147" t="s">
        <v>3</v>
      </c>
      <c r="N155" s="148" t="s">
        <v>48</v>
      </c>
      <c r="O155" s="55"/>
      <c r="P155" s="149">
        <f>O155*H155</f>
        <v>0</v>
      </c>
      <c r="Q155" s="149">
        <v>4.0289999999999999E-2</v>
      </c>
      <c r="R155" s="149">
        <f>Q155*H155</f>
        <v>1.86168003</v>
      </c>
      <c r="S155" s="149">
        <v>0</v>
      </c>
      <c r="T155" s="150">
        <f>S155*H155</f>
        <v>0</v>
      </c>
      <c r="U155" s="34"/>
      <c r="V155" s="34"/>
      <c r="W155" s="34"/>
      <c r="X155" s="34"/>
      <c r="Y155" s="34"/>
      <c r="Z155" s="34"/>
      <c r="AA155" s="34"/>
      <c r="AB155" s="34"/>
      <c r="AC155" s="34"/>
      <c r="AD155" s="34"/>
      <c r="AE155" s="34"/>
      <c r="AR155" s="151" t="s">
        <v>185</v>
      </c>
      <c r="AT155" s="151" t="s">
        <v>180</v>
      </c>
      <c r="AU155" s="151" t="s">
        <v>87</v>
      </c>
      <c r="AY155" s="19" t="s">
        <v>177</v>
      </c>
      <c r="BE155" s="152">
        <f>IF(N155="základní",J155,0)</f>
        <v>0</v>
      </c>
      <c r="BF155" s="152">
        <f>IF(N155="snížená",J155,0)</f>
        <v>0</v>
      </c>
      <c r="BG155" s="152">
        <f>IF(N155="zákl. přenesená",J155,0)</f>
        <v>0</v>
      </c>
      <c r="BH155" s="152">
        <f>IF(N155="sníž. přenesená",J155,0)</f>
        <v>0</v>
      </c>
      <c r="BI155" s="152">
        <f>IF(N155="nulová",J155,0)</f>
        <v>0</v>
      </c>
      <c r="BJ155" s="19" t="s">
        <v>85</v>
      </c>
      <c r="BK155" s="152">
        <f>ROUND(I155*H155,2)</f>
        <v>0</v>
      </c>
      <c r="BL155" s="19" t="s">
        <v>185</v>
      </c>
      <c r="BM155" s="151" t="s">
        <v>1529</v>
      </c>
    </row>
    <row r="156" spans="1:65" s="2" customFormat="1">
      <c r="A156" s="34"/>
      <c r="B156" s="35"/>
      <c r="C156" s="34"/>
      <c r="D156" s="153" t="s">
        <v>187</v>
      </c>
      <c r="E156" s="34"/>
      <c r="F156" s="154" t="s">
        <v>1154</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187</v>
      </c>
      <c r="AU156" s="19" t="s">
        <v>87</v>
      </c>
    </row>
    <row r="157" spans="1:65" s="2" customFormat="1">
      <c r="A157" s="34"/>
      <c r="B157" s="35"/>
      <c r="C157" s="34"/>
      <c r="D157" s="158" t="s">
        <v>189</v>
      </c>
      <c r="E157" s="34"/>
      <c r="F157" s="159" t="s">
        <v>1155</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189</v>
      </c>
      <c r="AU157" s="19" t="s">
        <v>87</v>
      </c>
    </row>
    <row r="158" spans="1:65" s="2" customFormat="1" ht="107.25">
      <c r="A158" s="34"/>
      <c r="B158" s="35"/>
      <c r="C158" s="34"/>
      <c r="D158" s="153" t="s">
        <v>191</v>
      </c>
      <c r="E158" s="34"/>
      <c r="F158" s="160" t="s">
        <v>396</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191</v>
      </c>
      <c r="AU158" s="19" t="s">
        <v>87</v>
      </c>
    </row>
    <row r="159" spans="1:65" s="14" customFormat="1">
      <c r="B159" s="169"/>
      <c r="D159" s="153" t="s">
        <v>193</v>
      </c>
      <c r="E159" s="170" t="s">
        <v>3</v>
      </c>
      <c r="F159" s="171" t="s">
        <v>1530</v>
      </c>
      <c r="H159" s="170" t="s">
        <v>3</v>
      </c>
      <c r="I159" s="172"/>
      <c r="L159" s="169"/>
      <c r="M159" s="173"/>
      <c r="N159" s="174"/>
      <c r="O159" s="174"/>
      <c r="P159" s="174"/>
      <c r="Q159" s="174"/>
      <c r="R159" s="174"/>
      <c r="S159" s="174"/>
      <c r="T159" s="175"/>
      <c r="AT159" s="170" t="s">
        <v>193</v>
      </c>
      <c r="AU159" s="170" t="s">
        <v>87</v>
      </c>
      <c r="AV159" s="14" t="s">
        <v>85</v>
      </c>
      <c r="AW159" s="14" t="s">
        <v>36</v>
      </c>
      <c r="AX159" s="14" t="s">
        <v>77</v>
      </c>
      <c r="AY159" s="170" t="s">
        <v>177</v>
      </c>
    </row>
    <row r="160" spans="1:65" s="13" customFormat="1">
      <c r="B160" s="161"/>
      <c r="D160" s="153" t="s">
        <v>193</v>
      </c>
      <c r="E160" s="162" t="s">
        <v>3</v>
      </c>
      <c r="F160" s="163" t="s">
        <v>1531</v>
      </c>
      <c r="H160" s="164">
        <v>46.207000000000001</v>
      </c>
      <c r="I160" s="165"/>
      <c r="L160" s="161"/>
      <c r="M160" s="166"/>
      <c r="N160" s="167"/>
      <c r="O160" s="167"/>
      <c r="P160" s="167"/>
      <c r="Q160" s="167"/>
      <c r="R160" s="167"/>
      <c r="S160" s="167"/>
      <c r="T160" s="168"/>
      <c r="AT160" s="162" t="s">
        <v>193</v>
      </c>
      <c r="AU160" s="162" t="s">
        <v>87</v>
      </c>
      <c r="AV160" s="13" t="s">
        <v>87</v>
      </c>
      <c r="AW160" s="13" t="s">
        <v>36</v>
      </c>
      <c r="AX160" s="13" t="s">
        <v>85</v>
      </c>
      <c r="AY160" s="162" t="s">
        <v>177</v>
      </c>
    </row>
    <row r="161" spans="1:65" s="2" customFormat="1" ht="16.5" customHeight="1">
      <c r="A161" s="34"/>
      <c r="B161" s="139"/>
      <c r="C161" s="140" t="s">
        <v>9</v>
      </c>
      <c r="D161" s="140" t="s">
        <v>180</v>
      </c>
      <c r="E161" s="141" t="s">
        <v>1159</v>
      </c>
      <c r="F161" s="142" t="s">
        <v>1160</v>
      </c>
      <c r="G161" s="143" t="s">
        <v>332</v>
      </c>
      <c r="H161" s="144">
        <v>61.609000000000002</v>
      </c>
      <c r="I161" s="145"/>
      <c r="J161" s="146">
        <f>ROUND(I161*H161,2)</f>
        <v>0</v>
      </c>
      <c r="K161" s="142" t="s">
        <v>184</v>
      </c>
      <c r="L161" s="35"/>
      <c r="M161" s="147" t="s">
        <v>3</v>
      </c>
      <c r="N161" s="148" t="s">
        <v>48</v>
      </c>
      <c r="O161" s="55"/>
      <c r="P161" s="149">
        <f>O161*H161</f>
        <v>0</v>
      </c>
      <c r="Q161" s="149">
        <v>8.3739999999999995E-2</v>
      </c>
      <c r="R161" s="149">
        <f>Q161*H161</f>
        <v>5.1591376599999998</v>
      </c>
      <c r="S161" s="149">
        <v>0</v>
      </c>
      <c r="T161" s="150">
        <f>S161*H161</f>
        <v>0</v>
      </c>
      <c r="U161" s="34"/>
      <c r="V161" s="34"/>
      <c r="W161" s="34"/>
      <c r="X161" s="34"/>
      <c r="Y161" s="34"/>
      <c r="Z161" s="34"/>
      <c r="AA161" s="34"/>
      <c r="AB161" s="34"/>
      <c r="AC161" s="34"/>
      <c r="AD161" s="34"/>
      <c r="AE161" s="34"/>
      <c r="AR161" s="151" t="s">
        <v>185</v>
      </c>
      <c r="AT161" s="151" t="s">
        <v>180</v>
      </c>
      <c r="AU161" s="151" t="s">
        <v>87</v>
      </c>
      <c r="AY161" s="19" t="s">
        <v>177</v>
      </c>
      <c r="BE161" s="152">
        <f>IF(N161="základní",J161,0)</f>
        <v>0</v>
      </c>
      <c r="BF161" s="152">
        <f>IF(N161="snížená",J161,0)</f>
        <v>0</v>
      </c>
      <c r="BG161" s="152">
        <f>IF(N161="zákl. přenesená",J161,0)</f>
        <v>0</v>
      </c>
      <c r="BH161" s="152">
        <f>IF(N161="sníž. přenesená",J161,0)</f>
        <v>0</v>
      </c>
      <c r="BI161" s="152">
        <f>IF(N161="nulová",J161,0)</f>
        <v>0</v>
      </c>
      <c r="BJ161" s="19" t="s">
        <v>85</v>
      </c>
      <c r="BK161" s="152">
        <f>ROUND(I161*H161,2)</f>
        <v>0</v>
      </c>
      <c r="BL161" s="19" t="s">
        <v>185</v>
      </c>
      <c r="BM161" s="151" t="s">
        <v>1532</v>
      </c>
    </row>
    <row r="162" spans="1:65" s="2" customFormat="1">
      <c r="A162" s="34"/>
      <c r="B162" s="35"/>
      <c r="C162" s="34"/>
      <c r="D162" s="153" t="s">
        <v>187</v>
      </c>
      <c r="E162" s="34"/>
      <c r="F162" s="154" t="s">
        <v>1162</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187</v>
      </c>
      <c r="AU162" s="19" t="s">
        <v>87</v>
      </c>
    </row>
    <row r="163" spans="1:65" s="2" customFormat="1">
      <c r="A163" s="34"/>
      <c r="B163" s="35"/>
      <c r="C163" s="34"/>
      <c r="D163" s="158" t="s">
        <v>189</v>
      </c>
      <c r="E163" s="34"/>
      <c r="F163" s="159" t="s">
        <v>1163</v>
      </c>
      <c r="G163" s="34"/>
      <c r="H163" s="34"/>
      <c r="I163" s="155"/>
      <c r="J163" s="34"/>
      <c r="K163" s="34"/>
      <c r="L163" s="35"/>
      <c r="M163" s="156"/>
      <c r="N163" s="157"/>
      <c r="O163" s="55"/>
      <c r="P163" s="55"/>
      <c r="Q163" s="55"/>
      <c r="R163" s="55"/>
      <c r="S163" s="55"/>
      <c r="T163" s="56"/>
      <c r="U163" s="34"/>
      <c r="V163" s="34"/>
      <c r="W163" s="34"/>
      <c r="X163" s="34"/>
      <c r="Y163" s="34"/>
      <c r="Z163" s="34"/>
      <c r="AA163" s="34"/>
      <c r="AB163" s="34"/>
      <c r="AC163" s="34"/>
      <c r="AD163" s="34"/>
      <c r="AE163" s="34"/>
      <c r="AT163" s="19" t="s">
        <v>189</v>
      </c>
      <c r="AU163" s="19" t="s">
        <v>87</v>
      </c>
    </row>
    <row r="164" spans="1:65" s="2" customFormat="1" ht="107.25">
      <c r="A164" s="34"/>
      <c r="B164" s="35"/>
      <c r="C164" s="34"/>
      <c r="D164" s="153" t="s">
        <v>191</v>
      </c>
      <c r="E164" s="34"/>
      <c r="F164" s="160" t="s">
        <v>396</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191</v>
      </c>
      <c r="AU164" s="19" t="s">
        <v>87</v>
      </c>
    </row>
    <row r="165" spans="1:65" s="14" customFormat="1">
      <c r="B165" s="169"/>
      <c r="D165" s="153" t="s">
        <v>193</v>
      </c>
      <c r="E165" s="170" t="s">
        <v>3</v>
      </c>
      <c r="F165" s="171" t="s">
        <v>1533</v>
      </c>
      <c r="H165" s="170" t="s">
        <v>3</v>
      </c>
      <c r="I165" s="172"/>
      <c r="L165" s="169"/>
      <c r="M165" s="173"/>
      <c r="N165" s="174"/>
      <c r="O165" s="174"/>
      <c r="P165" s="174"/>
      <c r="Q165" s="174"/>
      <c r="R165" s="174"/>
      <c r="S165" s="174"/>
      <c r="T165" s="175"/>
      <c r="AT165" s="170" t="s">
        <v>193</v>
      </c>
      <c r="AU165" s="170" t="s">
        <v>87</v>
      </c>
      <c r="AV165" s="14" t="s">
        <v>85</v>
      </c>
      <c r="AW165" s="14" t="s">
        <v>36</v>
      </c>
      <c r="AX165" s="14" t="s">
        <v>77</v>
      </c>
      <c r="AY165" s="170" t="s">
        <v>177</v>
      </c>
    </row>
    <row r="166" spans="1:65" s="13" customFormat="1">
      <c r="B166" s="161"/>
      <c r="D166" s="153" t="s">
        <v>193</v>
      </c>
      <c r="E166" s="162" t="s">
        <v>3</v>
      </c>
      <c r="F166" s="163" t="s">
        <v>1534</v>
      </c>
      <c r="H166" s="164">
        <v>61.609000000000002</v>
      </c>
      <c r="I166" s="165"/>
      <c r="L166" s="161"/>
      <c r="M166" s="166"/>
      <c r="N166" s="167"/>
      <c r="O166" s="167"/>
      <c r="P166" s="167"/>
      <c r="Q166" s="167"/>
      <c r="R166" s="167"/>
      <c r="S166" s="167"/>
      <c r="T166" s="168"/>
      <c r="AT166" s="162" t="s">
        <v>193</v>
      </c>
      <c r="AU166" s="162" t="s">
        <v>87</v>
      </c>
      <c r="AV166" s="13" t="s">
        <v>87</v>
      </c>
      <c r="AW166" s="13" t="s">
        <v>36</v>
      </c>
      <c r="AX166" s="13" t="s">
        <v>85</v>
      </c>
      <c r="AY166" s="162" t="s">
        <v>177</v>
      </c>
    </row>
    <row r="167" spans="1:65" s="2" customFormat="1" ht="16.5" customHeight="1">
      <c r="A167" s="34"/>
      <c r="B167" s="139"/>
      <c r="C167" s="140" t="s">
        <v>237</v>
      </c>
      <c r="D167" s="140" t="s">
        <v>180</v>
      </c>
      <c r="E167" s="141" t="s">
        <v>1535</v>
      </c>
      <c r="F167" s="142" t="s">
        <v>1536</v>
      </c>
      <c r="G167" s="143" t="s">
        <v>332</v>
      </c>
      <c r="H167" s="144">
        <v>107.815</v>
      </c>
      <c r="I167" s="145"/>
      <c r="J167" s="146">
        <f>ROUND(I167*H167,2)</f>
        <v>0</v>
      </c>
      <c r="K167" s="142" t="s">
        <v>184</v>
      </c>
      <c r="L167" s="35"/>
      <c r="M167" s="147" t="s">
        <v>3</v>
      </c>
      <c r="N167" s="148" t="s">
        <v>48</v>
      </c>
      <c r="O167" s="55"/>
      <c r="P167" s="149">
        <f>O167*H167</f>
        <v>0</v>
      </c>
      <c r="Q167" s="149">
        <v>3.5899999999999999E-3</v>
      </c>
      <c r="R167" s="149">
        <f>Q167*H167</f>
        <v>0.38705584999999998</v>
      </c>
      <c r="S167" s="149">
        <v>0</v>
      </c>
      <c r="T167" s="150">
        <f>S167*H167</f>
        <v>0</v>
      </c>
      <c r="U167" s="34"/>
      <c r="V167" s="34"/>
      <c r="W167" s="34"/>
      <c r="X167" s="34"/>
      <c r="Y167" s="34"/>
      <c r="Z167" s="34"/>
      <c r="AA167" s="34"/>
      <c r="AB167" s="34"/>
      <c r="AC167" s="34"/>
      <c r="AD167" s="34"/>
      <c r="AE167" s="34"/>
      <c r="AR167" s="151" t="s">
        <v>185</v>
      </c>
      <c r="AT167" s="151" t="s">
        <v>180</v>
      </c>
      <c r="AU167" s="151" t="s">
        <v>87</v>
      </c>
      <c r="AY167" s="19" t="s">
        <v>177</v>
      </c>
      <c r="BE167" s="152">
        <f>IF(N167="základní",J167,0)</f>
        <v>0</v>
      </c>
      <c r="BF167" s="152">
        <f>IF(N167="snížená",J167,0)</f>
        <v>0</v>
      </c>
      <c r="BG167" s="152">
        <f>IF(N167="zákl. přenesená",J167,0)</f>
        <v>0</v>
      </c>
      <c r="BH167" s="152">
        <f>IF(N167="sníž. přenesená",J167,0)</f>
        <v>0</v>
      </c>
      <c r="BI167" s="152">
        <f>IF(N167="nulová",J167,0)</f>
        <v>0</v>
      </c>
      <c r="BJ167" s="19" t="s">
        <v>85</v>
      </c>
      <c r="BK167" s="152">
        <f>ROUND(I167*H167,2)</f>
        <v>0</v>
      </c>
      <c r="BL167" s="19" t="s">
        <v>185</v>
      </c>
      <c r="BM167" s="151" t="s">
        <v>1537</v>
      </c>
    </row>
    <row r="168" spans="1:65" s="2" customFormat="1">
      <c r="A168" s="34"/>
      <c r="B168" s="35"/>
      <c r="C168" s="34"/>
      <c r="D168" s="153" t="s">
        <v>187</v>
      </c>
      <c r="E168" s="34"/>
      <c r="F168" s="154" t="s">
        <v>1538</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187</v>
      </c>
      <c r="AU168" s="19" t="s">
        <v>87</v>
      </c>
    </row>
    <row r="169" spans="1:65" s="2" customFormat="1">
      <c r="A169" s="34"/>
      <c r="B169" s="35"/>
      <c r="C169" s="34"/>
      <c r="D169" s="158" t="s">
        <v>189</v>
      </c>
      <c r="E169" s="34"/>
      <c r="F169" s="159" t="s">
        <v>1539</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189</v>
      </c>
      <c r="AU169" s="19" t="s">
        <v>87</v>
      </c>
    </row>
    <row r="170" spans="1:65" s="2" customFormat="1" ht="29.25">
      <c r="A170" s="34"/>
      <c r="B170" s="35"/>
      <c r="C170" s="34"/>
      <c r="D170" s="153" t="s">
        <v>191</v>
      </c>
      <c r="E170" s="34"/>
      <c r="F170" s="160" t="s">
        <v>448</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191</v>
      </c>
      <c r="AU170" s="19" t="s">
        <v>87</v>
      </c>
    </row>
    <row r="171" spans="1:65" s="13" customFormat="1">
      <c r="B171" s="161"/>
      <c r="D171" s="153" t="s">
        <v>193</v>
      </c>
      <c r="E171" s="162" t="s">
        <v>3</v>
      </c>
      <c r="F171" s="163" t="s">
        <v>1540</v>
      </c>
      <c r="H171" s="164">
        <v>107.815</v>
      </c>
      <c r="I171" s="165"/>
      <c r="L171" s="161"/>
      <c r="M171" s="166"/>
      <c r="N171" s="167"/>
      <c r="O171" s="167"/>
      <c r="P171" s="167"/>
      <c r="Q171" s="167"/>
      <c r="R171" s="167"/>
      <c r="S171" s="167"/>
      <c r="T171" s="168"/>
      <c r="AT171" s="162" t="s">
        <v>193</v>
      </c>
      <c r="AU171" s="162" t="s">
        <v>87</v>
      </c>
      <c r="AV171" s="13" t="s">
        <v>87</v>
      </c>
      <c r="AW171" s="13" t="s">
        <v>36</v>
      </c>
      <c r="AX171" s="13" t="s">
        <v>85</v>
      </c>
      <c r="AY171" s="162" t="s">
        <v>177</v>
      </c>
    </row>
    <row r="172" spans="1:65" s="2" customFormat="1" ht="16.5" customHeight="1">
      <c r="A172" s="34"/>
      <c r="B172" s="139"/>
      <c r="C172" s="140" t="s">
        <v>302</v>
      </c>
      <c r="D172" s="140" t="s">
        <v>180</v>
      </c>
      <c r="E172" s="141" t="s">
        <v>1170</v>
      </c>
      <c r="F172" s="142" t="s">
        <v>1171</v>
      </c>
      <c r="G172" s="143" t="s">
        <v>332</v>
      </c>
      <c r="H172" s="144">
        <v>61.609000000000002</v>
      </c>
      <c r="I172" s="145"/>
      <c r="J172" s="146">
        <f>ROUND(I172*H172,2)</f>
        <v>0</v>
      </c>
      <c r="K172" s="142" t="s">
        <v>184</v>
      </c>
      <c r="L172" s="35"/>
      <c r="M172" s="147" t="s">
        <v>3</v>
      </c>
      <c r="N172" s="148" t="s">
        <v>48</v>
      </c>
      <c r="O172" s="55"/>
      <c r="P172" s="149">
        <f>O172*H172</f>
        <v>0</v>
      </c>
      <c r="Q172" s="149">
        <v>1.34E-3</v>
      </c>
      <c r="R172" s="149">
        <f>Q172*H172</f>
        <v>8.2556060000000001E-2</v>
      </c>
      <c r="S172" s="149">
        <v>0</v>
      </c>
      <c r="T172" s="150">
        <f>S172*H172</f>
        <v>0</v>
      </c>
      <c r="U172" s="34"/>
      <c r="V172" s="34"/>
      <c r="W172" s="34"/>
      <c r="X172" s="34"/>
      <c r="Y172" s="34"/>
      <c r="Z172" s="34"/>
      <c r="AA172" s="34"/>
      <c r="AB172" s="34"/>
      <c r="AC172" s="34"/>
      <c r="AD172" s="34"/>
      <c r="AE172" s="34"/>
      <c r="AR172" s="151" t="s">
        <v>185</v>
      </c>
      <c r="AT172" s="151" t="s">
        <v>180</v>
      </c>
      <c r="AU172" s="151" t="s">
        <v>87</v>
      </c>
      <c r="AY172" s="19" t="s">
        <v>177</v>
      </c>
      <c r="BE172" s="152">
        <f>IF(N172="základní",J172,0)</f>
        <v>0</v>
      </c>
      <c r="BF172" s="152">
        <f>IF(N172="snížená",J172,0)</f>
        <v>0</v>
      </c>
      <c r="BG172" s="152">
        <f>IF(N172="zákl. přenesená",J172,0)</f>
        <v>0</v>
      </c>
      <c r="BH172" s="152">
        <f>IF(N172="sníž. přenesená",J172,0)</f>
        <v>0</v>
      </c>
      <c r="BI172" s="152">
        <f>IF(N172="nulová",J172,0)</f>
        <v>0</v>
      </c>
      <c r="BJ172" s="19" t="s">
        <v>85</v>
      </c>
      <c r="BK172" s="152">
        <f>ROUND(I172*H172,2)</f>
        <v>0</v>
      </c>
      <c r="BL172" s="19" t="s">
        <v>185</v>
      </c>
      <c r="BM172" s="151" t="s">
        <v>1541</v>
      </c>
    </row>
    <row r="173" spans="1:65" s="2" customFormat="1">
      <c r="A173" s="34"/>
      <c r="B173" s="35"/>
      <c r="C173" s="34"/>
      <c r="D173" s="153" t="s">
        <v>187</v>
      </c>
      <c r="E173" s="34"/>
      <c r="F173" s="154" t="s">
        <v>1173</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187</v>
      </c>
      <c r="AU173" s="19" t="s">
        <v>87</v>
      </c>
    </row>
    <row r="174" spans="1:65" s="2" customFormat="1">
      <c r="A174" s="34"/>
      <c r="B174" s="35"/>
      <c r="C174" s="34"/>
      <c r="D174" s="158" t="s">
        <v>189</v>
      </c>
      <c r="E174" s="34"/>
      <c r="F174" s="159" t="s">
        <v>1174</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189</v>
      </c>
      <c r="AU174" s="19" t="s">
        <v>87</v>
      </c>
    </row>
    <row r="175" spans="1:65" s="2" customFormat="1" ht="39">
      <c r="A175" s="34"/>
      <c r="B175" s="35"/>
      <c r="C175" s="34"/>
      <c r="D175" s="153" t="s">
        <v>191</v>
      </c>
      <c r="E175" s="34"/>
      <c r="F175" s="160" t="s">
        <v>459</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191</v>
      </c>
      <c r="AU175" s="19" t="s">
        <v>87</v>
      </c>
    </row>
    <row r="176" spans="1:65" s="2" customFormat="1" ht="16.5" customHeight="1">
      <c r="A176" s="34"/>
      <c r="B176" s="139"/>
      <c r="C176" s="140" t="s">
        <v>315</v>
      </c>
      <c r="D176" s="140" t="s">
        <v>180</v>
      </c>
      <c r="E176" s="141" t="s">
        <v>462</v>
      </c>
      <c r="F176" s="142" t="s">
        <v>463</v>
      </c>
      <c r="G176" s="143" t="s">
        <v>332</v>
      </c>
      <c r="H176" s="144">
        <v>107.816</v>
      </c>
      <c r="I176" s="145"/>
      <c r="J176" s="146">
        <f>ROUND(I176*H176,2)</f>
        <v>0</v>
      </c>
      <c r="K176" s="142" t="s">
        <v>184</v>
      </c>
      <c r="L176" s="35"/>
      <c r="M176" s="147" t="s">
        <v>3</v>
      </c>
      <c r="N176" s="148" t="s">
        <v>48</v>
      </c>
      <c r="O176" s="55"/>
      <c r="P176" s="149">
        <f>O176*H176</f>
        <v>0</v>
      </c>
      <c r="Q176" s="149">
        <v>2.0999999999999999E-3</v>
      </c>
      <c r="R176" s="149">
        <f>Q176*H176</f>
        <v>0.22641359999999999</v>
      </c>
      <c r="S176" s="149">
        <v>0</v>
      </c>
      <c r="T176" s="150">
        <f>S176*H176</f>
        <v>0</v>
      </c>
      <c r="U176" s="34"/>
      <c r="V176" s="34"/>
      <c r="W176" s="34"/>
      <c r="X176" s="34"/>
      <c r="Y176" s="34"/>
      <c r="Z176" s="34"/>
      <c r="AA176" s="34"/>
      <c r="AB176" s="34"/>
      <c r="AC176" s="34"/>
      <c r="AD176" s="34"/>
      <c r="AE176" s="34"/>
      <c r="AR176" s="151" t="s">
        <v>185</v>
      </c>
      <c r="AT176" s="151" t="s">
        <v>180</v>
      </c>
      <c r="AU176" s="151" t="s">
        <v>87</v>
      </c>
      <c r="AY176" s="19" t="s">
        <v>177</v>
      </c>
      <c r="BE176" s="152">
        <f>IF(N176="základní",J176,0)</f>
        <v>0</v>
      </c>
      <c r="BF176" s="152">
        <f>IF(N176="snížená",J176,0)</f>
        <v>0</v>
      </c>
      <c r="BG176" s="152">
        <f>IF(N176="zákl. přenesená",J176,0)</f>
        <v>0</v>
      </c>
      <c r="BH176" s="152">
        <f>IF(N176="sníž. přenesená",J176,0)</f>
        <v>0</v>
      </c>
      <c r="BI176" s="152">
        <f>IF(N176="nulová",J176,0)</f>
        <v>0</v>
      </c>
      <c r="BJ176" s="19" t="s">
        <v>85</v>
      </c>
      <c r="BK176" s="152">
        <f>ROUND(I176*H176,2)</f>
        <v>0</v>
      </c>
      <c r="BL176" s="19" t="s">
        <v>185</v>
      </c>
      <c r="BM176" s="151" t="s">
        <v>1542</v>
      </c>
    </row>
    <row r="177" spans="1:65" s="2" customFormat="1">
      <c r="A177" s="34"/>
      <c r="B177" s="35"/>
      <c r="C177" s="34"/>
      <c r="D177" s="153" t="s">
        <v>187</v>
      </c>
      <c r="E177" s="34"/>
      <c r="F177" s="154" t="s">
        <v>465</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187</v>
      </c>
      <c r="AU177" s="19" t="s">
        <v>87</v>
      </c>
    </row>
    <row r="178" spans="1:65" s="2" customFormat="1">
      <c r="A178" s="34"/>
      <c r="B178" s="35"/>
      <c r="C178" s="34"/>
      <c r="D178" s="158" t="s">
        <v>189</v>
      </c>
      <c r="E178" s="34"/>
      <c r="F178" s="159" t="s">
        <v>466</v>
      </c>
      <c r="G178" s="34"/>
      <c r="H178" s="34"/>
      <c r="I178" s="155"/>
      <c r="J178" s="34"/>
      <c r="K178" s="34"/>
      <c r="L178" s="35"/>
      <c r="M178" s="156"/>
      <c r="N178" s="157"/>
      <c r="O178" s="55"/>
      <c r="P178" s="55"/>
      <c r="Q178" s="55"/>
      <c r="R178" s="55"/>
      <c r="S178" s="55"/>
      <c r="T178" s="56"/>
      <c r="U178" s="34"/>
      <c r="V178" s="34"/>
      <c r="W178" s="34"/>
      <c r="X178" s="34"/>
      <c r="Y178" s="34"/>
      <c r="Z178" s="34"/>
      <c r="AA178" s="34"/>
      <c r="AB178" s="34"/>
      <c r="AC178" s="34"/>
      <c r="AD178" s="34"/>
      <c r="AE178" s="34"/>
      <c r="AT178" s="19" t="s">
        <v>189</v>
      </c>
      <c r="AU178" s="19" t="s">
        <v>87</v>
      </c>
    </row>
    <row r="179" spans="1:65" s="13" customFormat="1">
      <c r="B179" s="161"/>
      <c r="D179" s="153" t="s">
        <v>193</v>
      </c>
      <c r="E179" s="162" t="s">
        <v>3</v>
      </c>
      <c r="F179" s="163" t="s">
        <v>1543</v>
      </c>
      <c r="H179" s="164">
        <v>107.816</v>
      </c>
      <c r="I179" s="165"/>
      <c r="L179" s="161"/>
      <c r="M179" s="166"/>
      <c r="N179" s="167"/>
      <c r="O179" s="167"/>
      <c r="P179" s="167"/>
      <c r="Q179" s="167"/>
      <c r="R179" s="167"/>
      <c r="S179" s="167"/>
      <c r="T179" s="168"/>
      <c r="AT179" s="162" t="s">
        <v>193</v>
      </c>
      <c r="AU179" s="162" t="s">
        <v>87</v>
      </c>
      <c r="AV179" s="13" t="s">
        <v>87</v>
      </c>
      <c r="AW179" s="13" t="s">
        <v>36</v>
      </c>
      <c r="AX179" s="13" t="s">
        <v>85</v>
      </c>
      <c r="AY179" s="162" t="s">
        <v>177</v>
      </c>
    </row>
    <row r="180" spans="1:65" s="2" customFormat="1" ht="16.5" customHeight="1">
      <c r="A180" s="34"/>
      <c r="B180" s="139"/>
      <c r="C180" s="140" t="s">
        <v>461</v>
      </c>
      <c r="D180" s="140" t="s">
        <v>180</v>
      </c>
      <c r="E180" s="141" t="s">
        <v>474</v>
      </c>
      <c r="F180" s="142" t="s">
        <v>475</v>
      </c>
      <c r="G180" s="143" t="s">
        <v>476</v>
      </c>
      <c r="H180" s="144">
        <v>77.010999999999996</v>
      </c>
      <c r="I180" s="145"/>
      <c r="J180" s="146">
        <f>ROUND(I180*H180,2)</f>
        <v>0</v>
      </c>
      <c r="K180" s="142" t="s">
        <v>184</v>
      </c>
      <c r="L180" s="35"/>
      <c r="M180" s="147" t="s">
        <v>3</v>
      </c>
      <c r="N180" s="148" t="s">
        <v>48</v>
      </c>
      <c r="O180" s="55"/>
      <c r="P180" s="149">
        <f>O180*H180</f>
        <v>0</v>
      </c>
      <c r="Q180" s="149">
        <v>4.3140000000000002E-4</v>
      </c>
      <c r="R180" s="149">
        <f>Q180*H180</f>
        <v>3.3222545399999998E-2</v>
      </c>
      <c r="S180" s="149">
        <v>0</v>
      </c>
      <c r="T180" s="150">
        <f>S180*H180</f>
        <v>0</v>
      </c>
      <c r="U180" s="34"/>
      <c r="V180" s="34"/>
      <c r="W180" s="34"/>
      <c r="X180" s="34"/>
      <c r="Y180" s="34"/>
      <c r="Z180" s="34"/>
      <c r="AA180" s="34"/>
      <c r="AB180" s="34"/>
      <c r="AC180" s="34"/>
      <c r="AD180" s="34"/>
      <c r="AE180" s="34"/>
      <c r="AR180" s="151" t="s">
        <v>185</v>
      </c>
      <c r="AT180" s="151" t="s">
        <v>180</v>
      </c>
      <c r="AU180" s="151" t="s">
        <v>87</v>
      </c>
      <c r="AY180" s="19" t="s">
        <v>177</v>
      </c>
      <c r="BE180" s="152">
        <f>IF(N180="základní",J180,0)</f>
        <v>0</v>
      </c>
      <c r="BF180" s="152">
        <f>IF(N180="snížená",J180,0)</f>
        <v>0</v>
      </c>
      <c r="BG180" s="152">
        <f>IF(N180="zákl. přenesená",J180,0)</f>
        <v>0</v>
      </c>
      <c r="BH180" s="152">
        <f>IF(N180="sníž. přenesená",J180,0)</f>
        <v>0</v>
      </c>
      <c r="BI180" s="152">
        <f>IF(N180="nulová",J180,0)</f>
        <v>0</v>
      </c>
      <c r="BJ180" s="19" t="s">
        <v>85</v>
      </c>
      <c r="BK180" s="152">
        <f>ROUND(I180*H180,2)</f>
        <v>0</v>
      </c>
      <c r="BL180" s="19" t="s">
        <v>185</v>
      </c>
      <c r="BM180" s="151" t="s">
        <v>1544</v>
      </c>
    </row>
    <row r="181" spans="1:65" s="2" customFormat="1">
      <c r="A181" s="34"/>
      <c r="B181" s="35"/>
      <c r="C181" s="34"/>
      <c r="D181" s="153" t="s">
        <v>187</v>
      </c>
      <c r="E181" s="34"/>
      <c r="F181" s="154" t="s">
        <v>478</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187</v>
      </c>
      <c r="AU181" s="19" t="s">
        <v>87</v>
      </c>
    </row>
    <row r="182" spans="1:65" s="2" customFormat="1">
      <c r="A182" s="34"/>
      <c r="B182" s="35"/>
      <c r="C182" s="34"/>
      <c r="D182" s="158" t="s">
        <v>189</v>
      </c>
      <c r="E182" s="34"/>
      <c r="F182" s="159" t="s">
        <v>479</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189</v>
      </c>
      <c r="AU182" s="19" t="s">
        <v>87</v>
      </c>
    </row>
    <row r="183" spans="1:65" s="2" customFormat="1" ht="78">
      <c r="A183" s="34"/>
      <c r="B183" s="35"/>
      <c r="C183" s="34"/>
      <c r="D183" s="153" t="s">
        <v>191</v>
      </c>
      <c r="E183" s="34"/>
      <c r="F183" s="160" t="s">
        <v>480</v>
      </c>
      <c r="G183" s="34"/>
      <c r="H183" s="34"/>
      <c r="I183" s="155"/>
      <c r="J183" s="34"/>
      <c r="K183" s="34"/>
      <c r="L183" s="35"/>
      <c r="M183" s="156"/>
      <c r="N183" s="157"/>
      <c r="O183" s="55"/>
      <c r="P183" s="55"/>
      <c r="Q183" s="55"/>
      <c r="R183" s="55"/>
      <c r="S183" s="55"/>
      <c r="T183" s="56"/>
      <c r="U183" s="34"/>
      <c r="V183" s="34"/>
      <c r="W183" s="34"/>
      <c r="X183" s="34"/>
      <c r="Y183" s="34"/>
      <c r="Z183" s="34"/>
      <c r="AA183" s="34"/>
      <c r="AB183" s="34"/>
      <c r="AC183" s="34"/>
      <c r="AD183" s="34"/>
      <c r="AE183" s="34"/>
      <c r="AT183" s="19" t="s">
        <v>191</v>
      </c>
      <c r="AU183" s="19" t="s">
        <v>87</v>
      </c>
    </row>
    <row r="184" spans="1:65" s="14" customFormat="1">
      <c r="B184" s="169"/>
      <c r="D184" s="153" t="s">
        <v>193</v>
      </c>
      <c r="E184" s="170" t="s">
        <v>3</v>
      </c>
      <c r="F184" s="171" t="s">
        <v>481</v>
      </c>
      <c r="H184" s="170" t="s">
        <v>3</v>
      </c>
      <c r="I184" s="172"/>
      <c r="L184" s="169"/>
      <c r="M184" s="173"/>
      <c r="N184" s="174"/>
      <c r="O184" s="174"/>
      <c r="P184" s="174"/>
      <c r="Q184" s="174"/>
      <c r="R184" s="174"/>
      <c r="S184" s="174"/>
      <c r="T184" s="175"/>
      <c r="AT184" s="170" t="s">
        <v>193</v>
      </c>
      <c r="AU184" s="170" t="s">
        <v>87</v>
      </c>
      <c r="AV184" s="14" t="s">
        <v>85</v>
      </c>
      <c r="AW184" s="14" t="s">
        <v>36</v>
      </c>
      <c r="AX184" s="14" t="s">
        <v>77</v>
      </c>
      <c r="AY184" s="170" t="s">
        <v>177</v>
      </c>
    </row>
    <row r="185" spans="1:65" s="13" customFormat="1">
      <c r="B185" s="161"/>
      <c r="D185" s="153" t="s">
        <v>193</v>
      </c>
      <c r="E185" s="162" t="s">
        <v>3</v>
      </c>
      <c r="F185" s="163" t="s">
        <v>1545</v>
      </c>
      <c r="H185" s="164">
        <v>77.010999999999996</v>
      </c>
      <c r="I185" s="165"/>
      <c r="L185" s="161"/>
      <c r="M185" s="166"/>
      <c r="N185" s="167"/>
      <c r="O185" s="167"/>
      <c r="P185" s="167"/>
      <c r="Q185" s="167"/>
      <c r="R185" s="167"/>
      <c r="S185" s="167"/>
      <c r="T185" s="168"/>
      <c r="AT185" s="162" t="s">
        <v>193</v>
      </c>
      <c r="AU185" s="162" t="s">
        <v>87</v>
      </c>
      <c r="AV185" s="13" t="s">
        <v>87</v>
      </c>
      <c r="AW185" s="13" t="s">
        <v>36</v>
      </c>
      <c r="AX185" s="13" t="s">
        <v>85</v>
      </c>
      <c r="AY185" s="162" t="s">
        <v>177</v>
      </c>
    </row>
    <row r="186" spans="1:65" s="2" customFormat="1" ht="16.5" customHeight="1">
      <c r="A186" s="34"/>
      <c r="B186" s="139"/>
      <c r="C186" s="195" t="s">
        <v>467</v>
      </c>
      <c r="D186" s="195" t="s">
        <v>484</v>
      </c>
      <c r="E186" s="196" t="s">
        <v>485</v>
      </c>
      <c r="F186" s="197" t="s">
        <v>486</v>
      </c>
      <c r="G186" s="198" t="s">
        <v>183</v>
      </c>
      <c r="H186" s="199">
        <v>7.4999999999999997E-2</v>
      </c>
      <c r="I186" s="200"/>
      <c r="J186" s="201">
        <f>ROUND(I186*H186,2)</f>
        <v>0</v>
      </c>
      <c r="K186" s="197" t="s">
        <v>184</v>
      </c>
      <c r="L186" s="202"/>
      <c r="M186" s="203" t="s">
        <v>3</v>
      </c>
      <c r="N186" s="204" t="s">
        <v>48</v>
      </c>
      <c r="O186" s="55"/>
      <c r="P186" s="149">
        <f>O186*H186</f>
        <v>0</v>
      </c>
      <c r="Q186" s="149">
        <v>1</v>
      </c>
      <c r="R186" s="149">
        <f>Q186*H186</f>
        <v>7.4999999999999997E-2</v>
      </c>
      <c r="S186" s="149">
        <v>0</v>
      </c>
      <c r="T186" s="150">
        <f>S186*H186</f>
        <v>0</v>
      </c>
      <c r="U186" s="34"/>
      <c r="V186" s="34"/>
      <c r="W186" s="34"/>
      <c r="X186" s="34"/>
      <c r="Y186" s="34"/>
      <c r="Z186" s="34"/>
      <c r="AA186" s="34"/>
      <c r="AB186" s="34"/>
      <c r="AC186" s="34"/>
      <c r="AD186" s="34"/>
      <c r="AE186" s="34"/>
      <c r="AR186" s="151" t="s">
        <v>248</v>
      </c>
      <c r="AT186" s="151" t="s">
        <v>484</v>
      </c>
      <c r="AU186" s="151" t="s">
        <v>87</v>
      </c>
      <c r="AY186" s="19" t="s">
        <v>177</v>
      </c>
      <c r="BE186" s="152">
        <f>IF(N186="základní",J186,0)</f>
        <v>0</v>
      </c>
      <c r="BF186" s="152">
        <f>IF(N186="snížená",J186,0)</f>
        <v>0</v>
      </c>
      <c r="BG186" s="152">
        <f>IF(N186="zákl. přenesená",J186,0)</f>
        <v>0</v>
      </c>
      <c r="BH186" s="152">
        <f>IF(N186="sníž. přenesená",J186,0)</f>
        <v>0</v>
      </c>
      <c r="BI186" s="152">
        <f>IF(N186="nulová",J186,0)</f>
        <v>0</v>
      </c>
      <c r="BJ186" s="19" t="s">
        <v>85</v>
      </c>
      <c r="BK186" s="152">
        <f>ROUND(I186*H186,2)</f>
        <v>0</v>
      </c>
      <c r="BL186" s="19" t="s">
        <v>185</v>
      </c>
      <c r="BM186" s="151" t="s">
        <v>1546</v>
      </c>
    </row>
    <row r="187" spans="1:65" s="2" customFormat="1">
      <c r="A187" s="34"/>
      <c r="B187" s="35"/>
      <c r="C187" s="34"/>
      <c r="D187" s="153" t="s">
        <v>187</v>
      </c>
      <c r="E187" s="34"/>
      <c r="F187" s="154" t="s">
        <v>488</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187</v>
      </c>
      <c r="AU187" s="19" t="s">
        <v>87</v>
      </c>
    </row>
    <row r="188" spans="1:65" s="13" customFormat="1">
      <c r="B188" s="161"/>
      <c r="D188" s="153" t="s">
        <v>193</v>
      </c>
      <c r="E188" s="162" t="s">
        <v>3</v>
      </c>
      <c r="F188" s="163" t="s">
        <v>1547</v>
      </c>
      <c r="H188" s="164">
        <v>7.4999999999999997E-2</v>
      </c>
      <c r="I188" s="165"/>
      <c r="L188" s="161"/>
      <c r="M188" s="166"/>
      <c r="N188" s="167"/>
      <c r="O188" s="167"/>
      <c r="P188" s="167"/>
      <c r="Q188" s="167"/>
      <c r="R188" s="167"/>
      <c r="S188" s="167"/>
      <c r="T188" s="168"/>
      <c r="AT188" s="162" t="s">
        <v>193</v>
      </c>
      <c r="AU188" s="162" t="s">
        <v>87</v>
      </c>
      <c r="AV188" s="13" t="s">
        <v>87</v>
      </c>
      <c r="AW188" s="13" t="s">
        <v>36</v>
      </c>
      <c r="AX188" s="13" t="s">
        <v>85</v>
      </c>
      <c r="AY188" s="162" t="s">
        <v>177</v>
      </c>
    </row>
    <row r="189" spans="1:65" s="2" customFormat="1" ht="16.5" customHeight="1">
      <c r="A189" s="34"/>
      <c r="B189" s="139"/>
      <c r="C189" s="140" t="s">
        <v>8</v>
      </c>
      <c r="D189" s="140" t="s">
        <v>180</v>
      </c>
      <c r="E189" s="141" t="s">
        <v>491</v>
      </c>
      <c r="F189" s="142" t="s">
        <v>492</v>
      </c>
      <c r="G189" s="143" t="s">
        <v>476</v>
      </c>
      <c r="H189" s="144">
        <v>77.010999999999996</v>
      </c>
      <c r="I189" s="145"/>
      <c r="J189" s="146">
        <f>ROUND(I189*H189,2)</f>
        <v>0</v>
      </c>
      <c r="K189" s="142" t="s">
        <v>184</v>
      </c>
      <c r="L189" s="35"/>
      <c r="M189" s="147" t="s">
        <v>3</v>
      </c>
      <c r="N189" s="148" t="s">
        <v>48</v>
      </c>
      <c r="O189" s="55"/>
      <c r="P189" s="149">
        <f>O189*H189</f>
        <v>0</v>
      </c>
      <c r="Q189" s="149">
        <v>1.0064099999999999E-3</v>
      </c>
      <c r="R189" s="149">
        <f>Q189*H189</f>
        <v>7.7504640509999986E-2</v>
      </c>
      <c r="S189" s="149">
        <v>1E-3</v>
      </c>
      <c r="T189" s="150">
        <f>S189*H189</f>
        <v>7.7010999999999996E-2</v>
      </c>
      <c r="U189" s="34"/>
      <c r="V189" s="34"/>
      <c r="W189" s="34"/>
      <c r="X189" s="34"/>
      <c r="Y189" s="34"/>
      <c r="Z189" s="34"/>
      <c r="AA189" s="34"/>
      <c r="AB189" s="34"/>
      <c r="AC189" s="34"/>
      <c r="AD189" s="34"/>
      <c r="AE189" s="34"/>
      <c r="AR189" s="151" t="s">
        <v>185</v>
      </c>
      <c r="AT189" s="151" t="s">
        <v>180</v>
      </c>
      <c r="AU189" s="151" t="s">
        <v>87</v>
      </c>
      <c r="AY189" s="19" t="s">
        <v>177</v>
      </c>
      <c r="BE189" s="152">
        <f>IF(N189="základní",J189,0)</f>
        <v>0</v>
      </c>
      <c r="BF189" s="152">
        <f>IF(N189="snížená",J189,0)</f>
        <v>0</v>
      </c>
      <c r="BG189" s="152">
        <f>IF(N189="zákl. přenesená",J189,0)</f>
        <v>0</v>
      </c>
      <c r="BH189" s="152">
        <f>IF(N189="sníž. přenesená",J189,0)</f>
        <v>0</v>
      </c>
      <c r="BI189" s="152">
        <f>IF(N189="nulová",J189,0)</f>
        <v>0</v>
      </c>
      <c r="BJ189" s="19" t="s">
        <v>85</v>
      </c>
      <c r="BK189" s="152">
        <f>ROUND(I189*H189,2)</f>
        <v>0</v>
      </c>
      <c r="BL189" s="19" t="s">
        <v>185</v>
      </c>
      <c r="BM189" s="151" t="s">
        <v>1548</v>
      </c>
    </row>
    <row r="190" spans="1:65" s="2" customFormat="1">
      <c r="A190" s="34"/>
      <c r="B190" s="35"/>
      <c r="C190" s="34"/>
      <c r="D190" s="153" t="s">
        <v>187</v>
      </c>
      <c r="E190" s="34"/>
      <c r="F190" s="154" t="s">
        <v>494</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187</v>
      </c>
      <c r="AU190" s="19" t="s">
        <v>87</v>
      </c>
    </row>
    <row r="191" spans="1:65" s="2" customFormat="1">
      <c r="A191" s="34"/>
      <c r="B191" s="35"/>
      <c r="C191" s="34"/>
      <c r="D191" s="158" t="s">
        <v>189</v>
      </c>
      <c r="E191" s="34"/>
      <c r="F191" s="159" t="s">
        <v>495</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189</v>
      </c>
      <c r="AU191" s="19" t="s">
        <v>87</v>
      </c>
    </row>
    <row r="192" spans="1:65" s="2" customFormat="1" ht="78">
      <c r="A192" s="34"/>
      <c r="B192" s="35"/>
      <c r="C192" s="34"/>
      <c r="D192" s="153" t="s">
        <v>191</v>
      </c>
      <c r="E192" s="34"/>
      <c r="F192" s="160" t="s">
        <v>480</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191</v>
      </c>
      <c r="AU192" s="19" t="s">
        <v>87</v>
      </c>
    </row>
    <row r="193" spans="1:65" s="14" customFormat="1">
      <c r="B193" s="169"/>
      <c r="D193" s="153" t="s">
        <v>193</v>
      </c>
      <c r="E193" s="170" t="s">
        <v>3</v>
      </c>
      <c r="F193" s="171" t="s">
        <v>481</v>
      </c>
      <c r="H193" s="170" t="s">
        <v>3</v>
      </c>
      <c r="I193" s="172"/>
      <c r="L193" s="169"/>
      <c r="M193" s="173"/>
      <c r="N193" s="174"/>
      <c r="O193" s="174"/>
      <c r="P193" s="174"/>
      <c r="Q193" s="174"/>
      <c r="R193" s="174"/>
      <c r="S193" s="174"/>
      <c r="T193" s="175"/>
      <c r="AT193" s="170" t="s">
        <v>193</v>
      </c>
      <c r="AU193" s="170" t="s">
        <v>87</v>
      </c>
      <c r="AV193" s="14" t="s">
        <v>85</v>
      </c>
      <c r="AW193" s="14" t="s">
        <v>36</v>
      </c>
      <c r="AX193" s="14" t="s">
        <v>77</v>
      </c>
      <c r="AY193" s="170" t="s">
        <v>177</v>
      </c>
    </row>
    <row r="194" spans="1:65" s="13" customFormat="1">
      <c r="B194" s="161"/>
      <c r="D194" s="153" t="s">
        <v>193</v>
      </c>
      <c r="E194" s="162" t="s">
        <v>3</v>
      </c>
      <c r="F194" s="163" t="s">
        <v>1545</v>
      </c>
      <c r="H194" s="164">
        <v>77.010999999999996</v>
      </c>
      <c r="I194" s="165"/>
      <c r="L194" s="161"/>
      <c r="M194" s="166"/>
      <c r="N194" s="167"/>
      <c r="O194" s="167"/>
      <c r="P194" s="167"/>
      <c r="Q194" s="167"/>
      <c r="R194" s="167"/>
      <c r="S194" s="167"/>
      <c r="T194" s="168"/>
      <c r="AT194" s="162" t="s">
        <v>193</v>
      </c>
      <c r="AU194" s="162" t="s">
        <v>87</v>
      </c>
      <c r="AV194" s="13" t="s">
        <v>87</v>
      </c>
      <c r="AW194" s="13" t="s">
        <v>36</v>
      </c>
      <c r="AX194" s="13" t="s">
        <v>85</v>
      </c>
      <c r="AY194" s="162" t="s">
        <v>177</v>
      </c>
    </row>
    <row r="195" spans="1:65" s="2" customFormat="1" ht="16.5" customHeight="1">
      <c r="A195" s="34"/>
      <c r="B195" s="139"/>
      <c r="C195" s="195" t="s">
        <v>483</v>
      </c>
      <c r="D195" s="195" t="s">
        <v>484</v>
      </c>
      <c r="E195" s="196" t="s">
        <v>497</v>
      </c>
      <c r="F195" s="197" t="s">
        <v>498</v>
      </c>
      <c r="G195" s="198" t="s">
        <v>183</v>
      </c>
      <c r="H195" s="199">
        <v>0.20799999999999999</v>
      </c>
      <c r="I195" s="200"/>
      <c r="J195" s="201">
        <f>ROUND(I195*H195,2)</f>
        <v>0</v>
      </c>
      <c r="K195" s="197" t="s">
        <v>184</v>
      </c>
      <c r="L195" s="202"/>
      <c r="M195" s="203" t="s">
        <v>3</v>
      </c>
      <c r="N195" s="204" t="s">
        <v>48</v>
      </c>
      <c r="O195" s="55"/>
      <c r="P195" s="149">
        <f>O195*H195</f>
        <v>0</v>
      </c>
      <c r="Q195" s="149">
        <v>1</v>
      </c>
      <c r="R195" s="149">
        <f>Q195*H195</f>
        <v>0.20799999999999999</v>
      </c>
      <c r="S195" s="149">
        <v>0</v>
      </c>
      <c r="T195" s="150">
        <f>S195*H195</f>
        <v>0</v>
      </c>
      <c r="U195" s="34"/>
      <c r="V195" s="34"/>
      <c r="W195" s="34"/>
      <c r="X195" s="34"/>
      <c r="Y195" s="34"/>
      <c r="Z195" s="34"/>
      <c r="AA195" s="34"/>
      <c r="AB195" s="34"/>
      <c r="AC195" s="34"/>
      <c r="AD195" s="34"/>
      <c r="AE195" s="34"/>
      <c r="AR195" s="151" t="s">
        <v>248</v>
      </c>
      <c r="AT195" s="151" t="s">
        <v>484</v>
      </c>
      <c r="AU195" s="151" t="s">
        <v>87</v>
      </c>
      <c r="AY195" s="19" t="s">
        <v>177</v>
      </c>
      <c r="BE195" s="152">
        <f>IF(N195="základní",J195,0)</f>
        <v>0</v>
      </c>
      <c r="BF195" s="152">
        <f>IF(N195="snížená",J195,0)</f>
        <v>0</v>
      </c>
      <c r="BG195" s="152">
        <f>IF(N195="zákl. přenesená",J195,0)</f>
        <v>0</v>
      </c>
      <c r="BH195" s="152">
        <f>IF(N195="sníž. přenesená",J195,0)</f>
        <v>0</v>
      </c>
      <c r="BI195" s="152">
        <f>IF(N195="nulová",J195,0)</f>
        <v>0</v>
      </c>
      <c r="BJ195" s="19" t="s">
        <v>85</v>
      </c>
      <c r="BK195" s="152">
        <f>ROUND(I195*H195,2)</f>
        <v>0</v>
      </c>
      <c r="BL195" s="19" t="s">
        <v>185</v>
      </c>
      <c r="BM195" s="151" t="s">
        <v>1549</v>
      </c>
    </row>
    <row r="196" spans="1:65" s="2" customFormat="1">
      <c r="A196" s="34"/>
      <c r="B196" s="35"/>
      <c r="C196" s="34"/>
      <c r="D196" s="153" t="s">
        <v>187</v>
      </c>
      <c r="E196" s="34"/>
      <c r="F196" s="154" t="s">
        <v>500</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187</v>
      </c>
      <c r="AU196" s="19" t="s">
        <v>87</v>
      </c>
    </row>
    <row r="197" spans="1:65" s="13" customFormat="1">
      <c r="B197" s="161"/>
      <c r="D197" s="153" t="s">
        <v>193</v>
      </c>
      <c r="E197" s="162" t="s">
        <v>3</v>
      </c>
      <c r="F197" s="163" t="s">
        <v>1550</v>
      </c>
      <c r="H197" s="164">
        <v>0.20799999999999999</v>
      </c>
      <c r="I197" s="165"/>
      <c r="L197" s="161"/>
      <c r="M197" s="166"/>
      <c r="N197" s="167"/>
      <c r="O197" s="167"/>
      <c r="P197" s="167"/>
      <c r="Q197" s="167"/>
      <c r="R197" s="167"/>
      <c r="S197" s="167"/>
      <c r="T197" s="168"/>
      <c r="AT197" s="162" t="s">
        <v>193</v>
      </c>
      <c r="AU197" s="162" t="s">
        <v>87</v>
      </c>
      <c r="AV197" s="13" t="s">
        <v>87</v>
      </c>
      <c r="AW197" s="13" t="s">
        <v>36</v>
      </c>
      <c r="AX197" s="13" t="s">
        <v>85</v>
      </c>
      <c r="AY197" s="162" t="s">
        <v>177</v>
      </c>
    </row>
    <row r="198" spans="1:65" s="12" customFormat="1" ht="22.9" customHeight="1">
      <c r="B198" s="126"/>
      <c r="D198" s="127" t="s">
        <v>76</v>
      </c>
      <c r="E198" s="137" t="s">
        <v>178</v>
      </c>
      <c r="F198" s="137" t="s">
        <v>179</v>
      </c>
      <c r="I198" s="129"/>
      <c r="J198" s="138">
        <f>BK198</f>
        <v>0</v>
      </c>
      <c r="L198" s="126"/>
      <c r="M198" s="131"/>
      <c r="N198" s="132"/>
      <c r="O198" s="132"/>
      <c r="P198" s="133">
        <f>SUM(P199:P220)</f>
        <v>0</v>
      </c>
      <c r="Q198" s="132"/>
      <c r="R198" s="133">
        <f>SUM(R199:R220)</f>
        <v>0</v>
      </c>
      <c r="S198" s="132"/>
      <c r="T198" s="134">
        <f>SUM(T199:T220)</f>
        <v>0</v>
      </c>
      <c r="AR198" s="127" t="s">
        <v>85</v>
      </c>
      <c r="AT198" s="135" t="s">
        <v>76</v>
      </c>
      <c r="AU198" s="135" t="s">
        <v>85</v>
      </c>
      <c r="AY198" s="127" t="s">
        <v>177</v>
      </c>
      <c r="BK198" s="136">
        <f>SUM(BK199:BK220)</f>
        <v>0</v>
      </c>
    </row>
    <row r="199" spans="1:65" s="2" customFormat="1" ht="16.5" customHeight="1">
      <c r="A199" s="34"/>
      <c r="B199" s="139"/>
      <c r="C199" s="140" t="s">
        <v>490</v>
      </c>
      <c r="D199" s="140" t="s">
        <v>180</v>
      </c>
      <c r="E199" s="141" t="s">
        <v>181</v>
      </c>
      <c r="F199" s="142" t="s">
        <v>182</v>
      </c>
      <c r="G199" s="143" t="s">
        <v>183</v>
      </c>
      <c r="H199" s="144">
        <v>277.63</v>
      </c>
      <c r="I199" s="145"/>
      <c r="J199" s="146">
        <f>ROUND(I199*H199,2)</f>
        <v>0</v>
      </c>
      <c r="K199" s="142" t="s">
        <v>184</v>
      </c>
      <c r="L199" s="35"/>
      <c r="M199" s="147" t="s">
        <v>3</v>
      </c>
      <c r="N199" s="148" t="s">
        <v>48</v>
      </c>
      <c r="O199" s="55"/>
      <c r="P199" s="149">
        <f>O199*H199</f>
        <v>0</v>
      </c>
      <c r="Q199" s="149">
        <v>0</v>
      </c>
      <c r="R199" s="149">
        <f>Q199*H199</f>
        <v>0</v>
      </c>
      <c r="S199" s="149">
        <v>0</v>
      </c>
      <c r="T199" s="150">
        <f>S199*H199</f>
        <v>0</v>
      </c>
      <c r="U199" s="34"/>
      <c r="V199" s="34"/>
      <c r="W199" s="34"/>
      <c r="X199" s="34"/>
      <c r="Y199" s="34"/>
      <c r="Z199" s="34"/>
      <c r="AA199" s="34"/>
      <c r="AB199" s="34"/>
      <c r="AC199" s="34"/>
      <c r="AD199" s="34"/>
      <c r="AE199" s="34"/>
      <c r="AR199" s="151" t="s">
        <v>185</v>
      </c>
      <c r="AT199" s="151" t="s">
        <v>180</v>
      </c>
      <c r="AU199" s="151" t="s">
        <v>87</v>
      </c>
      <c r="AY199" s="19" t="s">
        <v>177</v>
      </c>
      <c r="BE199" s="152">
        <f>IF(N199="základní",J199,0)</f>
        <v>0</v>
      </c>
      <c r="BF199" s="152">
        <f>IF(N199="snížená",J199,0)</f>
        <v>0</v>
      </c>
      <c r="BG199" s="152">
        <f>IF(N199="zákl. přenesená",J199,0)</f>
        <v>0</v>
      </c>
      <c r="BH199" s="152">
        <f>IF(N199="sníž. přenesená",J199,0)</f>
        <v>0</v>
      </c>
      <c r="BI199" s="152">
        <f>IF(N199="nulová",J199,0)</f>
        <v>0</v>
      </c>
      <c r="BJ199" s="19" t="s">
        <v>85</v>
      </c>
      <c r="BK199" s="152">
        <f>ROUND(I199*H199,2)</f>
        <v>0</v>
      </c>
      <c r="BL199" s="19" t="s">
        <v>185</v>
      </c>
      <c r="BM199" s="151" t="s">
        <v>1551</v>
      </c>
    </row>
    <row r="200" spans="1:65" s="2" customFormat="1">
      <c r="A200" s="34"/>
      <c r="B200" s="35"/>
      <c r="C200" s="34"/>
      <c r="D200" s="153" t="s">
        <v>187</v>
      </c>
      <c r="E200" s="34"/>
      <c r="F200" s="154" t="s">
        <v>188</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187</v>
      </c>
      <c r="AU200" s="19" t="s">
        <v>87</v>
      </c>
    </row>
    <row r="201" spans="1:65" s="2" customFormat="1">
      <c r="A201" s="34"/>
      <c r="B201" s="35"/>
      <c r="C201" s="34"/>
      <c r="D201" s="158" t="s">
        <v>189</v>
      </c>
      <c r="E201" s="34"/>
      <c r="F201" s="159" t="s">
        <v>190</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189</v>
      </c>
      <c r="AU201" s="19" t="s">
        <v>87</v>
      </c>
    </row>
    <row r="202" spans="1:65" s="2" customFormat="1" ht="107.25">
      <c r="A202" s="34"/>
      <c r="B202" s="35"/>
      <c r="C202" s="34"/>
      <c r="D202" s="153" t="s">
        <v>191</v>
      </c>
      <c r="E202" s="34"/>
      <c r="F202" s="160" t="s">
        <v>192</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191</v>
      </c>
      <c r="AU202" s="19" t="s">
        <v>87</v>
      </c>
    </row>
    <row r="203" spans="1:65" s="2" customFormat="1" ht="21.75" customHeight="1">
      <c r="A203" s="34"/>
      <c r="B203" s="139"/>
      <c r="C203" s="140" t="s">
        <v>496</v>
      </c>
      <c r="D203" s="140" t="s">
        <v>180</v>
      </c>
      <c r="E203" s="141" t="s">
        <v>202</v>
      </c>
      <c r="F203" s="142" t="s">
        <v>203</v>
      </c>
      <c r="G203" s="143" t="s">
        <v>183</v>
      </c>
      <c r="H203" s="144">
        <v>555.26</v>
      </c>
      <c r="I203" s="145"/>
      <c r="J203" s="146">
        <f>ROUND(I203*H203,2)</f>
        <v>0</v>
      </c>
      <c r="K203" s="142" t="s">
        <v>184</v>
      </c>
      <c r="L203" s="35"/>
      <c r="M203" s="147" t="s">
        <v>3</v>
      </c>
      <c r="N203" s="148" t="s">
        <v>48</v>
      </c>
      <c r="O203" s="55"/>
      <c r="P203" s="149">
        <f>O203*H203</f>
        <v>0</v>
      </c>
      <c r="Q203" s="149">
        <v>0</v>
      </c>
      <c r="R203" s="149">
        <f>Q203*H203</f>
        <v>0</v>
      </c>
      <c r="S203" s="149">
        <v>0</v>
      </c>
      <c r="T203" s="150">
        <f>S203*H203</f>
        <v>0</v>
      </c>
      <c r="U203" s="34"/>
      <c r="V203" s="34"/>
      <c r="W203" s="34"/>
      <c r="X203" s="34"/>
      <c r="Y203" s="34"/>
      <c r="Z203" s="34"/>
      <c r="AA203" s="34"/>
      <c r="AB203" s="34"/>
      <c r="AC203" s="34"/>
      <c r="AD203" s="34"/>
      <c r="AE203" s="34"/>
      <c r="AR203" s="151" t="s">
        <v>185</v>
      </c>
      <c r="AT203" s="151" t="s">
        <v>180</v>
      </c>
      <c r="AU203" s="151" t="s">
        <v>87</v>
      </c>
      <c r="AY203" s="19" t="s">
        <v>177</v>
      </c>
      <c r="BE203" s="152">
        <f>IF(N203="základní",J203,0)</f>
        <v>0</v>
      </c>
      <c r="BF203" s="152">
        <f>IF(N203="snížená",J203,0)</f>
        <v>0</v>
      </c>
      <c r="BG203" s="152">
        <f>IF(N203="zákl. přenesená",J203,0)</f>
        <v>0</v>
      </c>
      <c r="BH203" s="152">
        <f>IF(N203="sníž. přenesená",J203,0)</f>
        <v>0</v>
      </c>
      <c r="BI203" s="152">
        <f>IF(N203="nulová",J203,0)</f>
        <v>0</v>
      </c>
      <c r="BJ203" s="19" t="s">
        <v>85</v>
      </c>
      <c r="BK203" s="152">
        <f>ROUND(I203*H203,2)</f>
        <v>0</v>
      </c>
      <c r="BL203" s="19" t="s">
        <v>185</v>
      </c>
      <c r="BM203" s="151" t="s">
        <v>1552</v>
      </c>
    </row>
    <row r="204" spans="1:65" s="2" customFormat="1" ht="19.5">
      <c r="A204" s="34"/>
      <c r="B204" s="35"/>
      <c r="C204" s="34"/>
      <c r="D204" s="153" t="s">
        <v>187</v>
      </c>
      <c r="E204" s="34"/>
      <c r="F204" s="154" t="s">
        <v>205</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187</v>
      </c>
      <c r="AU204" s="19" t="s">
        <v>87</v>
      </c>
    </row>
    <row r="205" spans="1:65" s="2" customFormat="1">
      <c r="A205" s="34"/>
      <c r="B205" s="35"/>
      <c r="C205" s="34"/>
      <c r="D205" s="158" t="s">
        <v>189</v>
      </c>
      <c r="E205" s="34"/>
      <c r="F205" s="159" t="s">
        <v>206</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189</v>
      </c>
      <c r="AU205" s="19" t="s">
        <v>87</v>
      </c>
    </row>
    <row r="206" spans="1:65" s="2" customFormat="1" ht="107.25">
      <c r="A206" s="34"/>
      <c r="B206" s="35"/>
      <c r="C206" s="34"/>
      <c r="D206" s="153" t="s">
        <v>191</v>
      </c>
      <c r="E206" s="34"/>
      <c r="F206" s="160" t="s">
        <v>192</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191</v>
      </c>
      <c r="AU206" s="19" t="s">
        <v>87</v>
      </c>
    </row>
    <row r="207" spans="1:65" s="13" customFormat="1">
      <c r="B207" s="161"/>
      <c r="D207" s="153" t="s">
        <v>193</v>
      </c>
      <c r="F207" s="163" t="s">
        <v>1553</v>
      </c>
      <c r="H207" s="164">
        <v>555.26</v>
      </c>
      <c r="I207" s="165"/>
      <c r="L207" s="161"/>
      <c r="M207" s="166"/>
      <c r="N207" s="167"/>
      <c r="O207" s="167"/>
      <c r="P207" s="167"/>
      <c r="Q207" s="167"/>
      <c r="R207" s="167"/>
      <c r="S207" s="167"/>
      <c r="T207" s="168"/>
      <c r="AT207" s="162" t="s">
        <v>193</v>
      </c>
      <c r="AU207" s="162" t="s">
        <v>87</v>
      </c>
      <c r="AV207" s="13" t="s">
        <v>87</v>
      </c>
      <c r="AW207" s="13" t="s">
        <v>4</v>
      </c>
      <c r="AX207" s="13" t="s">
        <v>85</v>
      </c>
      <c r="AY207" s="162" t="s">
        <v>177</v>
      </c>
    </row>
    <row r="208" spans="1:65" s="2" customFormat="1" ht="16.5" customHeight="1">
      <c r="A208" s="34"/>
      <c r="B208" s="139"/>
      <c r="C208" s="140" t="s">
        <v>502</v>
      </c>
      <c r="D208" s="140" t="s">
        <v>180</v>
      </c>
      <c r="E208" s="141" t="s">
        <v>208</v>
      </c>
      <c r="F208" s="142" t="s">
        <v>209</v>
      </c>
      <c r="G208" s="143" t="s">
        <v>183</v>
      </c>
      <c r="H208" s="144">
        <v>277.63</v>
      </c>
      <c r="I208" s="145"/>
      <c r="J208" s="146">
        <f>ROUND(I208*H208,2)</f>
        <v>0</v>
      </c>
      <c r="K208" s="142" t="s">
        <v>184</v>
      </c>
      <c r="L208" s="35"/>
      <c r="M208" s="147" t="s">
        <v>3</v>
      </c>
      <c r="N208" s="148" t="s">
        <v>48</v>
      </c>
      <c r="O208" s="55"/>
      <c r="P208" s="149">
        <f>O208*H208</f>
        <v>0</v>
      </c>
      <c r="Q208" s="149">
        <v>0</v>
      </c>
      <c r="R208" s="149">
        <f>Q208*H208</f>
        <v>0</v>
      </c>
      <c r="S208" s="149">
        <v>0</v>
      </c>
      <c r="T208" s="150">
        <f>S208*H208</f>
        <v>0</v>
      </c>
      <c r="U208" s="34"/>
      <c r="V208" s="34"/>
      <c r="W208" s="34"/>
      <c r="X208" s="34"/>
      <c r="Y208" s="34"/>
      <c r="Z208" s="34"/>
      <c r="AA208" s="34"/>
      <c r="AB208" s="34"/>
      <c r="AC208" s="34"/>
      <c r="AD208" s="34"/>
      <c r="AE208" s="34"/>
      <c r="AR208" s="151" t="s">
        <v>185</v>
      </c>
      <c r="AT208" s="151" t="s">
        <v>180</v>
      </c>
      <c r="AU208" s="151" t="s">
        <v>87</v>
      </c>
      <c r="AY208" s="19" t="s">
        <v>177</v>
      </c>
      <c r="BE208" s="152">
        <f>IF(N208="základní",J208,0)</f>
        <v>0</v>
      </c>
      <c r="BF208" s="152">
        <f>IF(N208="snížená",J208,0)</f>
        <v>0</v>
      </c>
      <c r="BG208" s="152">
        <f>IF(N208="zákl. přenesená",J208,0)</f>
        <v>0</v>
      </c>
      <c r="BH208" s="152">
        <f>IF(N208="sníž. přenesená",J208,0)</f>
        <v>0</v>
      </c>
      <c r="BI208" s="152">
        <f>IF(N208="nulová",J208,0)</f>
        <v>0</v>
      </c>
      <c r="BJ208" s="19" t="s">
        <v>85</v>
      </c>
      <c r="BK208" s="152">
        <f>ROUND(I208*H208,2)</f>
        <v>0</v>
      </c>
      <c r="BL208" s="19" t="s">
        <v>185</v>
      </c>
      <c r="BM208" s="151" t="s">
        <v>1554</v>
      </c>
    </row>
    <row r="209" spans="1:65" s="2" customFormat="1">
      <c r="A209" s="34"/>
      <c r="B209" s="35"/>
      <c r="C209" s="34"/>
      <c r="D209" s="153" t="s">
        <v>187</v>
      </c>
      <c r="E209" s="34"/>
      <c r="F209" s="154" t="s">
        <v>211</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187</v>
      </c>
      <c r="AU209" s="19" t="s">
        <v>87</v>
      </c>
    </row>
    <row r="210" spans="1:65" s="2" customFormat="1">
      <c r="A210" s="34"/>
      <c r="B210" s="35"/>
      <c r="C210" s="34"/>
      <c r="D210" s="158" t="s">
        <v>189</v>
      </c>
      <c r="E210" s="34"/>
      <c r="F210" s="159" t="s">
        <v>212</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189</v>
      </c>
      <c r="AU210" s="19" t="s">
        <v>87</v>
      </c>
    </row>
    <row r="211" spans="1:65" s="2" customFormat="1" ht="58.5">
      <c r="A211" s="34"/>
      <c r="B211" s="35"/>
      <c r="C211" s="34"/>
      <c r="D211" s="153" t="s">
        <v>191</v>
      </c>
      <c r="E211" s="34"/>
      <c r="F211" s="160" t="s">
        <v>213</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191</v>
      </c>
      <c r="AU211" s="19" t="s">
        <v>87</v>
      </c>
    </row>
    <row r="212" spans="1:65" s="2" customFormat="1" ht="16.5" customHeight="1">
      <c r="A212" s="34"/>
      <c r="B212" s="139"/>
      <c r="C212" s="140" t="s">
        <v>504</v>
      </c>
      <c r="D212" s="140" t="s">
        <v>180</v>
      </c>
      <c r="E212" s="141" t="s">
        <v>214</v>
      </c>
      <c r="F212" s="142" t="s">
        <v>215</v>
      </c>
      <c r="G212" s="143" t="s">
        <v>183</v>
      </c>
      <c r="H212" s="144">
        <v>5274.97</v>
      </c>
      <c r="I212" s="145"/>
      <c r="J212" s="146">
        <f>ROUND(I212*H212,2)</f>
        <v>0</v>
      </c>
      <c r="K212" s="142" t="s">
        <v>184</v>
      </c>
      <c r="L212" s="35"/>
      <c r="M212" s="147" t="s">
        <v>3</v>
      </c>
      <c r="N212" s="148" t="s">
        <v>48</v>
      </c>
      <c r="O212" s="55"/>
      <c r="P212" s="149">
        <f>O212*H212</f>
        <v>0</v>
      </c>
      <c r="Q212" s="149">
        <v>0</v>
      </c>
      <c r="R212" s="149">
        <f>Q212*H212</f>
        <v>0</v>
      </c>
      <c r="S212" s="149">
        <v>0</v>
      </c>
      <c r="T212" s="150">
        <f>S212*H212</f>
        <v>0</v>
      </c>
      <c r="U212" s="34"/>
      <c r="V212" s="34"/>
      <c r="W212" s="34"/>
      <c r="X212" s="34"/>
      <c r="Y212" s="34"/>
      <c r="Z212" s="34"/>
      <c r="AA212" s="34"/>
      <c r="AB212" s="34"/>
      <c r="AC212" s="34"/>
      <c r="AD212" s="34"/>
      <c r="AE212" s="34"/>
      <c r="AR212" s="151" t="s">
        <v>185</v>
      </c>
      <c r="AT212" s="151" t="s">
        <v>180</v>
      </c>
      <c r="AU212" s="151" t="s">
        <v>87</v>
      </c>
      <c r="AY212" s="19" t="s">
        <v>177</v>
      </c>
      <c r="BE212" s="152">
        <f>IF(N212="základní",J212,0)</f>
        <v>0</v>
      </c>
      <c r="BF212" s="152">
        <f>IF(N212="snížená",J212,0)</f>
        <v>0</v>
      </c>
      <c r="BG212" s="152">
        <f>IF(N212="zákl. přenesená",J212,0)</f>
        <v>0</v>
      </c>
      <c r="BH212" s="152">
        <f>IF(N212="sníž. přenesená",J212,0)</f>
        <v>0</v>
      </c>
      <c r="BI212" s="152">
        <f>IF(N212="nulová",J212,0)</f>
        <v>0</v>
      </c>
      <c r="BJ212" s="19" t="s">
        <v>85</v>
      </c>
      <c r="BK212" s="152">
        <f>ROUND(I212*H212,2)</f>
        <v>0</v>
      </c>
      <c r="BL212" s="19" t="s">
        <v>185</v>
      </c>
      <c r="BM212" s="151" t="s">
        <v>1555</v>
      </c>
    </row>
    <row r="213" spans="1:65" s="2" customFormat="1" ht="19.5">
      <c r="A213" s="34"/>
      <c r="B213" s="35"/>
      <c r="C213" s="34"/>
      <c r="D213" s="153" t="s">
        <v>187</v>
      </c>
      <c r="E213" s="34"/>
      <c r="F213" s="154" t="s">
        <v>217</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187</v>
      </c>
      <c r="AU213" s="19" t="s">
        <v>87</v>
      </c>
    </row>
    <row r="214" spans="1:65" s="2" customFormat="1">
      <c r="A214" s="34"/>
      <c r="B214" s="35"/>
      <c r="C214" s="34"/>
      <c r="D214" s="158" t="s">
        <v>189</v>
      </c>
      <c r="E214" s="34"/>
      <c r="F214" s="159" t="s">
        <v>218</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189</v>
      </c>
      <c r="AU214" s="19" t="s">
        <v>87</v>
      </c>
    </row>
    <row r="215" spans="1:65" s="2" customFormat="1" ht="58.5">
      <c r="A215" s="34"/>
      <c r="B215" s="35"/>
      <c r="C215" s="34"/>
      <c r="D215" s="153" t="s">
        <v>191</v>
      </c>
      <c r="E215" s="34"/>
      <c r="F215" s="160" t="s">
        <v>213</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191</v>
      </c>
      <c r="AU215" s="19" t="s">
        <v>87</v>
      </c>
    </row>
    <row r="216" spans="1:65" s="13" customFormat="1">
      <c r="B216" s="161"/>
      <c r="D216" s="153" t="s">
        <v>193</v>
      </c>
      <c r="F216" s="163" t="s">
        <v>1556</v>
      </c>
      <c r="H216" s="164">
        <v>5274.97</v>
      </c>
      <c r="I216" s="165"/>
      <c r="L216" s="161"/>
      <c r="M216" s="166"/>
      <c r="N216" s="167"/>
      <c r="O216" s="167"/>
      <c r="P216" s="167"/>
      <c r="Q216" s="167"/>
      <c r="R216" s="167"/>
      <c r="S216" s="167"/>
      <c r="T216" s="168"/>
      <c r="AT216" s="162" t="s">
        <v>193</v>
      </c>
      <c r="AU216" s="162" t="s">
        <v>87</v>
      </c>
      <c r="AV216" s="13" t="s">
        <v>87</v>
      </c>
      <c r="AW216" s="13" t="s">
        <v>4</v>
      </c>
      <c r="AX216" s="13" t="s">
        <v>85</v>
      </c>
      <c r="AY216" s="162" t="s">
        <v>177</v>
      </c>
    </row>
    <row r="217" spans="1:65" s="2" customFormat="1" ht="24.2" customHeight="1">
      <c r="A217" s="34"/>
      <c r="B217" s="139"/>
      <c r="C217" s="140" t="s">
        <v>507</v>
      </c>
      <c r="D217" s="140" t="s">
        <v>180</v>
      </c>
      <c r="E217" s="141" t="s">
        <v>223</v>
      </c>
      <c r="F217" s="142" t="s">
        <v>224</v>
      </c>
      <c r="G217" s="143" t="s">
        <v>183</v>
      </c>
      <c r="H217" s="144">
        <v>277.63</v>
      </c>
      <c r="I217" s="145"/>
      <c r="J217" s="146">
        <f>ROUND(I217*H217,2)</f>
        <v>0</v>
      </c>
      <c r="K217" s="142" t="s">
        <v>184</v>
      </c>
      <c r="L217" s="35"/>
      <c r="M217" s="147" t="s">
        <v>3</v>
      </c>
      <c r="N217" s="148" t="s">
        <v>48</v>
      </c>
      <c r="O217" s="55"/>
      <c r="P217" s="149">
        <f>O217*H217</f>
        <v>0</v>
      </c>
      <c r="Q217" s="149">
        <v>0</v>
      </c>
      <c r="R217" s="149">
        <f>Q217*H217</f>
        <v>0</v>
      </c>
      <c r="S217" s="149">
        <v>0</v>
      </c>
      <c r="T217" s="150">
        <f>S217*H217</f>
        <v>0</v>
      </c>
      <c r="U217" s="34"/>
      <c r="V217" s="34"/>
      <c r="W217" s="34"/>
      <c r="X217" s="34"/>
      <c r="Y217" s="34"/>
      <c r="Z217" s="34"/>
      <c r="AA217" s="34"/>
      <c r="AB217" s="34"/>
      <c r="AC217" s="34"/>
      <c r="AD217" s="34"/>
      <c r="AE217" s="34"/>
      <c r="AR217" s="151" t="s">
        <v>185</v>
      </c>
      <c r="AT217" s="151" t="s">
        <v>180</v>
      </c>
      <c r="AU217" s="151" t="s">
        <v>87</v>
      </c>
      <c r="AY217" s="19" t="s">
        <v>177</v>
      </c>
      <c r="BE217" s="152">
        <f>IF(N217="základní",J217,0)</f>
        <v>0</v>
      </c>
      <c r="BF217" s="152">
        <f>IF(N217="snížená",J217,0)</f>
        <v>0</v>
      </c>
      <c r="BG217" s="152">
        <f>IF(N217="zákl. přenesená",J217,0)</f>
        <v>0</v>
      </c>
      <c r="BH217" s="152">
        <f>IF(N217="sníž. přenesená",J217,0)</f>
        <v>0</v>
      </c>
      <c r="BI217" s="152">
        <f>IF(N217="nulová",J217,0)</f>
        <v>0</v>
      </c>
      <c r="BJ217" s="19" t="s">
        <v>85</v>
      </c>
      <c r="BK217" s="152">
        <f>ROUND(I217*H217,2)</f>
        <v>0</v>
      </c>
      <c r="BL217" s="19" t="s">
        <v>185</v>
      </c>
      <c r="BM217" s="151" t="s">
        <v>1557</v>
      </c>
    </row>
    <row r="218" spans="1:65" s="2" customFormat="1" ht="19.5">
      <c r="A218" s="34"/>
      <c r="B218" s="35"/>
      <c r="C218" s="34"/>
      <c r="D218" s="153" t="s">
        <v>187</v>
      </c>
      <c r="E218" s="34"/>
      <c r="F218" s="154" t="s">
        <v>226</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187</v>
      </c>
      <c r="AU218" s="19" t="s">
        <v>87</v>
      </c>
    </row>
    <row r="219" spans="1:65" s="2" customFormat="1">
      <c r="A219" s="34"/>
      <c r="B219" s="35"/>
      <c r="C219" s="34"/>
      <c r="D219" s="158" t="s">
        <v>189</v>
      </c>
      <c r="E219" s="34"/>
      <c r="F219" s="159" t="s">
        <v>227</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189</v>
      </c>
      <c r="AU219" s="19" t="s">
        <v>87</v>
      </c>
    </row>
    <row r="220" spans="1:65" s="2" customFormat="1" ht="39">
      <c r="A220" s="34"/>
      <c r="B220" s="35"/>
      <c r="C220" s="34"/>
      <c r="D220" s="153" t="s">
        <v>191</v>
      </c>
      <c r="E220" s="34"/>
      <c r="F220" s="160" t="s">
        <v>228</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191</v>
      </c>
      <c r="AU220" s="19" t="s">
        <v>87</v>
      </c>
    </row>
    <row r="221" spans="1:65" s="12" customFormat="1" ht="22.9" customHeight="1">
      <c r="B221" s="126"/>
      <c r="D221" s="127" t="s">
        <v>76</v>
      </c>
      <c r="E221" s="137" t="s">
        <v>518</v>
      </c>
      <c r="F221" s="137" t="s">
        <v>519</v>
      </c>
      <c r="I221" s="129"/>
      <c r="J221" s="138">
        <f>BK221</f>
        <v>0</v>
      </c>
      <c r="L221" s="126"/>
      <c r="M221" s="131"/>
      <c r="N221" s="132"/>
      <c r="O221" s="132"/>
      <c r="P221" s="133">
        <f>SUM(P222:P225)</f>
        <v>0</v>
      </c>
      <c r="Q221" s="132"/>
      <c r="R221" s="133">
        <f>SUM(R222:R225)</f>
        <v>0</v>
      </c>
      <c r="S221" s="132"/>
      <c r="T221" s="134">
        <f>SUM(T222:T225)</f>
        <v>0</v>
      </c>
      <c r="AR221" s="127" t="s">
        <v>85</v>
      </c>
      <c r="AT221" s="135" t="s">
        <v>76</v>
      </c>
      <c r="AU221" s="135" t="s">
        <v>85</v>
      </c>
      <c r="AY221" s="127" t="s">
        <v>177</v>
      </c>
      <c r="BK221" s="136">
        <f>SUM(BK222:BK225)</f>
        <v>0</v>
      </c>
    </row>
    <row r="222" spans="1:65" s="2" customFormat="1" ht="16.5" customHeight="1">
      <c r="A222" s="34"/>
      <c r="B222" s="139"/>
      <c r="C222" s="140" t="s">
        <v>509</v>
      </c>
      <c r="D222" s="140" t="s">
        <v>180</v>
      </c>
      <c r="E222" s="141" t="s">
        <v>521</v>
      </c>
      <c r="F222" s="142" t="s">
        <v>522</v>
      </c>
      <c r="G222" s="143" t="s">
        <v>183</v>
      </c>
      <c r="H222" s="144">
        <v>8.1649999999999991</v>
      </c>
      <c r="I222" s="145"/>
      <c r="J222" s="146">
        <f>ROUND(I222*H222,2)</f>
        <v>0</v>
      </c>
      <c r="K222" s="142" t="s">
        <v>184</v>
      </c>
      <c r="L222" s="35"/>
      <c r="M222" s="147" t="s">
        <v>3</v>
      </c>
      <c r="N222" s="148" t="s">
        <v>48</v>
      </c>
      <c r="O222" s="55"/>
      <c r="P222" s="149">
        <f>O222*H222</f>
        <v>0</v>
      </c>
      <c r="Q222" s="149">
        <v>0</v>
      </c>
      <c r="R222" s="149">
        <f>Q222*H222</f>
        <v>0</v>
      </c>
      <c r="S222" s="149">
        <v>0</v>
      </c>
      <c r="T222" s="150">
        <f>S222*H222</f>
        <v>0</v>
      </c>
      <c r="U222" s="34"/>
      <c r="V222" s="34"/>
      <c r="W222" s="34"/>
      <c r="X222" s="34"/>
      <c r="Y222" s="34"/>
      <c r="Z222" s="34"/>
      <c r="AA222" s="34"/>
      <c r="AB222" s="34"/>
      <c r="AC222" s="34"/>
      <c r="AD222" s="34"/>
      <c r="AE222" s="34"/>
      <c r="AR222" s="151" t="s">
        <v>185</v>
      </c>
      <c r="AT222" s="151" t="s">
        <v>180</v>
      </c>
      <c r="AU222" s="151" t="s">
        <v>87</v>
      </c>
      <c r="AY222" s="19" t="s">
        <v>177</v>
      </c>
      <c r="BE222" s="152">
        <f>IF(N222="základní",J222,0)</f>
        <v>0</v>
      </c>
      <c r="BF222" s="152">
        <f>IF(N222="snížená",J222,0)</f>
        <v>0</v>
      </c>
      <c r="BG222" s="152">
        <f>IF(N222="zákl. přenesená",J222,0)</f>
        <v>0</v>
      </c>
      <c r="BH222" s="152">
        <f>IF(N222="sníž. přenesená",J222,0)</f>
        <v>0</v>
      </c>
      <c r="BI222" s="152">
        <f>IF(N222="nulová",J222,0)</f>
        <v>0</v>
      </c>
      <c r="BJ222" s="19" t="s">
        <v>85</v>
      </c>
      <c r="BK222" s="152">
        <f>ROUND(I222*H222,2)</f>
        <v>0</v>
      </c>
      <c r="BL222" s="19" t="s">
        <v>185</v>
      </c>
      <c r="BM222" s="151" t="s">
        <v>1558</v>
      </c>
    </row>
    <row r="223" spans="1:65" s="2" customFormat="1" ht="19.5">
      <c r="A223" s="34"/>
      <c r="B223" s="35"/>
      <c r="C223" s="34"/>
      <c r="D223" s="153" t="s">
        <v>187</v>
      </c>
      <c r="E223" s="34"/>
      <c r="F223" s="154" t="s">
        <v>524</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187</v>
      </c>
      <c r="AU223" s="19" t="s">
        <v>87</v>
      </c>
    </row>
    <row r="224" spans="1:65" s="2" customFormat="1">
      <c r="A224" s="34"/>
      <c r="B224" s="35"/>
      <c r="C224" s="34"/>
      <c r="D224" s="158" t="s">
        <v>189</v>
      </c>
      <c r="E224" s="34"/>
      <c r="F224" s="159" t="s">
        <v>525</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189</v>
      </c>
      <c r="AU224" s="19" t="s">
        <v>87</v>
      </c>
    </row>
    <row r="225" spans="1:65" s="2" customFormat="1" ht="58.5">
      <c r="A225" s="34"/>
      <c r="B225" s="35"/>
      <c r="C225" s="34"/>
      <c r="D225" s="153" t="s">
        <v>191</v>
      </c>
      <c r="E225" s="34"/>
      <c r="F225" s="160" t="s">
        <v>526</v>
      </c>
      <c r="G225" s="34"/>
      <c r="H225" s="34"/>
      <c r="I225" s="155"/>
      <c r="J225" s="34"/>
      <c r="K225" s="34"/>
      <c r="L225" s="35"/>
      <c r="M225" s="156"/>
      <c r="N225" s="157"/>
      <c r="O225" s="55"/>
      <c r="P225" s="55"/>
      <c r="Q225" s="55"/>
      <c r="R225" s="55"/>
      <c r="S225" s="55"/>
      <c r="T225" s="56"/>
      <c r="U225" s="34"/>
      <c r="V225" s="34"/>
      <c r="W225" s="34"/>
      <c r="X225" s="34"/>
      <c r="Y225" s="34"/>
      <c r="Z225" s="34"/>
      <c r="AA225" s="34"/>
      <c r="AB225" s="34"/>
      <c r="AC225" s="34"/>
      <c r="AD225" s="34"/>
      <c r="AE225" s="34"/>
      <c r="AT225" s="19" t="s">
        <v>191</v>
      </c>
      <c r="AU225" s="19" t="s">
        <v>87</v>
      </c>
    </row>
    <row r="226" spans="1:65" s="12" customFormat="1" ht="25.9" customHeight="1">
      <c r="B226" s="126"/>
      <c r="D226" s="127" t="s">
        <v>76</v>
      </c>
      <c r="E226" s="128" t="s">
        <v>229</v>
      </c>
      <c r="F226" s="128" t="s">
        <v>230</v>
      </c>
      <c r="I226" s="129"/>
      <c r="J226" s="130">
        <f>BK226</f>
        <v>0</v>
      </c>
      <c r="L226" s="126"/>
      <c r="M226" s="131"/>
      <c r="N226" s="132"/>
      <c r="O226" s="132"/>
      <c r="P226" s="133">
        <f>P227</f>
        <v>0</v>
      </c>
      <c r="Q226" s="132"/>
      <c r="R226" s="133">
        <f>R227</f>
        <v>0</v>
      </c>
      <c r="S226" s="132"/>
      <c r="T226" s="134">
        <f>T227</f>
        <v>0.88800000000000001</v>
      </c>
      <c r="AR226" s="127" t="s">
        <v>87</v>
      </c>
      <c r="AT226" s="135" t="s">
        <v>76</v>
      </c>
      <c r="AU226" s="135" t="s">
        <v>77</v>
      </c>
      <c r="AY226" s="127" t="s">
        <v>177</v>
      </c>
      <c r="BK226" s="136">
        <f>BK227</f>
        <v>0</v>
      </c>
    </row>
    <row r="227" spans="1:65" s="12" customFormat="1" ht="22.9" customHeight="1">
      <c r="B227" s="126"/>
      <c r="D227" s="127" t="s">
        <v>76</v>
      </c>
      <c r="E227" s="137" t="s">
        <v>1559</v>
      </c>
      <c r="F227" s="137" t="s">
        <v>1560</v>
      </c>
      <c r="I227" s="129"/>
      <c r="J227" s="138">
        <f>BK227</f>
        <v>0</v>
      </c>
      <c r="L227" s="126"/>
      <c r="M227" s="131"/>
      <c r="N227" s="132"/>
      <c r="O227" s="132"/>
      <c r="P227" s="133">
        <f>SUM(P228:P234)</f>
        <v>0</v>
      </c>
      <c r="Q227" s="132"/>
      <c r="R227" s="133">
        <f>SUM(R228:R234)</f>
        <v>0</v>
      </c>
      <c r="S227" s="132"/>
      <c r="T227" s="134">
        <f>SUM(T228:T234)</f>
        <v>0.88800000000000001</v>
      </c>
      <c r="AR227" s="127" t="s">
        <v>87</v>
      </c>
      <c r="AT227" s="135" t="s">
        <v>76</v>
      </c>
      <c r="AU227" s="135" t="s">
        <v>85</v>
      </c>
      <c r="AY227" s="127" t="s">
        <v>177</v>
      </c>
      <c r="BK227" s="136">
        <f>SUM(BK228:BK234)</f>
        <v>0</v>
      </c>
    </row>
    <row r="228" spans="1:65" s="2" customFormat="1" ht="16.5" customHeight="1">
      <c r="A228" s="34"/>
      <c r="B228" s="139"/>
      <c r="C228" s="140" t="s">
        <v>512</v>
      </c>
      <c r="D228" s="140" t="s">
        <v>180</v>
      </c>
      <c r="E228" s="141" t="s">
        <v>1561</v>
      </c>
      <c r="F228" s="142" t="s">
        <v>1562</v>
      </c>
      <c r="G228" s="143" t="s">
        <v>236</v>
      </c>
      <c r="H228" s="144">
        <v>37</v>
      </c>
      <c r="I228" s="145"/>
      <c r="J228" s="146">
        <f>ROUND(I228*H228,2)</f>
        <v>0</v>
      </c>
      <c r="K228" s="142" t="s">
        <v>184</v>
      </c>
      <c r="L228" s="35"/>
      <c r="M228" s="147" t="s">
        <v>3</v>
      </c>
      <c r="N228" s="148" t="s">
        <v>48</v>
      </c>
      <c r="O228" s="55"/>
      <c r="P228" s="149">
        <f>O228*H228</f>
        <v>0</v>
      </c>
      <c r="Q228" s="149">
        <v>0</v>
      </c>
      <c r="R228" s="149">
        <f>Q228*H228</f>
        <v>0</v>
      </c>
      <c r="S228" s="149">
        <v>2.4E-2</v>
      </c>
      <c r="T228" s="150">
        <f>S228*H228</f>
        <v>0.88800000000000001</v>
      </c>
      <c r="U228" s="34"/>
      <c r="V228" s="34"/>
      <c r="W228" s="34"/>
      <c r="X228" s="34"/>
      <c r="Y228" s="34"/>
      <c r="Z228" s="34"/>
      <c r="AA228" s="34"/>
      <c r="AB228" s="34"/>
      <c r="AC228" s="34"/>
      <c r="AD228" s="34"/>
      <c r="AE228" s="34"/>
      <c r="AR228" s="151" t="s">
        <v>237</v>
      </c>
      <c r="AT228" s="151" t="s">
        <v>180</v>
      </c>
      <c r="AU228" s="151" t="s">
        <v>87</v>
      </c>
      <c r="AY228" s="19" t="s">
        <v>177</v>
      </c>
      <c r="BE228" s="152">
        <f>IF(N228="základní",J228,0)</f>
        <v>0</v>
      </c>
      <c r="BF228" s="152">
        <f>IF(N228="snížená",J228,0)</f>
        <v>0</v>
      </c>
      <c r="BG228" s="152">
        <f>IF(N228="zákl. přenesená",J228,0)</f>
        <v>0</v>
      </c>
      <c r="BH228" s="152">
        <f>IF(N228="sníž. přenesená",J228,0)</f>
        <v>0</v>
      </c>
      <c r="BI228" s="152">
        <f>IF(N228="nulová",J228,0)</f>
        <v>0</v>
      </c>
      <c r="BJ228" s="19" t="s">
        <v>85</v>
      </c>
      <c r="BK228" s="152">
        <f>ROUND(I228*H228,2)</f>
        <v>0</v>
      </c>
      <c r="BL228" s="19" t="s">
        <v>237</v>
      </c>
      <c r="BM228" s="151" t="s">
        <v>1563</v>
      </c>
    </row>
    <row r="229" spans="1:65" s="2" customFormat="1">
      <c r="A229" s="34"/>
      <c r="B229" s="35"/>
      <c r="C229" s="34"/>
      <c r="D229" s="153" t="s">
        <v>187</v>
      </c>
      <c r="E229" s="34"/>
      <c r="F229" s="154" t="s">
        <v>1564</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187</v>
      </c>
      <c r="AU229" s="19" t="s">
        <v>87</v>
      </c>
    </row>
    <row r="230" spans="1:65" s="2" customFormat="1">
      <c r="A230" s="34"/>
      <c r="B230" s="35"/>
      <c r="C230" s="34"/>
      <c r="D230" s="158" t="s">
        <v>189</v>
      </c>
      <c r="E230" s="34"/>
      <c r="F230" s="159" t="s">
        <v>1565</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189</v>
      </c>
      <c r="AU230" s="19" t="s">
        <v>87</v>
      </c>
    </row>
    <row r="231" spans="1:65" s="2" customFormat="1" ht="29.25">
      <c r="A231" s="34"/>
      <c r="B231" s="35"/>
      <c r="C231" s="34"/>
      <c r="D231" s="153" t="s">
        <v>191</v>
      </c>
      <c r="E231" s="34"/>
      <c r="F231" s="160" t="s">
        <v>1566</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191</v>
      </c>
      <c r="AU231" s="19" t="s">
        <v>87</v>
      </c>
    </row>
    <row r="232" spans="1:65" s="13" customFormat="1">
      <c r="B232" s="161"/>
      <c r="D232" s="153" t="s">
        <v>193</v>
      </c>
      <c r="E232" s="162" t="s">
        <v>3</v>
      </c>
      <c r="F232" s="163" t="s">
        <v>1567</v>
      </c>
      <c r="H232" s="164">
        <v>31</v>
      </c>
      <c r="I232" s="165"/>
      <c r="L232" s="161"/>
      <c r="M232" s="166"/>
      <c r="N232" s="167"/>
      <c r="O232" s="167"/>
      <c r="P232" s="167"/>
      <c r="Q232" s="167"/>
      <c r="R232" s="167"/>
      <c r="S232" s="167"/>
      <c r="T232" s="168"/>
      <c r="AT232" s="162" t="s">
        <v>193</v>
      </c>
      <c r="AU232" s="162" t="s">
        <v>87</v>
      </c>
      <c r="AV232" s="13" t="s">
        <v>87</v>
      </c>
      <c r="AW232" s="13" t="s">
        <v>36</v>
      </c>
      <c r="AX232" s="13" t="s">
        <v>77</v>
      </c>
      <c r="AY232" s="162" t="s">
        <v>177</v>
      </c>
    </row>
    <row r="233" spans="1:65" s="13" customFormat="1">
      <c r="B233" s="161"/>
      <c r="D233" s="153" t="s">
        <v>193</v>
      </c>
      <c r="E233" s="162" t="s">
        <v>3</v>
      </c>
      <c r="F233" s="163" t="s">
        <v>233</v>
      </c>
      <c r="H233" s="164">
        <v>6</v>
      </c>
      <c r="I233" s="165"/>
      <c r="L233" s="161"/>
      <c r="M233" s="166"/>
      <c r="N233" s="167"/>
      <c r="O233" s="167"/>
      <c r="P233" s="167"/>
      <c r="Q233" s="167"/>
      <c r="R233" s="167"/>
      <c r="S233" s="167"/>
      <c r="T233" s="168"/>
      <c r="AT233" s="162" t="s">
        <v>193</v>
      </c>
      <c r="AU233" s="162" t="s">
        <v>87</v>
      </c>
      <c r="AV233" s="13" t="s">
        <v>87</v>
      </c>
      <c r="AW233" s="13" t="s">
        <v>36</v>
      </c>
      <c r="AX233" s="13" t="s">
        <v>77</v>
      </c>
      <c r="AY233" s="162" t="s">
        <v>177</v>
      </c>
    </row>
    <row r="234" spans="1:65" s="16" customFormat="1">
      <c r="B234" s="184"/>
      <c r="D234" s="153" t="s">
        <v>193</v>
      </c>
      <c r="E234" s="185" t="s">
        <v>3</v>
      </c>
      <c r="F234" s="186" t="s">
        <v>201</v>
      </c>
      <c r="H234" s="187">
        <v>37</v>
      </c>
      <c r="I234" s="188"/>
      <c r="L234" s="184"/>
      <c r="M234" s="189"/>
      <c r="N234" s="190"/>
      <c r="O234" s="190"/>
      <c r="P234" s="190"/>
      <c r="Q234" s="190"/>
      <c r="R234" s="190"/>
      <c r="S234" s="190"/>
      <c r="T234" s="191"/>
      <c r="AT234" s="185" t="s">
        <v>193</v>
      </c>
      <c r="AU234" s="185" t="s">
        <v>87</v>
      </c>
      <c r="AV234" s="16" t="s">
        <v>185</v>
      </c>
      <c r="AW234" s="16" t="s">
        <v>36</v>
      </c>
      <c r="AX234" s="16" t="s">
        <v>85</v>
      </c>
      <c r="AY234" s="185" t="s">
        <v>177</v>
      </c>
    </row>
    <row r="235" spans="1:65" s="12" customFormat="1" ht="25.9" customHeight="1">
      <c r="B235" s="126"/>
      <c r="D235" s="127" t="s">
        <v>76</v>
      </c>
      <c r="E235" s="128" t="s">
        <v>313</v>
      </c>
      <c r="F235" s="128" t="s">
        <v>314</v>
      </c>
      <c r="I235" s="129"/>
      <c r="J235" s="130">
        <f>BK235</f>
        <v>0</v>
      </c>
      <c r="L235" s="126"/>
      <c r="M235" s="131"/>
      <c r="N235" s="132"/>
      <c r="O235" s="132"/>
      <c r="P235" s="133">
        <f>SUM(P236:P238)</f>
        <v>0</v>
      </c>
      <c r="Q235" s="132"/>
      <c r="R235" s="133">
        <f>SUM(R236:R238)</f>
        <v>0</v>
      </c>
      <c r="S235" s="132"/>
      <c r="T235" s="134">
        <f>SUM(T236:T238)</f>
        <v>0</v>
      </c>
      <c r="AR235" s="127" t="s">
        <v>185</v>
      </c>
      <c r="AT235" s="135" t="s">
        <v>76</v>
      </c>
      <c r="AU235" s="135" t="s">
        <v>77</v>
      </c>
      <c r="AY235" s="127" t="s">
        <v>177</v>
      </c>
      <c r="BK235" s="136">
        <f>SUM(BK236:BK238)</f>
        <v>0</v>
      </c>
    </row>
    <row r="236" spans="1:65" s="2" customFormat="1" ht="16.5" customHeight="1">
      <c r="A236" s="34"/>
      <c r="B236" s="139"/>
      <c r="C236" s="140" t="s">
        <v>520</v>
      </c>
      <c r="D236" s="140" t="s">
        <v>180</v>
      </c>
      <c r="E236" s="141" t="s">
        <v>528</v>
      </c>
      <c r="F236" s="142" t="s">
        <v>529</v>
      </c>
      <c r="G236" s="143" t="s">
        <v>305</v>
      </c>
      <c r="H236" s="144">
        <v>100</v>
      </c>
      <c r="I236" s="145"/>
      <c r="J236" s="146">
        <f>ROUND(I236*H236,2)</f>
        <v>0</v>
      </c>
      <c r="K236" s="142" t="s">
        <v>184</v>
      </c>
      <c r="L236" s="35"/>
      <c r="M236" s="147" t="s">
        <v>3</v>
      </c>
      <c r="N236" s="148" t="s">
        <v>48</v>
      </c>
      <c r="O236" s="55"/>
      <c r="P236" s="149">
        <f>O236*H236</f>
        <v>0</v>
      </c>
      <c r="Q236" s="149">
        <v>0</v>
      </c>
      <c r="R236" s="149">
        <f>Q236*H236</f>
        <v>0</v>
      </c>
      <c r="S236" s="149">
        <v>0</v>
      </c>
      <c r="T236" s="150">
        <f>S236*H236</f>
        <v>0</v>
      </c>
      <c r="U236" s="34"/>
      <c r="V236" s="34"/>
      <c r="W236" s="34"/>
      <c r="X236" s="34"/>
      <c r="Y236" s="34"/>
      <c r="Z236" s="34"/>
      <c r="AA236" s="34"/>
      <c r="AB236" s="34"/>
      <c r="AC236" s="34"/>
      <c r="AD236" s="34"/>
      <c r="AE236" s="34"/>
      <c r="AR236" s="151" t="s">
        <v>318</v>
      </c>
      <c r="AT236" s="151" t="s">
        <v>180</v>
      </c>
      <c r="AU236" s="151" t="s">
        <v>85</v>
      </c>
      <c r="AY236" s="19" t="s">
        <v>177</v>
      </c>
      <c r="BE236" s="152">
        <f>IF(N236="základní",J236,0)</f>
        <v>0</v>
      </c>
      <c r="BF236" s="152">
        <f>IF(N236="snížená",J236,0)</f>
        <v>0</v>
      </c>
      <c r="BG236" s="152">
        <f>IF(N236="zákl. přenesená",J236,0)</f>
        <v>0</v>
      </c>
      <c r="BH236" s="152">
        <f>IF(N236="sníž. přenesená",J236,0)</f>
        <v>0</v>
      </c>
      <c r="BI236" s="152">
        <f>IF(N236="nulová",J236,0)</f>
        <v>0</v>
      </c>
      <c r="BJ236" s="19" t="s">
        <v>85</v>
      </c>
      <c r="BK236" s="152">
        <f>ROUND(I236*H236,2)</f>
        <v>0</v>
      </c>
      <c r="BL236" s="19" t="s">
        <v>318</v>
      </c>
      <c r="BM236" s="151" t="s">
        <v>1568</v>
      </c>
    </row>
    <row r="237" spans="1:65" s="2" customFormat="1">
      <c r="A237" s="34"/>
      <c r="B237" s="35"/>
      <c r="C237" s="34"/>
      <c r="D237" s="153" t="s">
        <v>187</v>
      </c>
      <c r="E237" s="34"/>
      <c r="F237" s="154" t="s">
        <v>531</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187</v>
      </c>
      <c r="AU237" s="19" t="s">
        <v>85</v>
      </c>
    </row>
    <row r="238" spans="1:65" s="2" customFormat="1">
      <c r="A238" s="34"/>
      <c r="B238" s="35"/>
      <c r="C238" s="34"/>
      <c r="D238" s="158" t="s">
        <v>189</v>
      </c>
      <c r="E238" s="34"/>
      <c r="F238" s="159" t="s">
        <v>532</v>
      </c>
      <c r="G238" s="34"/>
      <c r="H238" s="34"/>
      <c r="I238" s="155"/>
      <c r="J238" s="34"/>
      <c r="K238" s="34"/>
      <c r="L238" s="35"/>
      <c r="M238" s="205"/>
      <c r="N238" s="206"/>
      <c r="O238" s="207"/>
      <c r="P238" s="207"/>
      <c r="Q238" s="207"/>
      <c r="R238" s="207"/>
      <c r="S238" s="207"/>
      <c r="T238" s="208"/>
      <c r="U238" s="34"/>
      <c r="V238" s="34"/>
      <c r="W238" s="34"/>
      <c r="X238" s="34"/>
      <c r="Y238" s="34"/>
      <c r="Z238" s="34"/>
      <c r="AA238" s="34"/>
      <c r="AB238" s="34"/>
      <c r="AC238" s="34"/>
      <c r="AD238" s="34"/>
      <c r="AE238" s="34"/>
      <c r="AT238" s="19" t="s">
        <v>189</v>
      </c>
      <c r="AU238" s="19" t="s">
        <v>85</v>
      </c>
    </row>
    <row r="239" spans="1:65" s="2" customFormat="1" ht="6.95" customHeight="1">
      <c r="A239" s="34"/>
      <c r="B239" s="44"/>
      <c r="C239" s="45"/>
      <c r="D239" s="45"/>
      <c r="E239" s="45"/>
      <c r="F239" s="45"/>
      <c r="G239" s="45"/>
      <c r="H239" s="45"/>
      <c r="I239" s="45"/>
      <c r="J239" s="45"/>
      <c r="K239" s="45"/>
      <c r="L239" s="35"/>
      <c r="M239" s="34"/>
      <c r="O239" s="34"/>
      <c r="P239" s="34"/>
      <c r="Q239" s="34"/>
      <c r="R239" s="34"/>
      <c r="S239" s="34"/>
      <c r="T239" s="34"/>
      <c r="U239" s="34"/>
      <c r="V239" s="34"/>
      <c r="W239" s="34"/>
      <c r="X239" s="34"/>
      <c r="Y239" s="34"/>
      <c r="Z239" s="34"/>
      <c r="AA239" s="34"/>
      <c r="AB239" s="34"/>
      <c r="AC239" s="34"/>
      <c r="AD239" s="34"/>
      <c r="AE239" s="34"/>
    </row>
  </sheetData>
  <autoFilter ref="C85:K238"/>
  <mergeCells count="9">
    <mergeCell ref="E50:H50"/>
    <mergeCell ref="E76:H76"/>
    <mergeCell ref="E78:H78"/>
    <mergeCell ref="L2:V2"/>
    <mergeCell ref="E7:H7"/>
    <mergeCell ref="E9:H9"/>
    <mergeCell ref="E18:H18"/>
    <mergeCell ref="E27:H27"/>
    <mergeCell ref="E48:H48"/>
  </mergeCells>
  <hyperlinks>
    <hyperlink ref="F91" r:id="rId1"/>
    <hyperlink ref="F97" r:id="rId2"/>
    <hyperlink ref="F101" r:id="rId3"/>
    <hyperlink ref="F109" r:id="rId4"/>
    <hyperlink ref="F114" r:id="rId5"/>
    <hyperlink ref="F118" r:id="rId6"/>
    <hyperlink ref="F121" r:id="rId7"/>
    <hyperlink ref="F126" r:id="rId8"/>
    <hyperlink ref="F134" r:id="rId9"/>
    <hyperlink ref="F141" r:id="rId10"/>
    <hyperlink ref="F145" r:id="rId11"/>
    <hyperlink ref="F149" r:id="rId12"/>
    <hyperlink ref="F153" r:id="rId13"/>
    <hyperlink ref="F157" r:id="rId14"/>
    <hyperlink ref="F163" r:id="rId15"/>
    <hyperlink ref="F169" r:id="rId16"/>
    <hyperlink ref="F174" r:id="rId17"/>
    <hyperlink ref="F178" r:id="rId18"/>
    <hyperlink ref="F182" r:id="rId19"/>
    <hyperlink ref="F191" r:id="rId20"/>
    <hyperlink ref="F201" r:id="rId21"/>
    <hyperlink ref="F205" r:id="rId22"/>
    <hyperlink ref="F210" r:id="rId23"/>
    <hyperlink ref="F214" r:id="rId24"/>
    <hyperlink ref="F219" r:id="rId25"/>
    <hyperlink ref="F224" r:id="rId26"/>
    <hyperlink ref="F230" r:id="rId27"/>
    <hyperlink ref="F238" r:id="rId28"/>
  </hyperlinks>
  <pageMargins left="0.39374999999999999" right="0.39374999999999999" top="0.39374999999999999" bottom="0.39374999999999999" header="0" footer="0"/>
  <pageSetup paperSize="9" scale="84" fitToHeight="100" orientation="landscape" blackAndWhite="1" r:id="rId29"/>
  <headerFooter>
    <oddFooter>&amp;CStrana &amp;P z &amp;N</oddFooter>
  </headerFooter>
  <drawing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108</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1569</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ROUND(J89,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ROUND((SUM(BE89:BE234)),  2)</f>
        <v>0</v>
      </c>
      <c r="G33" s="34"/>
      <c r="H33" s="34"/>
      <c r="I33" s="98">
        <v>0.21</v>
      </c>
      <c r="J33" s="97">
        <f>ROUND(((SUM(BE89:BE234))*I33),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ROUND((SUM(BF89:BF234)),  2)</f>
        <v>0</v>
      </c>
      <c r="G34" s="34"/>
      <c r="H34" s="34"/>
      <c r="I34" s="98">
        <v>0.15</v>
      </c>
      <c r="J34" s="97">
        <f>ROUND(((SUM(BF89:BF234))*I34),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ROUND((SUM(BG89:BG234)),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ROUND((SUM(BH89:BH234)),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ROUND((SUM(BI89:BI234)),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8 - Provedení otvoru pro schodišťový prostor</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J89</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J90</f>
        <v>0</v>
      </c>
      <c r="L60" s="108"/>
    </row>
    <row r="61" spans="1:47" s="10" customFormat="1" ht="19.899999999999999" customHeight="1">
      <c r="B61" s="112"/>
      <c r="D61" s="113" t="s">
        <v>546</v>
      </c>
      <c r="E61" s="114"/>
      <c r="F61" s="114"/>
      <c r="G61" s="114"/>
      <c r="H61" s="114"/>
      <c r="I61" s="114"/>
      <c r="J61" s="115">
        <f>J91</f>
        <v>0</v>
      </c>
      <c r="L61" s="112"/>
    </row>
    <row r="62" spans="1:47" s="10" customFormat="1" ht="19.899999999999999" customHeight="1">
      <c r="B62" s="112"/>
      <c r="D62" s="113" t="s">
        <v>1570</v>
      </c>
      <c r="E62" s="114"/>
      <c r="F62" s="114"/>
      <c r="G62" s="114"/>
      <c r="H62" s="114"/>
      <c r="I62" s="114"/>
      <c r="J62" s="115">
        <f>J96</f>
        <v>0</v>
      </c>
      <c r="L62" s="112"/>
    </row>
    <row r="63" spans="1:47" s="10" customFormat="1" ht="19.899999999999999" customHeight="1">
      <c r="B63" s="112"/>
      <c r="D63" s="113" t="s">
        <v>325</v>
      </c>
      <c r="E63" s="114"/>
      <c r="F63" s="114"/>
      <c r="G63" s="114"/>
      <c r="H63" s="114"/>
      <c r="I63" s="114"/>
      <c r="J63" s="115">
        <f>J114</f>
        <v>0</v>
      </c>
      <c r="L63" s="112"/>
    </row>
    <row r="64" spans="1:47" s="10" customFormat="1" ht="19.899999999999999" customHeight="1">
      <c r="B64" s="112"/>
      <c r="D64" s="113" t="s">
        <v>154</v>
      </c>
      <c r="E64" s="114"/>
      <c r="F64" s="114"/>
      <c r="G64" s="114"/>
      <c r="H64" s="114"/>
      <c r="I64" s="114"/>
      <c r="J64" s="115">
        <f>J153</f>
        <v>0</v>
      </c>
      <c r="L64" s="112"/>
    </row>
    <row r="65" spans="1:31" s="10" customFormat="1" ht="19.899999999999999" customHeight="1">
      <c r="B65" s="112"/>
      <c r="D65" s="113" t="s">
        <v>326</v>
      </c>
      <c r="E65" s="114"/>
      <c r="F65" s="114"/>
      <c r="G65" s="114"/>
      <c r="H65" s="114"/>
      <c r="I65" s="114"/>
      <c r="J65" s="115">
        <f>J176</f>
        <v>0</v>
      </c>
      <c r="L65" s="112"/>
    </row>
    <row r="66" spans="1:31" s="9" customFormat="1" ht="24.95" customHeight="1">
      <c r="B66" s="108"/>
      <c r="D66" s="109" t="s">
        <v>155</v>
      </c>
      <c r="E66" s="110"/>
      <c r="F66" s="110"/>
      <c r="G66" s="110"/>
      <c r="H66" s="110"/>
      <c r="I66" s="110"/>
      <c r="J66" s="111">
        <f>J181</f>
        <v>0</v>
      </c>
      <c r="L66" s="108"/>
    </row>
    <row r="67" spans="1:31" s="10" customFormat="1" ht="19.899999999999999" customHeight="1">
      <c r="B67" s="112"/>
      <c r="D67" s="113" t="s">
        <v>926</v>
      </c>
      <c r="E67" s="114"/>
      <c r="F67" s="114"/>
      <c r="G67" s="114"/>
      <c r="H67" s="114"/>
      <c r="I67" s="114"/>
      <c r="J67" s="115">
        <f>J182</f>
        <v>0</v>
      </c>
      <c r="L67" s="112"/>
    </row>
    <row r="68" spans="1:31" s="10" customFormat="1" ht="19.899999999999999" customHeight="1">
      <c r="B68" s="112"/>
      <c r="D68" s="113" t="s">
        <v>1571</v>
      </c>
      <c r="E68" s="114"/>
      <c r="F68" s="114"/>
      <c r="G68" s="114"/>
      <c r="H68" s="114"/>
      <c r="I68" s="114"/>
      <c r="J68" s="115">
        <f>J213</f>
        <v>0</v>
      </c>
      <c r="L68" s="112"/>
    </row>
    <row r="69" spans="1:31" s="9" customFormat="1" ht="24.95" customHeight="1">
      <c r="B69" s="108"/>
      <c r="D69" s="109" t="s">
        <v>161</v>
      </c>
      <c r="E69" s="110"/>
      <c r="F69" s="110"/>
      <c r="G69" s="110"/>
      <c r="H69" s="110"/>
      <c r="I69" s="110"/>
      <c r="J69" s="111">
        <f>J231</f>
        <v>0</v>
      </c>
      <c r="L69" s="108"/>
    </row>
    <row r="70" spans="1:31" s="2" customFormat="1" ht="21.7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6.95" customHeight="1">
      <c r="A71" s="34"/>
      <c r="B71" s="44"/>
      <c r="C71" s="45"/>
      <c r="D71" s="45"/>
      <c r="E71" s="45"/>
      <c r="F71" s="45"/>
      <c r="G71" s="45"/>
      <c r="H71" s="45"/>
      <c r="I71" s="45"/>
      <c r="J71" s="45"/>
      <c r="K71" s="45"/>
      <c r="L71" s="91"/>
      <c r="S71" s="34"/>
      <c r="T71" s="34"/>
      <c r="U71" s="34"/>
      <c r="V71" s="34"/>
      <c r="W71" s="34"/>
      <c r="X71" s="34"/>
      <c r="Y71" s="34"/>
      <c r="Z71" s="34"/>
      <c r="AA71" s="34"/>
      <c r="AB71" s="34"/>
      <c r="AC71" s="34"/>
      <c r="AD71" s="34"/>
      <c r="AE71" s="34"/>
    </row>
    <row r="75" spans="1:31" s="2" customFormat="1" ht="6.95" customHeight="1">
      <c r="A75" s="34"/>
      <c r="B75" s="46"/>
      <c r="C75" s="47"/>
      <c r="D75" s="47"/>
      <c r="E75" s="47"/>
      <c r="F75" s="47"/>
      <c r="G75" s="47"/>
      <c r="H75" s="47"/>
      <c r="I75" s="47"/>
      <c r="J75" s="47"/>
      <c r="K75" s="47"/>
      <c r="L75" s="91"/>
      <c r="S75" s="34"/>
      <c r="T75" s="34"/>
      <c r="U75" s="34"/>
      <c r="V75" s="34"/>
      <c r="W75" s="34"/>
      <c r="X75" s="34"/>
      <c r="Y75" s="34"/>
      <c r="Z75" s="34"/>
      <c r="AA75" s="34"/>
      <c r="AB75" s="34"/>
      <c r="AC75" s="34"/>
      <c r="AD75" s="34"/>
      <c r="AE75" s="34"/>
    </row>
    <row r="76" spans="1:31" s="2" customFormat="1" ht="24.95" customHeight="1">
      <c r="A76" s="34"/>
      <c r="B76" s="35"/>
      <c r="C76" s="23" t="s">
        <v>162</v>
      </c>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2" customHeight="1">
      <c r="A78" s="34"/>
      <c r="B78" s="35"/>
      <c r="C78" s="29" t="s">
        <v>17</v>
      </c>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16.5" customHeight="1">
      <c r="A79" s="34"/>
      <c r="B79" s="35"/>
      <c r="C79" s="34"/>
      <c r="D79" s="34"/>
      <c r="E79" s="436" t="str">
        <f>E7</f>
        <v>ZŠ P. HOLÉHO - PŘESTAVBA PLAVECKÉHO PAVILONU</v>
      </c>
      <c r="F79" s="437"/>
      <c r="G79" s="437"/>
      <c r="H79" s="437"/>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146</v>
      </c>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6.5" customHeight="1">
      <c r="A81" s="34"/>
      <c r="B81" s="35"/>
      <c r="C81" s="34"/>
      <c r="D81" s="34"/>
      <c r="E81" s="432" t="str">
        <f>E9</f>
        <v>E 8 - Provedení otvoru pro schodišťový prostor</v>
      </c>
      <c r="F81" s="435"/>
      <c r="G81" s="435"/>
      <c r="H81" s="435"/>
      <c r="I81" s="34"/>
      <c r="J81" s="34"/>
      <c r="K81" s="34"/>
      <c r="L81" s="91"/>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F12</f>
        <v>Prokopa Holého 2632, Louny, 440 01</v>
      </c>
      <c r="G83" s="34"/>
      <c r="H83" s="34"/>
      <c r="I83" s="29" t="s">
        <v>23</v>
      </c>
      <c r="J83" s="52" t="str">
        <f>IF(J12="","",J12)</f>
        <v>21. 9. 2022</v>
      </c>
      <c r="K83" s="34"/>
      <c r="L83" s="91"/>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E15</f>
        <v>Město Louny</v>
      </c>
      <c r="G85" s="34"/>
      <c r="H85" s="34"/>
      <c r="I85" s="29" t="s">
        <v>32</v>
      </c>
      <c r="J85" s="32" t="str">
        <f>E21</f>
        <v>RYSIK Design s.r.o.</v>
      </c>
      <c r="K85" s="34"/>
      <c r="L85" s="91"/>
      <c r="S85" s="34"/>
      <c r="T85" s="34"/>
      <c r="U85" s="34"/>
      <c r="V85" s="34"/>
      <c r="W85" s="34"/>
      <c r="X85" s="34"/>
      <c r="Y85" s="34"/>
      <c r="Z85" s="34"/>
      <c r="AA85" s="34"/>
      <c r="AB85" s="34"/>
      <c r="AC85" s="34"/>
      <c r="AD85" s="34"/>
      <c r="AE85" s="34"/>
    </row>
    <row r="86" spans="1:65" s="2" customFormat="1" ht="25.7" customHeight="1">
      <c r="A86" s="34"/>
      <c r="B86" s="35"/>
      <c r="C86" s="29" t="s">
        <v>30</v>
      </c>
      <c r="D86" s="34"/>
      <c r="E86" s="34"/>
      <c r="F86" s="27" t="str">
        <f>IF(E18="","",E18)</f>
        <v>Vyplň údaj</v>
      </c>
      <c r="G86" s="34"/>
      <c r="H86" s="34"/>
      <c r="I86" s="29" t="s">
        <v>37</v>
      </c>
      <c r="J86" s="32" t="str">
        <f>E24</f>
        <v>ing. Kateřina Tumpachová</v>
      </c>
      <c r="K86" s="34"/>
      <c r="L86" s="91"/>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1"/>
      <c r="S87" s="34"/>
      <c r="T87" s="34"/>
      <c r="U87" s="34"/>
      <c r="V87" s="34"/>
      <c r="W87" s="34"/>
      <c r="X87" s="34"/>
      <c r="Y87" s="34"/>
      <c r="Z87" s="34"/>
      <c r="AA87" s="34"/>
      <c r="AB87" s="34"/>
      <c r="AC87" s="34"/>
      <c r="AD87" s="34"/>
      <c r="AE87" s="34"/>
    </row>
    <row r="88" spans="1:65" s="11" customFormat="1" ht="29.25" customHeight="1">
      <c r="A88" s="116"/>
      <c r="B88" s="117"/>
      <c r="C88" s="118" t="s">
        <v>163</v>
      </c>
      <c r="D88" s="119" t="s">
        <v>62</v>
      </c>
      <c r="E88" s="119" t="s">
        <v>58</v>
      </c>
      <c r="F88" s="119" t="s">
        <v>59</v>
      </c>
      <c r="G88" s="119" t="s">
        <v>164</v>
      </c>
      <c r="H88" s="119" t="s">
        <v>165</v>
      </c>
      <c r="I88" s="119" t="s">
        <v>166</v>
      </c>
      <c r="J88" s="119" t="s">
        <v>151</v>
      </c>
      <c r="K88" s="120" t="s">
        <v>167</v>
      </c>
      <c r="L88" s="121"/>
      <c r="M88" s="59" t="s">
        <v>3</v>
      </c>
      <c r="N88" s="60" t="s">
        <v>47</v>
      </c>
      <c r="O88" s="60" t="s">
        <v>168</v>
      </c>
      <c r="P88" s="60" t="s">
        <v>169</v>
      </c>
      <c r="Q88" s="60" t="s">
        <v>170</v>
      </c>
      <c r="R88" s="60" t="s">
        <v>171</v>
      </c>
      <c r="S88" s="60" t="s">
        <v>172</v>
      </c>
      <c r="T88" s="61" t="s">
        <v>173</v>
      </c>
      <c r="U88" s="116"/>
      <c r="V88" s="116"/>
      <c r="W88" s="116"/>
      <c r="X88" s="116"/>
      <c r="Y88" s="116"/>
      <c r="Z88" s="116"/>
      <c r="AA88" s="116"/>
      <c r="AB88" s="116"/>
      <c r="AC88" s="116"/>
      <c r="AD88" s="116"/>
      <c r="AE88" s="116"/>
    </row>
    <row r="89" spans="1:65" s="2" customFormat="1" ht="22.9" customHeight="1">
      <c r="A89" s="34"/>
      <c r="B89" s="35"/>
      <c r="C89" s="66" t="s">
        <v>174</v>
      </c>
      <c r="D89" s="34"/>
      <c r="E89" s="34"/>
      <c r="F89" s="34"/>
      <c r="G89" s="34"/>
      <c r="H89" s="34"/>
      <c r="I89" s="34"/>
      <c r="J89" s="122">
        <f>BK89</f>
        <v>0</v>
      </c>
      <c r="K89" s="34"/>
      <c r="L89" s="35"/>
      <c r="M89" s="62"/>
      <c r="N89" s="53"/>
      <c r="O89" s="63"/>
      <c r="P89" s="123">
        <f>P90+P181+P231</f>
        <v>0</v>
      </c>
      <c r="Q89" s="63"/>
      <c r="R89" s="123">
        <f>R90+R181+R231</f>
        <v>1.759802825</v>
      </c>
      <c r="S89" s="63"/>
      <c r="T89" s="124">
        <f>T90+T181+T231</f>
        <v>11.8386</v>
      </c>
      <c r="U89" s="34"/>
      <c r="V89" s="34"/>
      <c r="W89" s="34"/>
      <c r="X89" s="34"/>
      <c r="Y89" s="34"/>
      <c r="Z89" s="34"/>
      <c r="AA89" s="34"/>
      <c r="AB89" s="34"/>
      <c r="AC89" s="34"/>
      <c r="AD89" s="34"/>
      <c r="AE89" s="34"/>
      <c r="AT89" s="19" t="s">
        <v>76</v>
      </c>
      <c r="AU89" s="19" t="s">
        <v>152</v>
      </c>
      <c r="BK89" s="125">
        <f>BK90+BK181+BK231</f>
        <v>0</v>
      </c>
    </row>
    <row r="90" spans="1:65" s="12" customFormat="1" ht="25.9" customHeight="1">
      <c r="B90" s="126"/>
      <c r="D90" s="127" t="s">
        <v>76</v>
      </c>
      <c r="E90" s="128" t="s">
        <v>175</v>
      </c>
      <c r="F90" s="128" t="s">
        <v>176</v>
      </c>
      <c r="I90" s="129"/>
      <c r="J90" s="130">
        <f>BK90</f>
        <v>0</v>
      </c>
      <c r="L90" s="126"/>
      <c r="M90" s="131"/>
      <c r="N90" s="132"/>
      <c r="O90" s="132"/>
      <c r="P90" s="133">
        <f>P91+P96+P114+P153+P176</f>
        <v>0</v>
      </c>
      <c r="Q90" s="132"/>
      <c r="R90" s="133">
        <f>R91+R96+R114+R153+R176</f>
        <v>0.98977438399999995</v>
      </c>
      <c r="S90" s="132"/>
      <c r="T90" s="134">
        <f>T91+T96+T114+T153+T176</f>
        <v>11.8386</v>
      </c>
      <c r="AR90" s="127" t="s">
        <v>85</v>
      </c>
      <c r="AT90" s="135" t="s">
        <v>76</v>
      </c>
      <c r="AU90" s="135" t="s">
        <v>77</v>
      </c>
      <c r="AY90" s="127" t="s">
        <v>177</v>
      </c>
      <c r="BK90" s="136">
        <f>BK91+BK96+BK114+BK153+BK176</f>
        <v>0</v>
      </c>
    </row>
    <row r="91" spans="1:65" s="12" customFormat="1" ht="22.9" customHeight="1">
      <c r="B91" s="126"/>
      <c r="D91" s="127" t="s">
        <v>76</v>
      </c>
      <c r="E91" s="137" t="s">
        <v>198</v>
      </c>
      <c r="F91" s="137" t="s">
        <v>560</v>
      </c>
      <c r="I91" s="129"/>
      <c r="J91" s="138">
        <f>BK91</f>
        <v>0</v>
      </c>
      <c r="L91" s="126"/>
      <c r="M91" s="131"/>
      <c r="N91" s="132"/>
      <c r="O91" s="132"/>
      <c r="P91" s="133">
        <f>SUM(P92:P95)</f>
        <v>0</v>
      </c>
      <c r="Q91" s="132"/>
      <c r="R91" s="133">
        <f>SUM(R92:R95)</f>
        <v>6.2423999999999993E-2</v>
      </c>
      <c r="S91" s="132"/>
      <c r="T91" s="134">
        <f>SUM(T92:T95)</f>
        <v>0</v>
      </c>
      <c r="AR91" s="127" t="s">
        <v>85</v>
      </c>
      <c r="AT91" s="135" t="s">
        <v>76</v>
      </c>
      <c r="AU91" s="135" t="s">
        <v>85</v>
      </c>
      <c r="AY91" s="127" t="s">
        <v>177</v>
      </c>
      <c r="BK91" s="136">
        <f>SUM(BK92:BK95)</f>
        <v>0</v>
      </c>
    </row>
    <row r="92" spans="1:65" s="2" customFormat="1" ht="16.5" customHeight="1">
      <c r="A92" s="34"/>
      <c r="B92" s="139"/>
      <c r="C92" s="140" t="s">
        <v>85</v>
      </c>
      <c r="D92" s="140" t="s">
        <v>180</v>
      </c>
      <c r="E92" s="141" t="s">
        <v>1572</v>
      </c>
      <c r="F92" s="142" t="s">
        <v>1573</v>
      </c>
      <c r="G92" s="143" t="s">
        <v>476</v>
      </c>
      <c r="H92" s="144">
        <v>20.399999999999999</v>
      </c>
      <c r="I92" s="145"/>
      <c r="J92" s="146">
        <f>ROUND(I92*H92,2)</f>
        <v>0</v>
      </c>
      <c r="K92" s="142" t="s">
        <v>244</v>
      </c>
      <c r="L92" s="35"/>
      <c r="M92" s="147" t="s">
        <v>3</v>
      </c>
      <c r="N92" s="148" t="s">
        <v>48</v>
      </c>
      <c r="O92" s="55"/>
      <c r="P92" s="149">
        <f>O92*H92</f>
        <v>0</v>
      </c>
      <c r="Q92" s="149">
        <v>3.0599999999999998E-3</v>
      </c>
      <c r="R92" s="149">
        <f>Q92*H92</f>
        <v>6.2423999999999993E-2</v>
      </c>
      <c r="S92" s="149">
        <v>0</v>
      </c>
      <c r="T92" s="150">
        <f>S92*H92</f>
        <v>0</v>
      </c>
      <c r="U92" s="34"/>
      <c r="V92" s="34"/>
      <c r="W92" s="34"/>
      <c r="X92" s="34"/>
      <c r="Y92" s="34"/>
      <c r="Z92" s="34"/>
      <c r="AA92" s="34"/>
      <c r="AB92" s="34"/>
      <c r="AC92" s="34"/>
      <c r="AD92" s="34"/>
      <c r="AE92" s="34"/>
      <c r="AR92" s="151" t="s">
        <v>185</v>
      </c>
      <c r="AT92" s="151" t="s">
        <v>180</v>
      </c>
      <c r="AU92" s="151" t="s">
        <v>87</v>
      </c>
      <c r="AY92" s="19" t="s">
        <v>177</v>
      </c>
      <c r="BE92" s="152">
        <f>IF(N92="základní",J92,0)</f>
        <v>0</v>
      </c>
      <c r="BF92" s="152">
        <f>IF(N92="snížená",J92,0)</f>
        <v>0</v>
      </c>
      <c r="BG92" s="152">
        <f>IF(N92="zákl. přenesená",J92,0)</f>
        <v>0</v>
      </c>
      <c r="BH92" s="152">
        <f>IF(N92="sníž. přenesená",J92,0)</f>
        <v>0</v>
      </c>
      <c r="BI92" s="152">
        <f>IF(N92="nulová",J92,0)</f>
        <v>0</v>
      </c>
      <c r="BJ92" s="19" t="s">
        <v>85</v>
      </c>
      <c r="BK92" s="152">
        <f>ROUND(I92*H92,2)</f>
        <v>0</v>
      </c>
      <c r="BL92" s="19" t="s">
        <v>185</v>
      </c>
      <c r="BM92" s="151" t="s">
        <v>1574</v>
      </c>
    </row>
    <row r="93" spans="1:65" s="2" customFormat="1">
      <c r="A93" s="34"/>
      <c r="B93" s="35"/>
      <c r="C93" s="34"/>
      <c r="D93" s="153" t="s">
        <v>187</v>
      </c>
      <c r="E93" s="34"/>
      <c r="F93" s="154" t="s">
        <v>1575</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187</v>
      </c>
      <c r="AU93" s="19" t="s">
        <v>87</v>
      </c>
    </row>
    <row r="94" spans="1:65" s="2" customFormat="1" ht="68.25">
      <c r="A94" s="34"/>
      <c r="B94" s="35"/>
      <c r="C94" s="34"/>
      <c r="D94" s="153" t="s">
        <v>191</v>
      </c>
      <c r="E94" s="34"/>
      <c r="F94" s="160" t="s">
        <v>604</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191</v>
      </c>
      <c r="AU94" s="19" t="s">
        <v>87</v>
      </c>
    </row>
    <row r="95" spans="1:65" s="13" customFormat="1">
      <c r="B95" s="161"/>
      <c r="D95" s="153" t="s">
        <v>193</v>
      </c>
      <c r="E95" s="162" t="s">
        <v>3</v>
      </c>
      <c r="F95" s="163" t="s">
        <v>1576</v>
      </c>
      <c r="H95" s="164">
        <v>20.399999999999999</v>
      </c>
      <c r="I95" s="165"/>
      <c r="L95" s="161"/>
      <c r="M95" s="166"/>
      <c r="N95" s="167"/>
      <c r="O95" s="167"/>
      <c r="P95" s="167"/>
      <c r="Q95" s="167"/>
      <c r="R95" s="167"/>
      <c r="S95" s="167"/>
      <c r="T95" s="168"/>
      <c r="AT95" s="162" t="s">
        <v>193</v>
      </c>
      <c r="AU95" s="162" t="s">
        <v>87</v>
      </c>
      <c r="AV95" s="13" t="s">
        <v>87</v>
      </c>
      <c r="AW95" s="13" t="s">
        <v>36</v>
      </c>
      <c r="AX95" s="13" t="s">
        <v>85</v>
      </c>
      <c r="AY95" s="162" t="s">
        <v>177</v>
      </c>
    </row>
    <row r="96" spans="1:65" s="12" customFormat="1" ht="22.9" customHeight="1">
      <c r="B96" s="126"/>
      <c r="D96" s="127" t="s">
        <v>76</v>
      </c>
      <c r="E96" s="137" t="s">
        <v>185</v>
      </c>
      <c r="F96" s="137" t="s">
        <v>1577</v>
      </c>
      <c r="I96" s="129"/>
      <c r="J96" s="138">
        <f>BK96</f>
        <v>0</v>
      </c>
      <c r="L96" s="126"/>
      <c r="M96" s="131"/>
      <c r="N96" s="132"/>
      <c r="O96" s="132"/>
      <c r="P96" s="133">
        <f>SUM(P97:P113)</f>
        <v>0</v>
      </c>
      <c r="Q96" s="132"/>
      <c r="R96" s="133">
        <f>SUM(R97:R113)</f>
        <v>0.22350528</v>
      </c>
      <c r="S96" s="132"/>
      <c r="T96" s="134">
        <f>SUM(T97:T113)</f>
        <v>0</v>
      </c>
      <c r="AR96" s="127" t="s">
        <v>85</v>
      </c>
      <c r="AT96" s="135" t="s">
        <v>76</v>
      </c>
      <c r="AU96" s="135" t="s">
        <v>85</v>
      </c>
      <c r="AY96" s="127" t="s">
        <v>177</v>
      </c>
      <c r="BK96" s="136">
        <f>SUM(BK97:BK113)</f>
        <v>0</v>
      </c>
    </row>
    <row r="97" spans="1:65" s="2" customFormat="1" ht="16.5" customHeight="1">
      <c r="A97" s="34"/>
      <c r="B97" s="139"/>
      <c r="C97" s="140" t="s">
        <v>87</v>
      </c>
      <c r="D97" s="140" t="s">
        <v>180</v>
      </c>
      <c r="E97" s="141" t="s">
        <v>1578</v>
      </c>
      <c r="F97" s="142" t="s">
        <v>1579</v>
      </c>
      <c r="G97" s="143" t="s">
        <v>332</v>
      </c>
      <c r="H97" s="144">
        <v>36</v>
      </c>
      <c r="I97" s="145"/>
      <c r="J97" s="146">
        <f>ROUND(I97*H97,2)</f>
        <v>0</v>
      </c>
      <c r="K97" s="142" t="s">
        <v>184</v>
      </c>
      <c r="L97" s="35"/>
      <c r="M97" s="147" t="s">
        <v>3</v>
      </c>
      <c r="N97" s="148" t="s">
        <v>48</v>
      </c>
      <c r="O97" s="55"/>
      <c r="P97" s="149">
        <f>O97*H97</f>
        <v>0</v>
      </c>
      <c r="Q97" s="149">
        <v>5.3261999999999997E-3</v>
      </c>
      <c r="R97" s="149">
        <f>Q97*H97</f>
        <v>0.1917432</v>
      </c>
      <c r="S97" s="149">
        <v>0</v>
      </c>
      <c r="T97" s="150">
        <f>S97*H97</f>
        <v>0</v>
      </c>
      <c r="U97" s="34"/>
      <c r="V97" s="34"/>
      <c r="W97" s="34"/>
      <c r="X97" s="34"/>
      <c r="Y97" s="34"/>
      <c r="Z97" s="34"/>
      <c r="AA97" s="34"/>
      <c r="AB97" s="34"/>
      <c r="AC97" s="34"/>
      <c r="AD97" s="34"/>
      <c r="AE97" s="34"/>
      <c r="AR97" s="151" t="s">
        <v>185</v>
      </c>
      <c r="AT97" s="151" t="s">
        <v>180</v>
      </c>
      <c r="AU97" s="151" t="s">
        <v>87</v>
      </c>
      <c r="AY97" s="19" t="s">
        <v>177</v>
      </c>
      <c r="BE97" s="152">
        <f>IF(N97="základní",J97,0)</f>
        <v>0</v>
      </c>
      <c r="BF97" s="152">
        <f>IF(N97="snížená",J97,0)</f>
        <v>0</v>
      </c>
      <c r="BG97" s="152">
        <f>IF(N97="zákl. přenesená",J97,0)</f>
        <v>0</v>
      </c>
      <c r="BH97" s="152">
        <f>IF(N97="sníž. přenesená",J97,0)</f>
        <v>0</v>
      </c>
      <c r="BI97" s="152">
        <f>IF(N97="nulová",J97,0)</f>
        <v>0</v>
      </c>
      <c r="BJ97" s="19" t="s">
        <v>85</v>
      </c>
      <c r="BK97" s="152">
        <f>ROUND(I97*H97,2)</f>
        <v>0</v>
      </c>
      <c r="BL97" s="19" t="s">
        <v>185</v>
      </c>
      <c r="BM97" s="151" t="s">
        <v>1580</v>
      </c>
    </row>
    <row r="98" spans="1:65" s="2" customFormat="1">
      <c r="A98" s="34"/>
      <c r="B98" s="35"/>
      <c r="C98" s="34"/>
      <c r="D98" s="153" t="s">
        <v>187</v>
      </c>
      <c r="E98" s="34"/>
      <c r="F98" s="154" t="s">
        <v>1581</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187</v>
      </c>
      <c r="AU98" s="19" t="s">
        <v>87</v>
      </c>
    </row>
    <row r="99" spans="1:65" s="2" customFormat="1">
      <c r="A99" s="34"/>
      <c r="B99" s="35"/>
      <c r="C99" s="34"/>
      <c r="D99" s="158" t="s">
        <v>189</v>
      </c>
      <c r="E99" s="34"/>
      <c r="F99" s="159" t="s">
        <v>1582</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189</v>
      </c>
      <c r="AU99" s="19" t="s">
        <v>87</v>
      </c>
    </row>
    <row r="100" spans="1:65" s="2" customFormat="1" ht="146.25">
      <c r="A100" s="34"/>
      <c r="B100" s="35"/>
      <c r="C100" s="34"/>
      <c r="D100" s="153" t="s">
        <v>191</v>
      </c>
      <c r="E100" s="34"/>
      <c r="F100" s="160" t="s">
        <v>1583</v>
      </c>
      <c r="G100" s="34"/>
      <c r="H100" s="34"/>
      <c r="I100" s="155"/>
      <c r="J100" s="34"/>
      <c r="K100" s="34"/>
      <c r="L100" s="35"/>
      <c r="M100" s="156"/>
      <c r="N100" s="157"/>
      <c r="O100" s="55"/>
      <c r="P100" s="55"/>
      <c r="Q100" s="55"/>
      <c r="R100" s="55"/>
      <c r="S100" s="55"/>
      <c r="T100" s="56"/>
      <c r="U100" s="34"/>
      <c r="V100" s="34"/>
      <c r="W100" s="34"/>
      <c r="X100" s="34"/>
      <c r="Y100" s="34"/>
      <c r="Z100" s="34"/>
      <c r="AA100" s="34"/>
      <c r="AB100" s="34"/>
      <c r="AC100" s="34"/>
      <c r="AD100" s="34"/>
      <c r="AE100" s="34"/>
      <c r="AT100" s="19" t="s">
        <v>191</v>
      </c>
      <c r="AU100" s="19" t="s">
        <v>87</v>
      </c>
    </row>
    <row r="101" spans="1:65" s="13" customFormat="1">
      <c r="B101" s="161"/>
      <c r="D101" s="153" t="s">
        <v>193</v>
      </c>
      <c r="E101" s="162" t="s">
        <v>3</v>
      </c>
      <c r="F101" s="163" t="s">
        <v>1584</v>
      </c>
      <c r="H101" s="164">
        <v>36</v>
      </c>
      <c r="I101" s="165"/>
      <c r="L101" s="161"/>
      <c r="M101" s="166"/>
      <c r="N101" s="167"/>
      <c r="O101" s="167"/>
      <c r="P101" s="167"/>
      <c r="Q101" s="167"/>
      <c r="R101" s="167"/>
      <c r="S101" s="167"/>
      <c r="T101" s="168"/>
      <c r="AT101" s="162" t="s">
        <v>193</v>
      </c>
      <c r="AU101" s="162" t="s">
        <v>87</v>
      </c>
      <c r="AV101" s="13" t="s">
        <v>87</v>
      </c>
      <c r="AW101" s="13" t="s">
        <v>36</v>
      </c>
      <c r="AX101" s="13" t="s">
        <v>85</v>
      </c>
      <c r="AY101" s="162" t="s">
        <v>177</v>
      </c>
    </row>
    <row r="102" spans="1:65" s="2" customFormat="1" ht="16.5" customHeight="1">
      <c r="A102" s="34"/>
      <c r="B102" s="139"/>
      <c r="C102" s="140" t="s">
        <v>198</v>
      </c>
      <c r="D102" s="140" t="s">
        <v>180</v>
      </c>
      <c r="E102" s="141" t="s">
        <v>1585</v>
      </c>
      <c r="F102" s="142" t="s">
        <v>1586</v>
      </c>
      <c r="G102" s="143" t="s">
        <v>332</v>
      </c>
      <c r="H102" s="144">
        <v>36</v>
      </c>
      <c r="I102" s="145"/>
      <c r="J102" s="146">
        <f>ROUND(I102*H102,2)</f>
        <v>0</v>
      </c>
      <c r="K102" s="142" t="s">
        <v>184</v>
      </c>
      <c r="L102" s="35"/>
      <c r="M102" s="147" t="s">
        <v>3</v>
      </c>
      <c r="N102" s="148" t="s">
        <v>48</v>
      </c>
      <c r="O102" s="55"/>
      <c r="P102" s="149">
        <f>O102*H102</f>
        <v>0</v>
      </c>
      <c r="Q102" s="149">
        <v>0</v>
      </c>
      <c r="R102" s="149">
        <f>Q102*H102</f>
        <v>0</v>
      </c>
      <c r="S102" s="149">
        <v>0</v>
      </c>
      <c r="T102" s="150">
        <f>S102*H102</f>
        <v>0</v>
      </c>
      <c r="U102" s="34"/>
      <c r="V102" s="34"/>
      <c r="W102" s="34"/>
      <c r="X102" s="34"/>
      <c r="Y102" s="34"/>
      <c r="Z102" s="34"/>
      <c r="AA102" s="34"/>
      <c r="AB102" s="34"/>
      <c r="AC102" s="34"/>
      <c r="AD102" s="34"/>
      <c r="AE102" s="34"/>
      <c r="AR102" s="151" t="s">
        <v>185</v>
      </c>
      <c r="AT102" s="151" t="s">
        <v>180</v>
      </c>
      <c r="AU102" s="151" t="s">
        <v>87</v>
      </c>
      <c r="AY102" s="19" t="s">
        <v>177</v>
      </c>
      <c r="BE102" s="152">
        <f>IF(N102="základní",J102,0)</f>
        <v>0</v>
      </c>
      <c r="BF102" s="152">
        <f>IF(N102="snížená",J102,0)</f>
        <v>0</v>
      </c>
      <c r="BG102" s="152">
        <f>IF(N102="zákl. přenesená",J102,0)</f>
        <v>0</v>
      </c>
      <c r="BH102" s="152">
        <f>IF(N102="sníž. přenesená",J102,0)</f>
        <v>0</v>
      </c>
      <c r="BI102" s="152">
        <f>IF(N102="nulová",J102,0)</f>
        <v>0</v>
      </c>
      <c r="BJ102" s="19" t="s">
        <v>85</v>
      </c>
      <c r="BK102" s="152">
        <f>ROUND(I102*H102,2)</f>
        <v>0</v>
      </c>
      <c r="BL102" s="19" t="s">
        <v>185</v>
      </c>
      <c r="BM102" s="151" t="s">
        <v>1587</v>
      </c>
    </row>
    <row r="103" spans="1:65" s="2" customFormat="1">
      <c r="A103" s="34"/>
      <c r="B103" s="35"/>
      <c r="C103" s="34"/>
      <c r="D103" s="153" t="s">
        <v>187</v>
      </c>
      <c r="E103" s="34"/>
      <c r="F103" s="154" t="s">
        <v>1588</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187</v>
      </c>
      <c r="AU103" s="19" t="s">
        <v>87</v>
      </c>
    </row>
    <row r="104" spans="1:65" s="2" customFormat="1">
      <c r="A104" s="34"/>
      <c r="B104" s="35"/>
      <c r="C104" s="34"/>
      <c r="D104" s="158" t="s">
        <v>189</v>
      </c>
      <c r="E104" s="34"/>
      <c r="F104" s="159" t="s">
        <v>1589</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189</v>
      </c>
      <c r="AU104" s="19" t="s">
        <v>87</v>
      </c>
    </row>
    <row r="105" spans="1:65" s="2" customFormat="1" ht="146.25">
      <c r="A105" s="34"/>
      <c r="B105" s="35"/>
      <c r="C105" s="34"/>
      <c r="D105" s="153" t="s">
        <v>191</v>
      </c>
      <c r="E105" s="34"/>
      <c r="F105" s="160" t="s">
        <v>1583</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191</v>
      </c>
      <c r="AU105" s="19" t="s">
        <v>87</v>
      </c>
    </row>
    <row r="106" spans="1:65" s="2" customFormat="1" ht="16.5" customHeight="1">
      <c r="A106" s="34"/>
      <c r="B106" s="139"/>
      <c r="C106" s="140" t="s">
        <v>185</v>
      </c>
      <c r="D106" s="140" t="s">
        <v>180</v>
      </c>
      <c r="E106" s="141" t="s">
        <v>1590</v>
      </c>
      <c r="F106" s="142" t="s">
        <v>1591</v>
      </c>
      <c r="G106" s="143" t="s">
        <v>332</v>
      </c>
      <c r="H106" s="144">
        <v>36</v>
      </c>
      <c r="I106" s="145"/>
      <c r="J106" s="146">
        <f>ROUND(I106*H106,2)</f>
        <v>0</v>
      </c>
      <c r="K106" s="142" t="s">
        <v>184</v>
      </c>
      <c r="L106" s="35"/>
      <c r="M106" s="147" t="s">
        <v>3</v>
      </c>
      <c r="N106" s="148" t="s">
        <v>48</v>
      </c>
      <c r="O106" s="55"/>
      <c r="P106" s="149">
        <f>O106*H106</f>
        <v>0</v>
      </c>
      <c r="Q106" s="149">
        <v>8.8228000000000004E-4</v>
      </c>
      <c r="R106" s="149">
        <f>Q106*H106</f>
        <v>3.1762079999999998E-2</v>
      </c>
      <c r="S106" s="149">
        <v>0</v>
      </c>
      <c r="T106" s="150">
        <f>S106*H106</f>
        <v>0</v>
      </c>
      <c r="U106" s="34"/>
      <c r="V106" s="34"/>
      <c r="W106" s="34"/>
      <c r="X106" s="34"/>
      <c r="Y106" s="34"/>
      <c r="Z106" s="34"/>
      <c r="AA106" s="34"/>
      <c r="AB106" s="34"/>
      <c r="AC106" s="34"/>
      <c r="AD106" s="34"/>
      <c r="AE106" s="34"/>
      <c r="AR106" s="151" t="s">
        <v>185</v>
      </c>
      <c r="AT106" s="151" t="s">
        <v>180</v>
      </c>
      <c r="AU106" s="151" t="s">
        <v>87</v>
      </c>
      <c r="AY106" s="19" t="s">
        <v>177</v>
      </c>
      <c r="BE106" s="152">
        <f>IF(N106="základní",J106,0)</f>
        <v>0</v>
      </c>
      <c r="BF106" s="152">
        <f>IF(N106="snížená",J106,0)</f>
        <v>0</v>
      </c>
      <c r="BG106" s="152">
        <f>IF(N106="zákl. přenesená",J106,0)</f>
        <v>0</v>
      </c>
      <c r="BH106" s="152">
        <f>IF(N106="sníž. přenesená",J106,0)</f>
        <v>0</v>
      </c>
      <c r="BI106" s="152">
        <f>IF(N106="nulová",J106,0)</f>
        <v>0</v>
      </c>
      <c r="BJ106" s="19" t="s">
        <v>85</v>
      </c>
      <c r="BK106" s="152">
        <f>ROUND(I106*H106,2)</f>
        <v>0</v>
      </c>
      <c r="BL106" s="19" t="s">
        <v>185</v>
      </c>
      <c r="BM106" s="151" t="s">
        <v>1592</v>
      </c>
    </row>
    <row r="107" spans="1:65" s="2" customFormat="1">
      <c r="A107" s="34"/>
      <c r="B107" s="35"/>
      <c r="C107" s="34"/>
      <c r="D107" s="153" t="s">
        <v>187</v>
      </c>
      <c r="E107" s="34"/>
      <c r="F107" s="154" t="s">
        <v>1593</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187</v>
      </c>
      <c r="AU107" s="19" t="s">
        <v>87</v>
      </c>
    </row>
    <row r="108" spans="1:65" s="2" customFormat="1">
      <c r="A108" s="34"/>
      <c r="B108" s="35"/>
      <c r="C108" s="34"/>
      <c r="D108" s="158" t="s">
        <v>189</v>
      </c>
      <c r="E108" s="34"/>
      <c r="F108" s="159" t="s">
        <v>1594</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189</v>
      </c>
      <c r="AU108" s="19" t="s">
        <v>87</v>
      </c>
    </row>
    <row r="109" spans="1:65" s="2" customFormat="1" ht="29.25">
      <c r="A109" s="34"/>
      <c r="B109" s="35"/>
      <c r="C109" s="34"/>
      <c r="D109" s="153" t="s">
        <v>191</v>
      </c>
      <c r="E109" s="34"/>
      <c r="F109" s="160" t="s">
        <v>1595</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191</v>
      </c>
      <c r="AU109" s="19" t="s">
        <v>87</v>
      </c>
    </row>
    <row r="110" spans="1:65" s="2" customFormat="1" ht="16.5" customHeight="1">
      <c r="A110" s="34"/>
      <c r="B110" s="139"/>
      <c r="C110" s="140" t="s">
        <v>200</v>
      </c>
      <c r="D110" s="140" t="s">
        <v>180</v>
      </c>
      <c r="E110" s="141" t="s">
        <v>1596</v>
      </c>
      <c r="F110" s="142" t="s">
        <v>1597</v>
      </c>
      <c r="G110" s="143" t="s">
        <v>332</v>
      </c>
      <c r="H110" s="144">
        <v>36</v>
      </c>
      <c r="I110" s="145"/>
      <c r="J110" s="146">
        <f>ROUND(I110*H110,2)</f>
        <v>0</v>
      </c>
      <c r="K110" s="142" t="s">
        <v>184</v>
      </c>
      <c r="L110" s="35"/>
      <c r="M110" s="147" t="s">
        <v>3</v>
      </c>
      <c r="N110" s="148" t="s">
        <v>48</v>
      </c>
      <c r="O110" s="55"/>
      <c r="P110" s="149">
        <f>O110*H110</f>
        <v>0</v>
      </c>
      <c r="Q110" s="149">
        <v>0</v>
      </c>
      <c r="R110" s="149">
        <f>Q110*H110</f>
        <v>0</v>
      </c>
      <c r="S110" s="149">
        <v>0</v>
      </c>
      <c r="T110" s="150">
        <f>S110*H110</f>
        <v>0</v>
      </c>
      <c r="U110" s="34"/>
      <c r="V110" s="34"/>
      <c r="W110" s="34"/>
      <c r="X110" s="34"/>
      <c r="Y110" s="34"/>
      <c r="Z110" s="34"/>
      <c r="AA110" s="34"/>
      <c r="AB110" s="34"/>
      <c r="AC110" s="34"/>
      <c r="AD110" s="34"/>
      <c r="AE110" s="34"/>
      <c r="AR110" s="151" t="s">
        <v>185</v>
      </c>
      <c r="AT110" s="151" t="s">
        <v>180</v>
      </c>
      <c r="AU110" s="151" t="s">
        <v>87</v>
      </c>
      <c r="AY110" s="19" t="s">
        <v>177</v>
      </c>
      <c r="BE110" s="152">
        <f>IF(N110="základní",J110,0)</f>
        <v>0</v>
      </c>
      <c r="BF110" s="152">
        <f>IF(N110="snížená",J110,0)</f>
        <v>0</v>
      </c>
      <c r="BG110" s="152">
        <f>IF(N110="zákl. přenesená",J110,0)</f>
        <v>0</v>
      </c>
      <c r="BH110" s="152">
        <f>IF(N110="sníž. přenesená",J110,0)</f>
        <v>0</v>
      </c>
      <c r="BI110" s="152">
        <f>IF(N110="nulová",J110,0)</f>
        <v>0</v>
      </c>
      <c r="BJ110" s="19" t="s">
        <v>85</v>
      </c>
      <c r="BK110" s="152">
        <f>ROUND(I110*H110,2)</f>
        <v>0</v>
      </c>
      <c r="BL110" s="19" t="s">
        <v>185</v>
      </c>
      <c r="BM110" s="151" t="s">
        <v>1598</v>
      </c>
    </row>
    <row r="111" spans="1:65" s="2" customFormat="1">
      <c r="A111" s="34"/>
      <c r="B111" s="35"/>
      <c r="C111" s="34"/>
      <c r="D111" s="153" t="s">
        <v>187</v>
      </c>
      <c r="E111" s="34"/>
      <c r="F111" s="154" t="s">
        <v>1599</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187</v>
      </c>
      <c r="AU111" s="19" t="s">
        <v>87</v>
      </c>
    </row>
    <row r="112" spans="1:65" s="2" customFormat="1">
      <c r="A112" s="34"/>
      <c r="B112" s="35"/>
      <c r="C112" s="34"/>
      <c r="D112" s="158" t="s">
        <v>189</v>
      </c>
      <c r="E112" s="34"/>
      <c r="F112" s="159" t="s">
        <v>1600</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189</v>
      </c>
      <c r="AU112" s="19" t="s">
        <v>87</v>
      </c>
    </row>
    <row r="113" spans="1:65" s="2" customFormat="1" ht="29.25">
      <c r="A113" s="34"/>
      <c r="B113" s="35"/>
      <c r="C113" s="34"/>
      <c r="D113" s="153" t="s">
        <v>191</v>
      </c>
      <c r="E113" s="34"/>
      <c r="F113" s="160" t="s">
        <v>1595</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191</v>
      </c>
      <c r="AU113" s="19" t="s">
        <v>87</v>
      </c>
    </row>
    <row r="114" spans="1:65" s="12" customFormat="1" ht="22.9" customHeight="1">
      <c r="B114" s="126"/>
      <c r="D114" s="127" t="s">
        <v>76</v>
      </c>
      <c r="E114" s="137" t="s">
        <v>252</v>
      </c>
      <c r="F114" s="137" t="s">
        <v>329</v>
      </c>
      <c r="I114" s="129"/>
      <c r="J114" s="138">
        <f>BK114</f>
        <v>0</v>
      </c>
      <c r="L114" s="126"/>
      <c r="M114" s="131"/>
      <c r="N114" s="132"/>
      <c r="O114" s="132"/>
      <c r="P114" s="133">
        <f>SUM(P115:P152)</f>
        <v>0</v>
      </c>
      <c r="Q114" s="132"/>
      <c r="R114" s="133">
        <f>SUM(R115:R152)</f>
        <v>0.703845104</v>
      </c>
      <c r="S114" s="132"/>
      <c r="T114" s="134">
        <f>SUM(T115:T152)</f>
        <v>11.8386</v>
      </c>
      <c r="AR114" s="127" t="s">
        <v>85</v>
      </c>
      <c r="AT114" s="135" t="s">
        <v>76</v>
      </c>
      <c r="AU114" s="135" t="s">
        <v>85</v>
      </c>
      <c r="AY114" s="127" t="s">
        <v>177</v>
      </c>
      <c r="BK114" s="136">
        <f>SUM(BK115:BK152)</f>
        <v>0</v>
      </c>
    </row>
    <row r="115" spans="1:65" s="2" customFormat="1" ht="21.75" customHeight="1">
      <c r="A115" s="34"/>
      <c r="B115" s="139"/>
      <c r="C115" s="140" t="s">
        <v>233</v>
      </c>
      <c r="D115" s="140" t="s">
        <v>180</v>
      </c>
      <c r="E115" s="141" t="s">
        <v>682</v>
      </c>
      <c r="F115" s="142" t="s">
        <v>683</v>
      </c>
      <c r="G115" s="143" t="s">
        <v>332</v>
      </c>
      <c r="H115" s="144">
        <v>36</v>
      </c>
      <c r="I115" s="145"/>
      <c r="J115" s="146">
        <f>ROUND(I115*H115,2)</f>
        <v>0</v>
      </c>
      <c r="K115" s="142" t="s">
        <v>184</v>
      </c>
      <c r="L115" s="35"/>
      <c r="M115" s="147" t="s">
        <v>3</v>
      </c>
      <c r="N115" s="148" t="s">
        <v>48</v>
      </c>
      <c r="O115" s="55"/>
      <c r="P115" s="149">
        <f>O115*H115</f>
        <v>0</v>
      </c>
      <c r="Q115" s="149">
        <v>1.2999999999999999E-4</v>
      </c>
      <c r="R115" s="149">
        <f>Q115*H115</f>
        <v>4.6799999999999993E-3</v>
      </c>
      <c r="S115" s="149">
        <v>0</v>
      </c>
      <c r="T115" s="150">
        <f>S115*H115</f>
        <v>0</v>
      </c>
      <c r="U115" s="34"/>
      <c r="V115" s="34"/>
      <c r="W115" s="34"/>
      <c r="X115" s="34"/>
      <c r="Y115" s="34"/>
      <c r="Z115" s="34"/>
      <c r="AA115" s="34"/>
      <c r="AB115" s="34"/>
      <c r="AC115" s="34"/>
      <c r="AD115" s="34"/>
      <c r="AE115" s="34"/>
      <c r="AR115" s="151" t="s">
        <v>185</v>
      </c>
      <c r="AT115" s="151" t="s">
        <v>180</v>
      </c>
      <c r="AU115" s="151" t="s">
        <v>87</v>
      </c>
      <c r="AY115" s="19" t="s">
        <v>177</v>
      </c>
      <c r="BE115" s="152">
        <f>IF(N115="základní",J115,0)</f>
        <v>0</v>
      </c>
      <c r="BF115" s="152">
        <f>IF(N115="snížená",J115,0)</f>
        <v>0</v>
      </c>
      <c r="BG115" s="152">
        <f>IF(N115="zákl. přenesená",J115,0)</f>
        <v>0</v>
      </c>
      <c r="BH115" s="152">
        <f>IF(N115="sníž. přenesená",J115,0)</f>
        <v>0</v>
      </c>
      <c r="BI115" s="152">
        <f>IF(N115="nulová",J115,0)</f>
        <v>0</v>
      </c>
      <c r="BJ115" s="19" t="s">
        <v>85</v>
      </c>
      <c r="BK115" s="152">
        <f>ROUND(I115*H115,2)</f>
        <v>0</v>
      </c>
      <c r="BL115" s="19" t="s">
        <v>185</v>
      </c>
      <c r="BM115" s="151" t="s">
        <v>1601</v>
      </c>
    </row>
    <row r="116" spans="1:65" s="2" customFormat="1">
      <c r="A116" s="34"/>
      <c r="B116" s="35"/>
      <c r="C116" s="34"/>
      <c r="D116" s="153" t="s">
        <v>187</v>
      </c>
      <c r="E116" s="34"/>
      <c r="F116" s="154" t="s">
        <v>685</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187</v>
      </c>
      <c r="AU116" s="19" t="s">
        <v>87</v>
      </c>
    </row>
    <row r="117" spans="1:65" s="2" customFormat="1">
      <c r="A117" s="34"/>
      <c r="B117" s="35"/>
      <c r="C117" s="34"/>
      <c r="D117" s="158" t="s">
        <v>189</v>
      </c>
      <c r="E117" s="34"/>
      <c r="F117" s="159" t="s">
        <v>686</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189</v>
      </c>
      <c r="AU117" s="19" t="s">
        <v>87</v>
      </c>
    </row>
    <row r="118" spans="1:65" s="2" customFormat="1" ht="48.75">
      <c r="A118" s="34"/>
      <c r="B118" s="35"/>
      <c r="C118" s="34"/>
      <c r="D118" s="153" t="s">
        <v>191</v>
      </c>
      <c r="E118" s="34"/>
      <c r="F118" s="160" t="s">
        <v>336</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191</v>
      </c>
      <c r="AU118" s="19" t="s">
        <v>87</v>
      </c>
    </row>
    <row r="119" spans="1:65" s="13" customFormat="1">
      <c r="B119" s="161"/>
      <c r="D119" s="153" t="s">
        <v>193</v>
      </c>
      <c r="E119" s="162" t="s">
        <v>3</v>
      </c>
      <c r="F119" s="163" t="s">
        <v>1584</v>
      </c>
      <c r="H119" s="164">
        <v>36</v>
      </c>
      <c r="I119" s="165"/>
      <c r="L119" s="161"/>
      <c r="M119" s="166"/>
      <c r="N119" s="167"/>
      <c r="O119" s="167"/>
      <c r="P119" s="167"/>
      <c r="Q119" s="167"/>
      <c r="R119" s="167"/>
      <c r="S119" s="167"/>
      <c r="T119" s="168"/>
      <c r="AT119" s="162" t="s">
        <v>193</v>
      </c>
      <c r="AU119" s="162" t="s">
        <v>87</v>
      </c>
      <c r="AV119" s="13" t="s">
        <v>87</v>
      </c>
      <c r="AW119" s="13" t="s">
        <v>36</v>
      </c>
      <c r="AX119" s="13" t="s">
        <v>77</v>
      </c>
      <c r="AY119" s="162" t="s">
        <v>177</v>
      </c>
    </row>
    <row r="120" spans="1:65" s="16" customFormat="1">
      <c r="B120" s="184"/>
      <c r="D120" s="153" t="s">
        <v>193</v>
      </c>
      <c r="E120" s="185" t="s">
        <v>3</v>
      </c>
      <c r="F120" s="186" t="s">
        <v>201</v>
      </c>
      <c r="H120" s="187">
        <v>36</v>
      </c>
      <c r="I120" s="188"/>
      <c r="L120" s="184"/>
      <c r="M120" s="189"/>
      <c r="N120" s="190"/>
      <c r="O120" s="190"/>
      <c r="P120" s="190"/>
      <c r="Q120" s="190"/>
      <c r="R120" s="190"/>
      <c r="S120" s="190"/>
      <c r="T120" s="191"/>
      <c r="AT120" s="185" t="s">
        <v>193</v>
      </c>
      <c r="AU120" s="185" t="s">
        <v>87</v>
      </c>
      <c r="AV120" s="16" t="s">
        <v>185</v>
      </c>
      <c r="AW120" s="16" t="s">
        <v>36</v>
      </c>
      <c r="AX120" s="16" t="s">
        <v>85</v>
      </c>
      <c r="AY120" s="185" t="s">
        <v>177</v>
      </c>
    </row>
    <row r="121" spans="1:65" s="2" customFormat="1" ht="16.5" customHeight="1">
      <c r="A121" s="34"/>
      <c r="B121" s="139"/>
      <c r="C121" s="140" t="s">
        <v>241</v>
      </c>
      <c r="D121" s="140" t="s">
        <v>180</v>
      </c>
      <c r="E121" s="141" t="s">
        <v>339</v>
      </c>
      <c r="F121" s="142" t="s">
        <v>340</v>
      </c>
      <c r="G121" s="143" t="s">
        <v>332</v>
      </c>
      <c r="H121" s="144">
        <v>36</v>
      </c>
      <c r="I121" s="145"/>
      <c r="J121" s="146">
        <f>ROUND(I121*H121,2)</f>
        <v>0</v>
      </c>
      <c r="K121" s="142" t="s">
        <v>184</v>
      </c>
      <c r="L121" s="35"/>
      <c r="M121" s="147" t="s">
        <v>3</v>
      </c>
      <c r="N121" s="148" t="s">
        <v>48</v>
      </c>
      <c r="O121" s="55"/>
      <c r="P121" s="149">
        <f>O121*H121</f>
        <v>0</v>
      </c>
      <c r="Q121" s="149">
        <v>3.4999999999999997E-5</v>
      </c>
      <c r="R121" s="149">
        <f>Q121*H121</f>
        <v>1.2599999999999998E-3</v>
      </c>
      <c r="S121" s="149">
        <v>0</v>
      </c>
      <c r="T121" s="150">
        <f>S121*H121</f>
        <v>0</v>
      </c>
      <c r="U121" s="34"/>
      <c r="V121" s="34"/>
      <c r="W121" s="34"/>
      <c r="X121" s="34"/>
      <c r="Y121" s="34"/>
      <c r="Z121" s="34"/>
      <c r="AA121" s="34"/>
      <c r="AB121" s="34"/>
      <c r="AC121" s="34"/>
      <c r="AD121" s="34"/>
      <c r="AE121" s="34"/>
      <c r="AR121" s="151" t="s">
        <v>185</v>
      </c>
      <c r="AT121" s="151" t="s">
        <v>180</v>
      </c>
      <c r="AU121" s="151" t="s">
        <v>87</v>
      </c>
      <c r="AY121" s="19" t="s">
        <v>177</v>
      </c>
      <c r="BE121" s="152">
        <f>IF(N121="základní",J121,0)</f>
        <v>0</v>
      </c>
      <c r="BF121" s="152">
        <f>IF(N121="snížená",J121,0)</f>
        <v>0</v>
      </c>
      <c r="BG121" s="152">
        <f>IF(N121="zákl. přenesená",J121,0)</f>
        <v>0</v>
      </c>
      <c r="BH121" s="152">
        <f>IF(N121="sníž. přenesená",J121,0)</f>
        <v>0</v>
      </c>
      <c r="BI121" s="152">
        <f>IF(N121="nulová",J121,0)</f>
        <v>0</v>
      </c>
      <c r="BJ121" s="19" t="s">
        <v>85</v>
      </c>
      <c r="BK121" s="152">
        <f>ROUND(I121*H121,2)</f>
        <v>0</v>
      </c>
      <c r="BL121" s="19" t="s">
        <v>185</v>
      </c>
      <c r="BM121" s="151" t="s">
        <v>1602</v>
      </c>
    </row>
    <row r="122" spans="1:65" s="2" customFormat="1">
      <c r="A122" s="34"/>
      <c r="B122" s="35"/>
      <c r="C122" s="34"/>
      <c r="D122" s="153" t="s">
        <v>187</v>
      </c>
      <c r="E122" s="34"/>
      <c r="F122" s="154" t="s">
        <v>342</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187</v>
      </c>
      <c r="AU122" s="19" t="s">
        <v>87</v>
      </c>
    </row>
    <row r="123" spans="1:65" s="2" customFormat="1">
      <c r="A123" s="34"/>
      <c r="B123" s="35"/>
      <c r="C123" s="34"/>
      <c r="D123" s="158" t="s">
        <v>189</v>
      </c>
      <c r="E123" s="34"/>
      <c r="F123" s="159" t="s">
        <v>343</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189</v>
      </c>
      <c r="AU123" s="19" t="s">
        <v>87</v>
      </c>
    </row>
    <row r="124" spans="1:65" s="2" customFormat="1" ht="165.75">
      <c r="A124" s="34"/>
      <c r="B124" s="35"/>
      <c r="C124" s="34"/>
      <c r="D124" s="153" t="s">
        <v>191</v>
      </c>
      <c r="E124" s="34"/>
      <c r="F124" s="160" t="s">
        <v>344</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191</v>
      </c>
      <c r="AU124" s="19" t="s">
        <v>87</v>
      </c>
    </row>
    <row r="125" spans="1:65" s="2" customFormat="1" ht="16.5" customHeight="1">
      <c r="A125" s="34"/>
      <c r="B125" s="139"/>
      <c r="C125" s="140" t="s">
        <v>248</v>
      </c>
      <c r="D125" s="140" t="s">
        <v>180</v>
      </c>
      <c r="E125" s="141" t="s">
        <v>1480</v>
      </c>
      <c r="F125" s="142" t="s">
        <v>1481</v>
      </c>
      <c r="G125" s="143" t="s">
        <v>332</v>
      </c>
      <c r="H125" s="144">
        <v>5</v>
      </c>
      <c r="I125" s="145"/>
      <c r="J125" s="146">
        <f>ROUND(I125*H125,2)</f>
        <v>0</v>
      </c>
      <c r="K125" s="142" t="s">
        <v>184</v>
      </c>
      <c r="L125" s="35"/>
      <c r="M125" s="147" t="s">
        <v>3</v>
      </c>
      <c r="N125" s="148" t="s">
        <v>48</v>
      </c>
      <c r="O125" s="55"/>
      <c r="P125" s="149">
        <f>O125*H125</f>
        <v>0</v>
      </c>
      <c r="Q125" s="149">
        <v>0</v>
      </c>
      <c r="R125" s="149">
        <f>Q125*H125</f>
        <v>0</v>
      </c>
      <c r="S125" s="149">
        <v>0.26100000000000001</v>
      </c>
      <c r="T125" s="150">
        <f>S125*H125</f>
        <v>1.3050000000000002</v>
      </c>
      <c r="U125" s="34"/>
      <c r="V125" s="34"/>
      <c r="W125" s="34"/>
      <c r="X125" s="34"/>
      <c r="Y125" s="34"/>
      <c r="Z125" s="34"/>
      <c r="AA125" s="34"/>
      <c r="AB125" s="34"/>
      <c r="AC125" s="34"/>
      <c r="AD125" s="34"/>
      <c r="AE125" s="34"/>
      <c r="AR125" s="151" t="s">
        <v>185</v>
      </c>
      <c r="AT125" s="151" t="s">
        <v>180</v>
      </c>
      <c r="AU125" s="151" t="s">
        <v>87</v>
      </c>
      <c r="AY125" s="19" t="s">
        <v>177</v>
      </c>
      <c r="BE125" s="152">
        <f>IF(N125="základní",J125,0)</f>
        <v>0</v>
      </c>
      <c r="BF125" s="152">
        <f>IF(N125="snížená",J125,0)</f>
        <v>0</v>
      </c>
      <c r="BG125" s="152">
        <f>IF(N125="zákl. přenesená",J125,0)</f>
        <v>0</v>
      </c>
      <c r="BH125" s="152">
        <f>IF(N125="sníž. přenesená",J125,0)</f>
        <v>0</v>
      </c>
      <c r="BI125" s="152">
        <f>IF(N125="nulová",J125,0)</f>
        <v>0</v>
      </c>
      <c r="BJ125" s="19" t="s">
        <v>85</v>
      </c>
      <c r="BK125" s="152">
        <f>ROUND(I125*H125,2)</f>
        <v>0</v>
      </c>
      <c r="BL125" s="19" t="s">
        <v>185</v>
      </c>
      <c r="BM125" s="151" t="s">
        <v>1603</v>
      </c>
    </row>
    <row r="126" spans="1:65" s="2" customFormat="1" ht="19.5">
      <c r="A126" s="34"/>
      <c r="B126" s="35"/>
      <c r="C126" s="34"/>
      <c r="D126" s="153" t="s">
        <v>187</v>
      </c>
      <c r="E126" s="34"/>
      <c r="F126" s="154" t="s">
        <v>1483</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187</v>
      </c>
      <c r="AU126" s="19" t="s">
        <v>87</v>
      </c>
    </row>
    <row r="127" spans="1:65" s="2" customFormat="1">
      <c r="A127" s="34"/>
      <c r="B127" s="35"/>
      <c r="C127" s="34"/>
      <c r="D127" s="158" t="s">
        <v>189</v>
      </c>
      <c r="E127" s="34"/>
      <c r="F127" s="159" t="s">
        <v>1484</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189</v>
      </c>
      <c r="AU127" s="19" t="s">
        <v>87</v>
      </c>
    </row>
    <row r="128" spans="1:65" s="14" customFormat="1">
      <c r="B128" s="169"/>
      <c r="D128" s="153" t="s">
        <v>193</v>
      </c>
      <c r="E128" s="170" t="s">
        <v>3</v>
      </c>
      <c r="F128" s="171" t="s">
        <v>1604</v>
      </c>
      <c r="H128" s="170" t="s">
        <v>3</v>
      </c>
      <c r="I128" s="172"/>
      <c r="L128" s="169"/>
      <c r="M128" s="173"/>
      <c r="N128" s="174"/>
      <c r="O128" s="174"/>
      <c r="P128" s="174"/>
      <c r="Q128" s="174"/>
      <c r="R128" s="174"/>
      <c r="S128" s="174"/>
      <c r="T128" s="175"/>
      <c r="AT128" s="170" t="s">
        <v>193</v>
      </c>
      <c r="AU128" s="170" t="s">
        <v>87</v>
      </c>
      <c r="AV128" s="14" t="s">
        <v>85</v>
      </c>
      <c r="AW128" s="14" t="s">
        <v>36</v>
      </c>
      <c r="AX128" s="14" t="s">
        <v>77</v>
      </c>
      <c r="AY128" s="170" t="s">
        <v>177</v>
      </c>
    </row>
    <row r="129" spans="1:65" s="13" customFormat="1">
      <c r="B129" s="161"/>
      <c r="D129" s="153" t="s">
        <v>193</v>
      </c>
      <c r="E129" s="162" t="s">
        <v>3</v>
      </c>
      <c r="F129" s="163" t="s">
        <v>200</v>
      </c>
      <c r="H129" s="164">
        <v>5</v>
      </c>
      <c r="I129" s="165"/>
      <c r="L129" s="161"/>
      <c r="M129" s="166"/>
      <c r="N129" s="167"/>
      <c r="O129" s="167"/>
      <c r="P129" s="167"/>
      <c r="Q129" s="167"/>
      <c r="R129" s="167"/>
      <c r="S129" s="167"/>
      <c r="T129" s="168"/>
      <c r="AT129" s="162" t="s">
        <v>193</v>
      </c>
      <c r="AU129" s="162" t="s">
        <v>87</v>
      </c>
      <c r="AV129" s="13" t="s">
        <v>87</v>
      </c>
      <c r="AW129" s="13" t="s">
        <v>36</v>
      </c>
      <c r="AX129" s="13" t="s">
        <v>85</v>
      </c>
      <c r="AY129" s="162" t="s">
        <v>177</v>
      </c>
    </row>
    <row r="130" spans="1:65" s="2" customFormat="1" ht="16.5" customHeight="1">
      <c r="A130" s="34"/>
      <c r="B130" s="139"/>
      <c r="C130" s="140" t="s">
        <v>252</v>
      </c>
      <c r="D130" s="140" t="s">
        <v>180</v>
      </c>
      <c r="E130" s="141" t="s">
        <v>1605</v>
      </c>
      <c r="F130" s="142" t="s">
        <v>1606</v>
      </c>
      <c r="G130" s="143" t="s">
        <v>808</v>
      </c>
      <c r="H130" s="144">
        <v>4.3890000000000002</v>
      </c>
      <c r="I130" s="145"/>
      <c r="J130" s="146">
        <f>ROUND(I130*H130,2)</f>
        <v>0</v>
      </c>
      <c r="K130" s="142" t="s">
        <v>184</v>
      </c>
      <c r="L130" s="35"/>
      <c r="M130" s="147" t="s">
        <v>3</v>
      </c>
      <c r="N130" s="148" t="s">
        <v>48</v>
      </c>
      <c r="O130" s="55"/>
      <c r="P130" s="149">
        <f>O130*H130</f>
        <v>0</v>
      </c>
      <c r="Q130" s="149">
        <v>0</v>
      </c>
      <c r="R130" s="149">
        <f>Q130*H130</f>
        <v>0</v>
      </c>
      <c r="S130" s="149">
        <v>2.4</v>
      </c>
      <c r="T130" s="150">
        <f>S130*H130</f>
        <v>10.5336</v>
      </c>
      <c r="U130" s="34"/>
      <c r="V130" s="34"/>
      <c r="W130" s="34"/>
      <c r="X130" s="34"/>
      <c r="Y130" s="34"/>
      <c r="Z130" s="34"/>
      <c r="AA130" s="34"/>
      <c r="AB130" s="34"/>
      <c r="AC130" s="34"/>
      <c r="AD130" s="34"/>
      <c r="AE130" s="34"/>
      <c r="AR130" s="151" t="s">
        <v>185</v>
      </c>
      <c r="AT130" s="151" t="s">
        <v>180</v>
      </c>
      <c r="AU130" s="151" t="s">
        <v>87</v>
      </c>
      <c r="AY130" s="19" t="s">
        <v>177</v>
      </c>
      <c r="BE130" s="152">
        <f>IF(N130="základní",J130,0)</f>
        <v>0</v>
      </c>
      <c r="BF130" s="152">
        <f>IF(N130="snížená",J130,0)</f>
        <v>0</v>
      </c>
      <c r="BG130" s="152">
        <f>IF(N130="zákl. přenesená",J130,0)</f>
        <v>0</v>
      </c>
      <c r="BH130" s="152">
        <f>IF(N130="sníž. přenesená",J130,0)</f>
        <v>0</v>
      </c>
      <c r="BI130" s="152">
        <f>IF(N130="nulová",J130,0)</f>
        <v>0</v>
      </c>
      <c r="BJ130" s="19" t="s">
        <v>85</v>
      </c>
      <c r="BK130" s="152">
        <f>ROUND(I130*H130,2)</f>
        <v>0</v>
      </c>
      <c r="BL130" s="19" t="s">
        <v>185</v>
      </c>
      <c r="BM130" s="151" t="s">
        <v>1607</v>
      </c>
    </row>
    <row r="131" spans="1:65" s="2" customFormat="1">
      <c r="A131" s="34"/>
      <c r="B131" s="35"/>
      <c r="C131" s="34"/>
      <c r="D131" s="153" t="s">
        <v>187</v>
      </c>
      <c r="E131" s="34"/>
      <c r="F131" s="154" t="s">
        <v>1608</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187</v>
      </c>
      <c r="AU131" s="19" t="s">
        <v>87</v>
      </c>
    </row>
    <row r="132" spans="1:65" s="2" customFormat="1">
      <c r="A132" s="34"/>
      <c r="B132" s="35"/>
      <c r="C132" s="34"/>
      <c r="D132" s="158" t="s">
        <v>189</v>
      </c>
      <c r="E132" s="34"/>
      <c r="F132" s="159" t="s">
        <v>1609</v>
      </c>
      <c r="G132" s="34"/>
      <c r="H132" s="34"/>
      <c r="I132" s="155"/>
      <c r="J132" s="34"/>
      <c r="K132" s="34"/>
      <c r="L132" s="35"/>
      <c r="M132" s="156"/>
      <c r="N132" s="157"/>
      <c r="O132" s="55"/>
      <c r="P132" s="55"/>
      <c r="Q132" s="55"/>
      <c r="R132" s="55"/>
      <c r="S132" s="55"/>
      <c r="T132" s="56"/>
      <c r="U132" s="34"/>
      <c r="V132" s="34"/>
      <c r="W132" s="34"/>
      <c r="X132" s="34"/>
      <c r="Y132" s="34"/>
      <c r="Z132" s="34"/>
      <c r="AA132" s="34"/>
      <c r="AB132" s="34"/>
      <c r="AC132" s="34"/>
      <c r="AD132" s="34"/>
      <c r="AE132" s="34"/>
      <c r="AT132" s="19" t="s">
        <v>189</v>
      </c>
      <c r="AU132" s="19" t="s">
        <v>87</v>
      </c>
    </row>
    <row r="133" spans="1:65" s="2" customFormat="1" ht="29.25">
      <c r="A133" s="34"/>
      <c r="B133" s="35"/>
      <c r="C133" s="34"/>
      <c r="D133" s="153" t="s">
        <v>191</v>
      </c>
      <c r="E133" s="34"/>
      <c r="F133" s="160" t="s">
        <v>1610</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191</v>
      </c>
      <c r="AU133" s="19" t="s">
        <v>87</v>
      </c>
    </row>
    <row r="134" spans="1:65" s="13" customFormat="1">
      <c r="B134" s="161"/>
      <c r="D134" s="153" t="s">
        <v>193</v>
      </c>
      <c r="E134" s="162" t="s">
        <v>3</v>
      </c>
      <c r="F134" s="163" t="s">
        <v>1611</v>
      </c>
      <c r="H134" s="164">
        <v>4.3890000000000002</v>
      </c>
      <c r="I134" s="165"/>
      <c r="L134" s="161"/>
      <c r="M134" s="166"/>
      <c r="N134" s="167"/>
      <c r="O134" s="167"/>
      <c r="P134" s="167"/>
      <c r="Q134" s="167"/>
      <c r="R134" s="167"/>
      <c r="S134" s="167"/>
      <c r="T134" s="168"/>
      <c r="AT134" s="162" t="s">
        <v>193</v>
      </c>
      <c r="AU134" s="162" t="s">
        <v>87</v>
      </c>
      <c r="AV134" s="13" t="s">
        <v>87</v>
      </c>
      <c r="AW134" s="13" t="s">
        <v>36</v>
      </c>
      <c r="AX134" s="13" t="s">
        <v>85</v>
      </c>
      <c r="AY134" s="162" t="s">
        <v>177</v>
      </c>
    </row>
    <row r="135" spans="1:65" s="2" customFormat="1" ht="21.75" customHeight="1">
      <c r="A135" s="34"/>
      <c r="B135" s="139"/>
      <c r="C135" s="140" t="s">
        <v>258</v>
      </c>
      <c r="D135" s="140" t="s">
        <v>180</v>
      </c>
      <c r="E135" s="141" t="s">
        <v>701</v>
      </c>
      <c r="F135" s="142" t="s">
        <v>702</v>
      </c>
      <c r="G135" s="143" t="s">
        <v>476</v>
      </c>
      <c r="H135" s="144">
        <v>24</v>
      </c>
      <c r="I135" s="145"/>
      <c r="J135" s="146">
        <f>ROUND(I135*H135,2)</f>
        <v>0</v>
      </c>
      <c r="K135" s="142" t="s">
        <v>184</v>
      </c>
      <c r="L135" s="35"/>
      <c r="M135" s="147" t="s">
        <v>3</v>
      </c>
      <c r="N135" s="148" t="s">
        <v>48</v>
      </c>
      <c r="O135" s="55"/>
      <c r="P135" s="149">
        <f>O135*H135</f>
        <v>0</v>
      </c>
      <c r="Q135" s="149">
        <v>2.3630499999999999E-2</v>
      </c>
      <c r="R135" s="149">
        <f>Q135*H135</f>
        <v>0.56713199999999997</v>
      </c>
      <c r="S135" s="149">
        <v>0</v>
      </c>
      <c r="T135" s="150">
        <f>S135*H135</f>
        <v>0</v>
      </c>
      <c r="U135" s="34"/>
      <c r="V135" s="34"/>
      <c r="W135" s="34"/>
      <c r="X135" s="34"/>
      <c r="Y135" s="34"/>
      <c r="Z135" s="34"/>
      <c r="AA135" s="34"/>
      <c r="AB135" s="34"/>
      <c r="AC135" s="34"/>
      <c r="AD135" s="34"/>
      <c r="AE135" s="34"/>
      <c r="AR135" s="151" t="s">
        <v>185</v>
      </c>
      <c r="AT135" s="151" t="s">
        <v>180</v>
      </c>
      <c r="AU135" s="151" t="s">
        <v>87</v>
      </c>
      <c r="AY135" s="19" t="s">
        <v>177</v>
      </c>
      <c r="BE135" s="152">
        <f>IF(N135="základní",J135,0)</f>
        <v>0</v>
      </c>
      <c r="BF135" s="152">
        <f>IF(N135="snížená",J135,0)</f>
        <v>0</v>
      </c>
      <c r="BG135" s="152">
        <f>IF(N135="zákl. přenesená",J135,0)</f>
        <v>0</v>
      </c>
      <c r="BH135" s="152">
        <f>IF(N135="sníž. přenesená",J135,0)</f>
        <v>0</v>
      </c>
      <c r="BI135" s="152">
        <f>IF(N135="nulová",J135,0)</f>
        <v>0</v>
      </c>
      <c r="BJ135" s="19" t="s">
        <v>85</v>
      </c>
      <c r="BK135" s="152">
        <f>ROUND(I135*H135,2)</f>
        <v>0</v>
      </c>
      <c r="BL135" s="19" t="s">
        <v>185</v>
      </c>
      <c r="BM135" s="151" t="s">
        <v>1612</v>
      </c>
    </row>
    <row r="136" spans="1:65" s="2" customFormat="1" ht="19.5">
      <c r="A136" s="34"/>
      <c r="B136" s="35"/>
      <c r="C136" s="34"/>
      <c r="D136" s="153" t="s">
        <v>187</v>
      </c>
      <c r="E136" s="34"/>
      <c r="F136" s="154" t="s">
        <v>704</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187</v>
      </c>
      <c r="AU136" s="19" t="s">
        <v>87</v>
      </c>
    </row>
    <row r="137" spans="1:65" s="2" customFormat="1">
      <c r="A137" s="34"/>
      <c r="B137" s="35"/>
      <c r="C137" s="34"/>
      <c r="D137" s="158" t="s">
        <v>189</v>
      </c>
      <c r="E137" s="34"/>
      <c r="F137" s="159" t="s">
        <v>705</v>
      </c>
      <c r="G137" s="34"/>
      <c r="H137" s="34"/>
      <c r="I137" s="155"/>
      <c r="J137" s="34"/>
      <c r="K137" s="34"/>
      <c r="L137" s="35"/>
      <c r="M137" s="156"/>
      <c r="N137" s="157"/>
      <c r="O137" s="55"/>
      <c r="P137" s="55"/>
      <c r="Q137" s="55"/>
      <c r="R137" s="55"/>
      <c r="S137" s="55"/>
      <c r="T137" s="56"/>
      <c r="U137" s="34"/>
      <c r="V137" s="34"/>
      <c r="W137" s="34"/>
      <c r="X137" s="34"/>
      <c r="Y137" s="34"/>
      <c r="Z137" s="34"/>
      <c r="AA137" s="34"/>
      <c r="AB137" s="34"/>
      <c r="AC137" s="34"/>
      <c r="AD137" s="34"/>
      <c r="AE137" s="34"/>
      <c r="AT137" s="19" t="s">
        <v>189</v>
      </c>
      <c r="AU137" s="19" t="s">
        <v>87</v>
      </c>
    </row>
    <row r="138" spans="1:65" s="2" customFormat="1" ht="29.25">
      <c r="A138" s="34"/>
      <c r="B138" s="35"/>
      <c r="C138" s="34"/>
      <c r="D138" s="153" t="s">
        <v>191</v>
      </c>
      <c r="E138" s="34"/>
      <c r="F138" s="160" t="s">
        <v>706</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191</v>
      </c>
      <c r="AU138" s="19" t="s">
        <v>87</v>
      </c>
    </row>
    <row r="139" spans="1:65" s="13" customFormat="1">
      <c r="B139" s="161"/>
      <c r="D139" s="153" t="s">
        <v>193</v>
      </c>
      <c r="E139" s="162" t="s">
        <v>3</v>
      </c>
      <c r="F139" s="163" t="s">
        <v>1613</v>
      </c>
      <c r="H139" s="164">
        <v>24</v>
      </c>
      <c r="I139" s="165"/>
      <c r="L139" s="161"/>
      <c r="M139" s="166"/>
      <c r="N139" s="167"/>
      <c r="O139" s="167"/>
      <c r="P139" s="167"/>
      <c r="Q139" s="167"/>
      <c r="R139" s="167"/>
      <c r="S139" s="167"/>
      <c r="T139" s="168"/>
      <c r="AT139" s="162" t="s">
        <v>193</v>
      </c>
      <c r="AU139" s="162" t="s">
        <v>87</v>
      </c>
      <c r="AV139" s="13" t="s">
        <v>87</v>
      </c>
      <c r="AW139" s="13" t="s">
        <v>36</v>
      </c>
      <c r="AX139" s="13" t="s">
        <v>85</v>
      </c>
      <c r="AY139" s="162" t="s">
        <v>177</v>
      </c>
    </row>
    <row r="140" spans="1:65" s="2" customFormat="1" ht="24.2" customHeight="1">
      <c r="A140" s="34"/>
      <c r="B140" s="139"/>
      <c r="C140" s="140" t="s">
        <v>265</v>
      </c>
      <c r="D140" s="140" t="s">
        <v>180</v>
      </c>
      <c r="E140" s="141" t="s">
        <v>707</v>
      </c>
      <c r="F140" s="142" t="s">
        <v>708</v>
      </c>
      <c r="G140" s="143" t="s">
        <v>476</v>
      </c>
      <c r="H140" s="144">
        <v>24</v>
      </c>
      <c r="I140" s="145"/>
      <c r="J140" s="146">
        <f>ROUND(I140*H140,2)</f>
        <v>0</v>
      </c>
      <c r="K140" s="142" t="s">
        <v>184</v>
      </c>
      <c r="L140" s="35"/>
      <c r="M140" s="147" t="s">
        <v>3</v>
      </c>
      <c r="N140" s="148" t="s">
        <v>48</v>
      </c>
      <c r="O140" s="55"/>
      <c r="P140" s="149">
        <f>O140*H140</f>
        <v>0</v>
      </c>
      <c r="Q140" s="149">
        <v>4.3225E-3</v>
      </c>
      <c r="R140" s="149">
        <f>Q140*H140</f>
        <v>0.10374</v>
      </c>
      <c r="S140" s="149">
        <v>0</v>
      </c>
      <c r="T140" s="150">
        <f>S140*H140</f>
        <v>0</v>
      </c>
      <c r="U140" s="34"/>
      <c r="V140" s="34"/>
      <c r="W140" s="34"/>
      <c r="X140" s="34"/>
      <c r="Y140" s="34"/>
      <c r="Z140" s="34"/>
      <c r="AA140" s="34"/>
      <c r="AB140" s="34"/>
      <c r="AC140" s="34"/>
      <c r="AD140" s="34"/>
      <c r="AE140" s="34"/>
      <c r="AR140" s="151" t="s">
        <v>185</v>
      </c>
      <c r="AT140" s="151" t="s">
        <v>180</v>
      </c>
      <c r="AU140" s="151" t="s">
        <v>87</v>
      </c>
      <c r="AY140" s="19" t="s">
        <v>177</v>
      </c>
      <c r="BE140" s="152">
        <f>IF(N140="základní",J140,0)</f>
        <v>0</v>
      </c>
      <c r="BF140" s="152">
        <f>IF(N140="snížená",J140,0)</f>
        <v>0</v>
      </c>
      <c r="BG140" s="152">
        <f>IF(N140="zákl. přenesená",J140,0)</f>
        <v>0</v>
      </c>
      <c r="BH140" s="152">
        <f>IF(N140="sníž. přenesená",J140,0)</f>
        <v>0</v>
      </c>
      <c r="BI140" s="152">
        <f>IF(N140="nulová",J140,0)</f>
        <v>0</v>
      </c>
      <c r="BJ140" s="19" t="s">
        <v>85</v>
      </c>
      <c r="BK140" s="152">
        <f>ROUND(I140*H140,2)</f>
        <v>0</v>
      </c>
      <c r="BL140" s="19" t="s">
        <v>185</v>
      </c>
      <c r="BM140" s="151" t="s">
        <v>1614</v>
      </c>
    </row>
    <row r="141" spans="1:65" s="2" customFormat="1" ht="19.5">
      <c r="A141" s="34"/>
      <c r="B141" s="35"/>
      <c r="C141" s="34"/>
      <c r="D141" s="153" t="s">
        <v>187</v>
      </c>
      <c r="E141" s="34"/>
      <c r="F141" s="154" t="s">
        <v>710</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187</v>
      </c>
      <c r="AU141" s="19" t="s">
        <v>87</v>
      </c>
    </row>
    <row r="142" spans="1:65" s="2" customFormat="1">
      <c r="A142" s="34"/>
      <c r="B142" s="35"/>
      <c r="C142" s="34"/>
      <c r="D142" s="158" t="s">
        <v>189</v>
      </c>
      <c r="E142" s="34"/>
      <c r="F142" s="159" t="s">
        <v>711</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189</v>
      </c>
      <c r="AU142" s="19" t="s">
        <v>87</v>
      </c>
    </row>
    <row r="143" spans="1:65" s="2" customFormat="1" ht="29.25">
      <c r="A143" s="34"/>
      <c r="B143" s="35"/>
      <c r="C143" s="34"/>
      <c r="D143" s="153" t="s">
        <v>191</v>
      </c>
      <c r="E143" s="34"/>
      <c r="F143" s="160" t="s">
        <v>706</v>
      </c>
      <c r="G143" s="34"/>
      <c r="H143" s="34"/>
      <c r="I143" s="155"/>
      <c r="J143" s="34"/>
      <c r="K143" s="34"/>
      <c r="L143" s="35"/>
      <c r="M143" s="156"/>
      <c r="N143" s="157"/>
      <c r="O143" s="55"/>
      <c r="P143" s="55"/>
      <c r="Q143" s="55"/>
      <c r="R143" s="55"/>
      <c r="S143" s="55"/>
      <c r="T143" s="56"/>
      <c r="U143" s="34"/>
      <c r="V143" s="34"/>
      <c r="W143" s="34"/>
      <c r="X143" s="34"/>
      <c r="Y143" s="34"/>
      <c r="Z143" s="34"/>
      <c r="AA143" s="34"/>
      <c r="AB143" s="34"/>
      <c r="AC143" s="34"/>
      <c r="AD143" s="34"/>
      <c r="AE143" s="34"/>
      <c r="AT143" s="19" t="s">
        <v>191</v>
      </c>
      <c r="AU143" s="19" t="s">
        <v>87</v>
      </c>
    </row>
    <row r="144" spans="1:65" s="2" customFormat="1" ht="21.75" customHeight="1">
      <c r="A144" s="34"/>
      <c r="B144" s="139"/>
      <c r="C144" s="140" t="s">
        <v>271</v>
      </c>
      <c r="D144" s="140" t="s">
        <v>180</v>
      </c>
      <c r="E144" s="141" t="s">
        <v>825</v>
      </c>
      <c r="F144" s="142" t="s">
        <v>826</v>
      </c>
      <c r="G144" s="143" t="s">
        <v>476</v>
      </c>
      <c r="H144" s="144">
        <v>134.56</v>
      </c>
      <c r="I144" s="145"/>
      <c r="J144" s="146">
        <f>ROUND(I144*H144,2)</f>
        <v>0</v>
      </c>
      <c r="K144" s="142" t="s">
        <v>184</v>
      </c>
      <c r="L144" s="35"/>
      <c r="M144" s="147" t="s">
        <v>3</v>
      </c>
      <c r="N144" s="148" t="s">
        <v>48</v>
      </c>
      <c r="O144" s="55"/>
      <c r="P144" s="149">
        <f>O144*H144</f>
        <v>0</v>
      </c>
      <c r="Q144" s="149">
        <v>2.009E-4</v>
      </c>
      <c r="R144" s="149">
        <f>Q144*H144</f>
        <v>2.7033104000000002E-2</v>
      </c>
      <c r="S144" s="149">
        <v>0</v>
      </c>
      <c r="T144" s="150">
        <f>S144*H144</f>
        <v>0</v>
      </c>
      <c r="U144" s="34"/>
      <c r="V144" s="34"/>
      <c r="W144" s="34"/>
      <c r="X144" s="34"/>
      <c r="Y144" s="34"/>
      <c r="Z144" s="34"/>
      <c r="AA144" s="34"/>
      <c r="AB144" s="34"/>
      <c r="AC144" s="34"/>
      <c r="AD144" s="34"/>
      <c r="AE144" s="34"/>
      <c r="AR144" s="151" t="s">
        <v>185</v>
      </c>
      <c r="AT144" s="151" t="s">
        <v>180</v>
      </c>
      <c r="AU144" s="151" t="s">
        <v>87</v>
      </c>
      <c r="AY144" s="19" t="s">
        <v>177</v>
      </c>
      <c r="BE144" s="152">
        <f>IF(N144="základní",J144,0)</f>
        <v>0</v>
      </c>
      <c r="BF144" s="152">
        <f>IF(N144="snížená",J144,0)</f>
        <v>0</v>
      </c>
      <c r="BG144" s="152">
        <f>IF(N144="zákl. přenesená",J144,0)</f>
        <v>0</v>
      </c>
      <c r="BH144" s="152">
        <f>IF(N144="sníž. přenesená",J144,0)</f>
        <v>0</v>
      </c>
      <c r="BI144" s="152">
        <f>IF(N144="nulová",J144,0)</f>
        <v>0</v>
      </c>
      <c r="BJ144" s="19" t="s">
        <v>85</v>
      </c>
      <c r="BK144" s="152">
        <f>ROUND(I144*H144,2)</f>
        <v>0</v>
      </c>
      <c r="BL144" s="19" t="s">
        <v>185</v>
      </c>
      <c r="BM144" s="151" t="s">
        <v>1615</v>
      </c>
    </row>
    <row r="145" spans="1:65" s="2" customFormat="1" ht="19.5">
      <c r="A145" s="34"/>
      <c r="B145" s="35"/>
      <c r="C145" s="34"/>
      <c r="D145" s="153" t="s">
        <v>187</v>
      </c>
      <c r="E145" s="34"/>
      <c r="F145" s="154" t="s">
        <v>828</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187</v>
      </c>
      <c r="AU145" s="19" t="s">
        <v>87</v>
      </c>
    </row>
    <row r="146" spans="1:65" s="2" customFormat="1">
      <c r="A146" s="34"/>
      <c r="B146" s="35"/>
      <c r="C146" s="34"/>
      <c r="D146" s="158" t="s">
        <v>189</v>
      </c>
      <c r="E146" s="34"/>
      <c r="F146" s="159" t="s">
        <v>829</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189</v>
      </c>
      <c r="AU146" s="19" t="s">
        <v>87</v>
      </c>
    </row>
    <row r="147" spans="1:65" s="2" customFormat="1" ht="78">
      <c r="A147" s="34"/>
      <c r="B147" s="35"/>
      <c r="C147" s="34"/>
      <c r="D147" s="153" t="s">
        <v>191</v>
      </c>
      <c r="E147" s="34"/>
      <c r="F147" s="160" t="s">
        <v>823</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191</v>
      </c>
      <c r="AU147" s="19" t="s">
        <v>87</v>
      </c>
    </row>
    <row r="148" spans="1:65" s="14" customFormat="1">
      <c r="B148" s="169"/>
      <c r="D148" s="153" t="s">
        <v>193</v>
      </c>
      <c r="E148" s="170" t="s">
        <v>3</v>
      </c>
      <c r="F148" s="171" t="s">
        <v>1616</v>
      </c>
      <c r="H148" s="170" t="s">
        <v>3</v>
      </c>
      <c r="I148" s="172"/>
      <c r="L148" s="169"/>
      <c r="M148" s="173"/>
      <c r="N148" s="174"/>
      <c r="O148" s="174"/>
      <c r="P148" s="174"/>
      <c r="Q148" s="174"/>
      <c r="R148" s="174"/>
      <c r="S148" s="174"/>
      <c r="T148" s="175"/>
      <c r="AT148" s="170" t="s">
        <v>193</v>
      </c>
      <c r="AU148" s="170" t="s">
        <v>87</v>
      </c>
      <c r="AV148" s="14" t="s">
        <v>85</v>
      </c>
      <c r="AW148" s="14" t="s">
        <v>36</v>
      </c>
      <c r="AX148" s="14" t="s">
        <v>77</v>
      </c>
      <c r="AY148" s="170" t="s">
        <v>177</v>
      </c>
    </row>
    <row r="149" spans="1:65" s="13" customFormat="1">
      <c r="B149" s="161"/>
      <c r="D149" s="153" t="s">
        <v>193</v>
      </c>
      <c r="E149" s="162" t="s">
        <v>3</v>
      </c>
      <c r="F149" s="163" t="s">
        <v>1617</v>
      </c>
      <c r="H149" s="164">
        <v>17.52</v>
      </c>
      <c r="I149" s="165"/>
      <c r="L149" s="161"/>
      <c r="M149" s="166"/>
      <c r="N149" s="167"/>
      <c r="O149" s="167"/>
      <c r="P149" s="167"/>
      <c r="Q149" s="167"/>
      <c r="R149" s="167"/>
      <c r="S149" s="167"/>
      <c r="T149" s="168"/>
      <c r="AT149" s="162" t="s">
        <v>193</v>
      </c>
      <c r="AU149" s="162" t="s">
        <v>87</v>
      </c>
      <c r="AV149" s="13" t="s">
        <v>87</v>
      </c>
      <c r="AW149" s="13" t="s">
        <v>36</v>
      </c>
      <c r="AX149" s="13" t="s">
        <v>77</v>
      </c>
      <c r="AY149" s="162" t="s">
        <v>177</v>
      </c>
    </row>
    <row r="150" spans="1:65" s="14" customFormat="1">
      <c r="B150" s="169"/>
      <c r="D150" s="153" t="s">
        <v>193</v>
      </c>
      <c r="E150" s="170" t="s">
        <v>3</v>
      </c>
      <c r="F150" s="171" t="s">
        <v>1618</v>
      </c>
      <c r="H150" s="170" t="s">
        <v>3</v>
      </c>
      <c r="I150" s="172"/>
      <c r="L150" s="169"/>
      <c r="M150" s="173"/>
      <c r="N150" s="174"/>
      <c r="O150" s="174"/>
      <c r="P150" s="174"/>
      <c r="Q150" s="174"/>
      <c r="R150" s="174"/>
      <c r="S150" s="174"/>
      <c r="T150" s="175"/>
      <c r="AT150" s="170" t="s">
        <v>193</v>
      </c>
      <c r="AU150" s="170" t="s">
        <v>87</v>
      </c>
      <c r="AV150" s="14" t="s">
        <v>85</v>
      </c>
      <c r="AW150" s="14" t="s">
        <v>36</v>
      </c>
      <c r="AX150" s="14" t="s">
        <v>77</v>
      </c>
      <c r="AY150" s="170" t="s">
        <v>177</v>
      </c>
    </row>
    <row r="151" spans="1:65" s="13" customFormat="1">
      <c r="B151" s="161"/>
      <c r="D151" s="153" t="s">
        <v>193</v>
      </c>
      <c r="E151" s="162" t="s">
        <v>3</v>
      </c>
      <c r="F151" s="163" t="s">
        <v>1619</v>
      </c>
      <c r="H151" s="164">
        <v>117.04</v>
      </c>
      <c r="I151" s="165"/>
      <c r="L151" s="161"/>
      <c r="M151" s="166"/>
      <c r="N151" s="167"/>
      <c r="O151" s="167"/>
      <c r="P151" s="167"/>
      <c r="Q151" s="167"/>
      <c r="R151" s="167"/>
      <c r="S151" s="167"/>
      <c r="T151" s="168"/>
      <c r="AT151" s="162" t="s">
        <v>193</v>
      </c>
      <c r="AU151" s="162" t="s">
        <v>87</v>
      </c>
      <c r="AV151" s="13" t="s">
        <v>87</v>
      </c>
      <c r="AW151" s="13" t="s">
        <v>36</v>
      </c>
      <c r="AX151" s="13" t="s">
        <v>77</v>
      </c>
      <c r="AY151" s="162" t="s">
        <v>177</v>
      </c>
    </row>
    <row r="152" spans="1:65" s="16" customFormat="1">
      <c r="B152" s="184"/>
      <c r="D152" s="153" t="s">
        <v>193</v>
      </c>
      <c r="E152" s="185" t="s">
        <v>3</v>
      </c>
      <c r="F152" s="186" t="s">
        <v>201</v>
      </c>
      <c r="H152" s="187">
        <v>134.56</v>
      </c>
      <c r="I152" s="188"/>
      <c r="L152" s="184"/>
      <c r="M152" s="189"/>
      <c r="N152" s="190"/>
      <c r="O152" s="190"/>
      <c r="P152" s="190"/>
      <c r="Q152" s="190"/>
      <c r="R152" s="190"/>
      <c r="S152" s="190"/>
      <c r="T152" s="191"/>
      <c r="AT152" s="185" t="s">
        <v>193</v>
      </c>
      <c r="AU152" s="185" t="s">
        <v>87</v>
      </c>
      <c r="AV152" s="16" t="s">
        <v>185</v>
      </c>
      <c r="AW152" s="16" t="s">
        <v>36</v>
      </c>
      <c r="AX152" s="16" t="s">
        <v>85</v>
      </c>
      <c r="AY152" s="185" t="s">
        <v>177</v>
      </c>
    </row>
    <row r="153" spans="1:65" s="12" customFormat="1" ht="22.9" customHeight="1">
      <c r="B153" s="126"/>
      <c r="D153" s="127" t="s">
        <v>76</v>
      </c>
      <c r="E153" s="137" t="s">
        <v>178</v>
      </c>
      <c r="F153" s="137" t="s">
        <v>179</v>
      </c>
      <c r="I153" s="129"/>
      <c r="J153" s="138">
        <f>BK153</f>
        <v>0</v>
      </c>
      <c r="L153" s="126"/>
      <c r="M153" s="131"/>
      <c r="N153" s="132"/>
      <c r="O153" s="132"/>
      <c r="P153" s="133">
        <f>SUM(P154:P175)</f>
        <v>0</v>
      </c>
      <c r="Q153" s="132"/>
      <c r="R153" s="133">
        <f>SUM(R154:R175)</f>
        <v>0</v>
      </c>
      <c r="S153" s="132"/>
      <c r="T153" s="134">
        <f>SUM(T154:T175)</f>
        <v>0</v>
      </c>
      <c r="AR153" s="127" t="s">
        <v>85</v>
      </c>
      <c r="AT153" s="135" t="s">
        <v>76</v>
      </c>
      <c r="AU153" s="135" t="s">
        <v>85</v>
      </c>
      <c r="AY153" s="127" t="s">
        <v>177</v>
      </c>
      <c r="BK153" s="136">
        <f>SUM(BK154:BK175)</f>
        <v>0</v>
      </c>
    </row>
    <row r="154" spans="1:65" s="2" customFormat="1" ht="16.5" customHeight="1">
      <c r="A154" s="34"/>
      <c r="B154" s="139"/>
      <c r="C154" s="140" t="s">
        <v>277</v>
      </c>
      <c r="D154" s="140" t="s">
        <v>180</v>
      </c>
      <c r="E154" s="141" t="s">
        <v>181</v>
      </c>
      <c r="F154" s="142" t="s">
        <v>182</v>
      </c>
      <c r="G154" s="143" t="s">
        <v>183</v>
      </c>
      <c r="H154" s="144">
        <v>11.839</v>
      </c>
      <c r="I154" s="145"/>
      <c r="J154" s="146">
        <f>ROUND(I154*H154,2)</f>
        <v>0</v>
      </c>
      <c r="K154" s="142" t="s">
        <v>184</v>
      </c>
      <c r="L154" s="35"/>
      <c r="M154" s="147" t="s">
        <v>3</v>
      </c>
      <c r="N154" s="148" t="s">
        <v>48</v>
      </c>
      <c r="O154" s="55"/>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185</v>
      </c>
      <c r="AT154" s="151" t="s">
        <v>180</v>
      </c>
      <c r="AU154" s="151" t="s">
        <v>87</v>
      </c>
      <c r="AY154" s="19" t="s">
        <v>177</v>
      </c>
      <c r="BE154" s="152">
        <f>IF(N154="základní",J154,0)</f>
        <v>0</v>
      </c>
      <c r="BF154" s="152">
        <f>IF(N154="snížená",J154,0)</f>
        <v>0</v>
      </c>
      <c r="BG154" s="152">
        <f>IF(N154="zákl. přenesená",J154,0)</f>
        <v>0</v>
      </c>
      <c r="BH154" s="152">
        <f>IF(N154="sníž. přenesená",J154,0)</f>
        <v>0</v>
      </c>
      <c r="BI154" s="152">
        <f>IF(N154="nulová",J154,0)</f>
        <v>0</v>
      </c>
      <c r="BJ154" s="19" t="s">
        <v>85</v>
      </c>
      <c r="BK154" s="152">
        <f>ROUND(I154*H154,2)</f>
        <v>0</v>
      </c>
      <c r="BL154" s="19" t="s">
        <v>185</v>
      </c>
      <c r="BM154" s="151" t="s">
        <v>1620</v>
      </c>
    </row>
    <row r="155" spans="1:65" s="2" customFormat="1">
      <c r="A155" s="34"/>
      <c r="B155" s="35"/>
      <c r="C155" s="34"/>
      <c r="D155" s="153" t="s">
        <v>187</v>
      </c>
      <c r="E155" s="34"/>
      <c r="F155" s="154" t="s">
        <v>188</v>
      </c>
      <c r="G155" s="34"/>
      <c r="H155" s="34"/>
      <c r="I155" s="155"/>
      <c r="J155" s="34"/>
      <c r="K155" s="34"/>
      <c r="L155" s="35"/>
      <c r="M155" s="156"/>
      <c r="N155" s="157"/>
      <c r="O155" s="55"/>
      <c r="P155" s="55"/>
      <c r="Q155" s="55"/>
      <c r="R155" s="55"/>
      <c r="S155" s="55"/>
      <c r="T155" s="56"/>
      <c r="U155" s="34"/>
      <c r="V155" s="34"/>
      <c r="W155" s="34"/>
      <c r="X155" s="34"/>
      <c r="Y155" s="34"/>
      <c r="Z155" s="34"/>
      <c r="AA155" s="34"/>
      <c r="AB155" s="34"/>
      <c r="AC155" s="34"/>
      <c r="AD155" s="34"/>
      <c r="AE155" s="34"/>
      <c r="AT155" s="19" t="s">
        <v>187</v>
      </c>
      <c r="AU155" s="19" t="s">
        <v>87</v>
      </c>
    </row>
    <row r="156" spans="1:65" s="2" customFormat="1">
      <c r="A156" s="34"/>
      <c r="B156" s="35"/>
      <c r="C156" s="34"/>
      <c r="D156" s="158" t="s">
        <v>189</v>
      </c>
      <c r="E156" s="34"/>
      <c r="F156" s="159" t="s">
        <v>190</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189</v>
      </c>
      <c r="AU156" s="19" t="s">
        <v>87</v>
      </c>
    </row>
    <row r="157" spans="1:65" s="2" customFormat="1" ht="107.25">
      <c r="A157" s="34"/>
      <c r="B157" s="35"/>
      <c r="C157" s="34"/>
      <c r="D157" s="153" t="s">
        <v>191</v>
      </c>
      <c r="E157" s="34"/>
      <c r="F157" s="160" t="s">
        <v>192</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191</v>
      </c>
      <c r="AU157" s="19" t="s">
        <v>87</v>
      </c>
    </row>
    <row r="158" spans="1:65" s="2" customFormat="1" ht="21.75" customHeight="1">
      <c r="A158" s="34"/>
      <c r="B158" s="139"/>
      <c r="C158" s="140" t="s">
        <v>283</v>
      </c>
      <c r="D158" s="140" t="s">
        <v>180</v>
      </c>
      <c r="E158" s="141" t="s">
        <v>202</v>
      </c>
      <c r="F158" s="142" t="s">
        <v>203</v>
      </c>
      <c r="G158" s="143" t="s">
        <v>183</v>
      </c>
      <c r="H158" s="144">
        <v>23.678000000000001</v>
      </c>
      <c r="I158" s="145"/>
      <c r="J158" s="146">
        <f>ROUND(I158*H158,2)</f>
        <v>0</v>
      </c>
      <c r="K158" s="142" t="s">
        <v>184</v>
      </c>
      <c r="L158" s="35"/>
      <c r="M158" s="147" t="s">
        <v>3</v>
      </c>
      <c r="N158" s="148" t="s">
        <v>48</v>
      </c>
      <c r="O158" s="55"/>
      <c r="P158" s="149">
        <f>O158*H158</f>
        <v>0</v>
      </c>
      <c r="Q158" s="149">
        <v>0</v>
      </c>
      <c r="R158" s="149">
        <f>Q158*H158</f>
        <v>0</v>
      </c>
      <c r="S158" s="149">
        <v>0</v>
      </c>
      <c r="T158" s="150">
        <f>S158*H158</f>
        <v>0</v>
      </c>
      <c r="U158" s="34"/>
      <c r="V158" s="34"/>
      <c r="W158" s="34"/>
      <c r="X158" s="34"/>
      <c r="Y158" s="34"/>
      <c r="Z158" s="34"/>
      <c r="AA158" s="34"/>
      <c r="AB158" s="34"/>
      <c r="AC158" s="34"/>
      <c r="AD158" s="34"/>
      <c r="AE158" s="34"/>
      <c r="AR158" s="151" t="s">
        <v>185</v>
      </c>
      <c r="AT158" s="151" t="s">
        <v>180</v>
      </c>
      <c r="AU158" s="151" t="s">
        <v>87</v>
      </c>
      <c r="AY158" s="19" t="s">
        <v>177</v>
      </c>
      <c r="BE158" s="152">
        <f>IF(N158="základní",J158,0)</f>
        <v>0</v>
      </c>
      <c r="BF158" s="152">
        <f>IF(N158="snížená",J158,0)</f>
        <v>0</v>
      </c>
      <c r="BG158" s="152">
        <f>IF(N158="zákl. přenesená",J158,0)</f>
        <v>0</v>
      </c>
      <c r="BH158" s="152">
        <f>IF(N158="sníž. přenesená",J158,0)</f>
        <v>0</v>
      </c>
      <c r="BI158" s="152">
        <f>IF(N158="nulová",J158,0)</f>
        <v>0</v>
      </c>
      <c r="BJ158" s="19" t="s">
        <v>85</v>
      </c>
      <c r="BK158" s="152">
        <f>ROUND(I158*H158,2)</f>
        <v>0</v>
      </c>
      <c r="BL158" s="19" t="s">
        <v>185</v>
      </c>
      <c r="BM158" s="151" t="s">
        <v>1621</v>
      </c>
    </row>
    <row r="159" spans="1:65" s="2" customFormat="1" ht="19.5">
      <c r="A159" s="34"/>
      <c r="B159" s="35"/>
      <c r="C159" s="34"/>
      <c r="D159" s="153" t="s">
        <v>187</v>
      </c>
      <c r="E159" s="34"/>
      <c r="F159" s="154" t="s">
        <v>205</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187</v>
      </c>
      <c r="AU159" s="19" t="s">
        <v>87</v>
      </c>
    </row>
    <row r="160" spans="1:65" s="2" customFormat="1">
      <c r="A160" s="34"/>
      <c r="B160" s="35"/>
      <c r="C160" s="34"/>
      <c r="D160" s="158" t="s">
        <v>189</v>
      </c>
      <c r="E160" s="34"/>
      <c r="F160" s="159" t="s">
        <v>206</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189</v>
      </c>
      <c r="AU160" s="19" t="s">
        <v>87</v>
      </c>
    </row>
    <row r="161" spans="1:65" s="2" customFormat="1" ht="107.25">
      <c r="A161" s="34"/>
      <c r="B161" s="35"/>
      <c r="C161" s="34"/>
      <c r="D161" s="153" t="s">
        <v>191</v>
      </c>
      <c r="E161" s="34"/>
      <c r="F161" s="160" t="s">
        <v>192</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191</v>
      </c>
      <c r="AU161" s="19" t="s">
        <v>87</v>
      </c>
    </row>
    <row r="162" spans="1:65" s="13" customFormat="1">
      <c r="B162" s="161"/>
      <c r="D162" s="153" t="s">
        <v>193</v>
      </c>
      <c r="F162" s="163" t="s">
        <v>1622</v>
      </c>
      <c r="H162" s="164">
        <v>23.678000000000001</v>
      </c>
      <c r="I162" s="165"/>
      <c r="L162" s="161"/>
      <c r="M162" s="166"/>
      <c r="N162" s="167"/>
      <c r="O162" s="167"/>
      <c r="P162" s="167"/>
      <c r="Q162" s="167"/>
      <c r="R162" s="167"/>
      <c r="S162" s="167"/>
      <c r="T162" s="168"/>
      <c r="AT162" s="162" t="s">
        <v>193</v>
      </c>
      <c r="AU162" s="162" t="s">
        <v>87</v>
      </c>
      <c r="AV162" s="13" t="s">
        <v>87</v>
      </c>
      <c r="AW162" s="13" t="s">
        <v>4</v>
      </c>
      <c r="AX162" s="13" t="s">
        <v>85</v>
      </c>
      <c r="AY162" s="162" t="s">
        <v>177</v>
      </c>
    </row>
    <row r="163" spans="1:65" s="2" customFormat="1" ht="16.5" customHeight="1">
      <c r="A163" s="34"/>
      <c r="B163" s="139"/>
      <c r="C163" s="140" t="s">
        <v>9</v>
      </c>
      <c r="D163" s="140" t="s">
        <v>180</v>
      </c>
      <c r="E163" s="141" t="s">
        <v>208</v>
      </c>
      <c r="F163" s="142" t="s">
        <v>209</v>
      </c>
      <c r="G163" s="143" t="s">
        <v>183</v>
      </c>
      <c r="H163" s="144">
        <v>11.839</v>
      </c>
      <c r="I163" s="145"/>
      <c r="J163" s="146">
        <f>ROUND(I163*H163,2)</f>
        <v>0</v>
      </c>
      <c r="K163" s="142" t="s">
        <v>184</v>
      </c>
      <c r="L163" s="35"/>
      <c r="M163" s="147" t="s">
        <v>3</v>
      </c>
      <c r="N163" s="148" t="s">
        <v>48</v>
      </c>
      <c r="O163" s="55"/>
      <c r="P163" s="149">
        <f>O163*H163</f>
        <v>0</v>
      </c>
      <c r="Q163" s="149">
        <v>0</v>
      </c>
      <c r="R163" s="149">
        <f>Q163*H163</f>
        <v>0</v>
      </c>
      <c r="S163" s="149">
        <v>0</v>
      </c>
      <c r="T163" s="150">
        <f>S163*H163</f>
        <v>0</v>
      </c>
      <c r="U163" s="34"/>
      <c r="V163" s="34"/>
      <c r="W163" s="34"/>
      <c r="X163" s="34"/>
      <c r="Y163" s="34"/>
      <c r="Z163" s="34"/>
      <c r="AA163" s="34"/>
      <c r="AB163" s="34"/>
      <c r="AC163" s="34"/>
      <c r="AD163" s="34"/>
      <c r="AE163" s="34"/>
      <c r="AR163" s="151" t="s">
        <v>185</v>
      </c>
      <c r="AT163" s="151" t="s">
        <v>180</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1623</v>
      </c>
    </row>
    <row r="164" spans="1:65" s="2" customFormat="1">
      <c r="A164" s="34"/>
      <c r="B164" s="35"/>
      <c r="C164" s="34"/>
      <c r="D164" s="153" t="s">
        <v>187</v>
      </c>
      <c r="E164" s="34"/>
      <c r="F164" s="154" t="s">
        <v>211</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c r="A165" s="34"/>
      <c r="B165" s="35"/>
      <c r="C165" s="34"/>
      <c r="D165" s="158" t="s">
        <v>189</v>
      </c>
      <c r="E165" s="34"/>
      <c r="F165" s="159" t="s">
        <v>212</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87</v>
      </c>
    </row>
    <row r="166" spans="1:65" s="2" customFormat="1" ht="58.5">
      <c r="A166" s="34"/>
      <c r="B166" s="35"/>
      <c r="C166" s="34"/>
      <c r="D166" s="153" t="s">
        <v>191</v>
      </c>
      <c r="E166" s="34"/>
      <c r="F166" s="160" t="s">
        <v>213</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191</v>
      </c>
      <c r="AU166" s="19" t="s">
        <v>87</v>
      </c>
    </row>
    <row r="167" spans="1:65" s="2" customFormat="1" ht="16.5" customHeight="1">
      <c r="A167" s="34"/>
      <c r="B167" s="139"/>
      <c r="C167" s="140" t="s">
        <v>237</v>
      </c>
      <c r="D167" s="140" t="s">
        <v>180</v>
      </c>
      <c r="E167" s="141" t="s">
        <v>214</v>
      </c>
      <c r="F167" s="142" t="s">
        <v>215</v>
      </c>
      <c r="G167" s="143" t="s">
        <v>183</v>
      </c>
      <c r="H167" s="144">
        <v>224.941</v>
      </c>
      <c r="I167" s="145"/>
      <c r="J167" s="146">
        <f>ROUND(I167*H167,2)</f>
        <v>0</v>
      </c>
      <c r="K167" s="142" t="s">
        <v>184</v>
      </c>
      <c r="L167" s="35"/>
      <c r="M167" s="147" t="s">
        <v>3</v>
      </c>
      <c r="N167" s="148" t="s">
        <v>48</v>
      </c>
      <c r="O167" s="55"/>
      <c r="P167" s="149">
        <f>O167*H167</f>
        <v>0</v>
      </c>
      <c r="Q167" s="149">
        <v>0</v>
      </c>
      <c r="R167" s="149">
        <f>Q167*H167</f>
        <v>0</v>
      </c>
      <c r="S167" s="149">
        <v>0</v>
      </c>
      <c r="T167" s="150">
        <f>S167*H167</f>
        <v>0</v>
      </c>
      <c r="U167" s="34"/>
      <c r="V167" s="34"/>
      <c r="W167" s="34"/>
      <c r="X167" s="34"/>
      <c r="Y167" s="34"/>
      <c r="Z167" s="34"/>
      <c r="AA167" s="34"/>
      <c r="AB167" s="34"/>
      <c r="AC167" s="34"/>
      <c r="AD167" s="34"/>
      <c r="AE167" s="34"/>
      <c r="AR167" s="151" t="s">
        <v>185</v>
      </c>
      <c r="AT167" s="151" t="s">
        <v>180</v>
      </c>
      <c r="AU167" s="151" t="s">
        <v>87</v>
      </c>
      <c r="AY167" s="19" t="s">
        <v>177</v>
      </c>
      <c r="BE167" s="152">
        <f>IF(N167="základní",J167,0)</f>
        <v>0</v>
      </c>
      <c r="BF167" s="152">
        <f>IF(N167="snížená",J167,0)</f>
        <v>0</v>
      </c>
      <c r="BG167" s="152">
        <f>IF(N167="zákl. přenesená",J167,0)</f>
        <v>0</v>
      </c>
      <c r="BH167" s="152">
        <f>IF(N167="sníž. přenesená",J167,0)</f>
        <v>0</v>
      </c>
      <c r="BI167" s="152">
        <f>IF(N167="nulová",J167,0)</f>
        <v>0</v>
      </c>
      <c r="BJ167" s="19" t="s">
        <v>85</v>
      </c>
      <c r="BK167" s="152">
        <f>ROUND(I167*H167,2)</f>
        <v>0</v>
      </c>
      <c r="BL167" s="19" t="s">
        <v>185</v>
      </c>
      <c r="BM167" s="151" t="s">
        <v>1624</v>
      </c>
    </row>
    <row r="168" spans="1:65" s="2" customFormat="1" ht="19.5">
      <c r="A168" s="34"/>
      <c r="B168" s="35"/>
      <c r="C168" s="34"/>
      <c r="D168" s="153" t="s">
        <v>187</v>
      </c>
      <c r="E168" s="34"/>
      <c r="F168" s="154" t="s">
        <v>217</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187</v>
      </c>
      <c r="AU168" s="19" t="s">
        <v>87</v>
      </c>
    </row>
    <row r="169" spans="1:65" s="2" customFormat="1">
      <c r="A169" s="34"/>
      <c r="B169" s="35"/>
      <c r="C169" s="34"/>
      <c r="D169" s="158" t="s">
        <v>189</v>
      </c>
      <c r="E169" s="34"/>
      <c r="F169" s="159" t="s">
        <v>218</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189</v>
      </c>
      <c r="AU169" s="19" t="s">
        <v>87</v>
      </c>
    </row>
    <row r="170" spans="1:65" s="2" customFormat="1" ht="58.5">
      <c r="A170" s="34"/>
      <c r="B170" s="35"/>
      <c r="C170" s="34"/>
      <c r="D170" s="153" t="s">
        <v>191</v>
      </c>
      <c r="E170" s="34"/>
      <c r="F170" s="160" t="s">
        <v>213</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191</v>
      </c>
      <c r="AU170" s="19" t="s">
        <v>87</v>
      </c>
    </row>
    <row r="171" spans="1:65" s="13" customFormat="1">
      <c r="B171" s="161"/>
      <c r="D171" s="153" t="s">
        <v>193</v>
      </c>
      <c r="F171" s="163" t="s">
        <v>1625</v>
      </c>
      <c r="H171" s="164">
        <v>224.941</v>
      </c>
      <c r="I171" s="165"/>
      <c r="L171" s="161"/>
      <c r="M171" s="166"/>
      <c r="N171" s="167"/>
      <c r="O171" s="167"/>
      <c r="P171" s="167"/>
      <c r="Q171" s="167"/>
      <c r="R171" s="167"/>
      <c r="S171" s="167"/>
      <c r="T171" s="168"/>
      <c r="AT171" s="162" t="s">
        <v>193</v>
      </c>
      <c r="AU171" s="162" t="s">
        <v>87</v>
      </c>
      <c r="AV171" s="13" t="s">
        <v>87</v>
      </c>
      <c r="AW171" s="13" t="s">
        <v>4</v>
      </c>
      <c r="AX171" s="13" t="s">
        <v>85</v>
      </c>
      <c r="AY171" s="162" t="s">
        <v>177</v>
      </c>
    </row>
    <row r="172" spans="1:65" s="2" customFormat="1" ht="24.2" customHeight="1">
      <c r="A172" s="34"/>
      <c r="B172" s="139"/>
      <c r="C172" s="140" t="s">
        <v>302</v>
      </c>
      <c r="D172" s="140" t="s">
        <v>180</v>
      </c>
      <c r="E172" s="141" t="s">
        <v>223</v>
      </c>
      <c r="F172" s="142" t="s">
        <v>224</v>
      </c>
      <c r="G172" s="143" t="s">
        <v>183</v>
      </c>
      <c r="H172" s="144">
        <v>11.839</v>
      </c>
      <c r="I172" s="145"/>
      <c r="J172" s="146">
        <f>ROUND(I172*H172,2)</f>
        <v>0</v>
      </c>
      <c r="K172" s="142" t="s">
        <v>184</v>
      </c>
      <c r="L172" s="35"/>
      <c r="M172" s="147" t="s">
        <v>3</v>
      </c>
      <c r="N172" s="148" t="s">
        <v>48</v>
      </c>
      <c r="O172" s="55"/>
      <c r="P172" s="149">
        <f>O172*H172</f>
        <v>0</v>
      </c>
      <c r="Q172" s="149">
        <v>0</v>
      </c>
      <c r="R172" s="149">
        <f>Q172*H172</f>
        <v>0</v>
      </c>
      <c r="S172" s="149">
        <v>0</v>
      </c>
      <c r="T172" s="150">
        <f>S172*H172</f>
        <v>0</v>
      </c>
      <c r="U172" s="34"/>
      <c r="V172" s="34"/>
      <c r="W172" s="34"/>
      <c r="X172" s="34"/>
      <c r="Y172" s="34"/>
      <c r="Z172" s="34"/>
      <c r="AA172" s="34"/>
      <c r="AB172" s="34"/>
      <c r="AC172" s="34"/>
      <c r="AD172" s="34"/>
      <c r="AE172" s="34"/>
      <c r="AR172" s="151" t="s">
        <v>185</v>
      </c>
      <c r="AT172" s="151" t="s">
        <v>180</v>
      </c>
      <c r="AU172" s="151" t="s">
        <v>87</v>
      </c>
      <c r="AY172" s="19" t="s">
        <v>177</v>
      </c>
      <c r="BE172" s="152">
        <f>IF(N172="základní",J172,0)</f>
        <v>0</v>
      </c>
      <c r="BF172" s="152">
        <f>IF(N172="snížená",J172,0)</f>
        <v>0</v>
      </c>
      <c r="BG172" s="152">
        <f>IF(N172="zákl. přenesená",J172,0)</f>
        <v>0</v>
      </c>
      <c r="BH172" s="152">
        <f>IF(N172="sníž. přenesená",J172,0)</f>
        <v>0</v>
      </c>
      <c r="BI172" s="152">
        <f>IF(N172="nulová",J172,0)</f>
        <v>0</v>
      </c>
      <c r="BJ172" s="19" t="s">
        <v>85</v>
      </c>
      <c r="BK172" s="152">
        <f>ROUND(I172*H172,2)</f>
        <v>0</v>
      </c>
      <c r="BL172" s="19" t="s">
        <v>185</v>
      </c>
      <c r="BM172" s="151" t="s">
        <v>1626</v>
      </c>
    </row>
    <row r="173" spans="1:65" s="2" customFormat="1" ht="19.5">
      <c r="A173" s="34"/>
      <c r="B173" s="35"/>
      <c r="C173" s="34"/>
      <c r="D173" s="153" t="s">
        <v>187</v>
      </c>
      <c r="E173" s="34"/>
      <c r="F173" s="154" t="s">
        <v>226</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187</v>
      </c>
      <c r="AU173" s="19" t="s">
        <v>87</v>
      </c>
    </row>
    <row r="174" spans="1:65" s="2" customFormat="1">
      <c r="A174" s="34"/>
      <c r="B174" s="35"/>
      <c r="C174" s="34"/>
      <c r="D174" s="158" t="s">
        <v>189</v>
      </c>
      <c r="E174" s="34"/>
      <c r="F174" s="159" t="s">
        <v>227</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189</v>
      </c>
      <c r="AU174" s="19" t="s">
        <v>87</v>
      </c>
    </row>
    <row r="175" spans="1:65" s="2" customFormat="1" ht="39">
      <c r="A175" s="34"/>
      <c r="B175" s="35"/>
      <c r="C175" s="34"/>
      <c r="D175" s="153" t="s">
        <v>191</v>
      </c>
      <c r="E175" s="34"/>
      <c r="F175" s="160" t="s">
        <v>228</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191</v>
      </c>
      <c r="AU175" s="19" t="s">
        <v>87</v>
      </c>
    </row>
    <row r="176" spans="1:65" s="12" customFormat="1" ht="22.9" customHeight="1">
      <c r="B176" s="126"/>
      <c r="D176" s="127" t="s">
        <v>76</v>
      </c>
      <c r="E176" s="137" t="s">
        <v>518</v>
      </c>
      <c r="F176" s="137" t="s">
        <v>519</v>
      </c>
      <c r="I176" s="129"/>
      <c r="J176" s="138">
        <f>BK176</f>
        <v>0</v>
      </c>
      <c r="L176" s="126"/>
      <c r="M176" s="131"/>
      <c r="N176" s="132"/>
      <c r="O176" s="132"/>
      <c r="P176" s="133">
        <f>SUM(P177:P180)</f>
        <v>0</v>
      </c>
      <c r="Q176" s="132"/>
      <c r="R176" s="133">
        <f>SUM(R177:R180)</f>
        <v>0</v>
      </c>
      <c r="S176" s="132"/>
      <c r="T176" s="134">
        <f>SUM(T177:T180)</f>
        <v>0</v>
      </c>
      <c r="AR176" s="127" t="s">
        <v>85</v>
      </c>
      <c r="AT176" s="135" t="s">
        <v>76</v>
      </c>
      <c r="AU176" s="135" t="s">
        <v>85</v>
      </c>
      <c r="AY176" s="127" t="s">
        <v>177</v>
      </c>
      <c r="BK176" s="136">
        <f>SUM(BK177:BK180)</f>
        <v>0</v>
      </c>
    </row>
    <row r="177" spans="1:65" s="2" customFormat="1" ht="16.5" customHeight="1">
      <c r="A177" s="34"/>
      <c r="B177" s="139"/>
      <c r="C177" s="140" t="s">
        <v>315</v>
      </c>
      <c r="D177" s="140" t="s">
        <v>180</v>
      </c>
      <c r="E177" s="141" t="s">
        <v>521</v>
      </c>
      <c r="F177" s="142" t="s">
        <v>522</v>
      </c>
      <c r="G177" s="143" t="s">
        <v>183</v>
      </c>
      <c r="H177" s="144">
        <v>0.99</v>
      </c>
      <c r="I177" s="145"/>
      <c r="J177" s="146">
        <f>ROUND(I177*H177,2)</f>
        <v>0</v>
      </c>
      <c r="K177" s="142" t="s">
        <v>184</v>
      </c>
      <c r="L177" s="35"/>
      <c r="M177" s="147" t="s">
        <v>3</v>
      </c>
      <c r="N177" s="148" t="s">
        <v>48</v>
      </c>
      <c r="O177" s="55"/>
      <c r="P177" s="149">
        <f>O177*H177</f>
        <v>0</v>
      </c>
      <c r="Q177" s="149">
        <v>0</v>
      </c>
      <c r="R177" s="149">
        <f>Q177*H177</f>
        <v>0</v>
      </c>
      <c r="S177" s="149">
        <v>0</v>
      </c>
      <c r="T177" s="150">
        <f>S177*H177</f>
        <v>0</v>
      </c>
      <c r="U177" s="34"/>
      <c r="V177" s="34"/>
      <c r="W177" s="34"/>
      <c r="X177" s="34"/>
      <c r="Y177" s="34"/>
      <c r="Z177" s="34"/>
      <c r="AA177" s="34"/>
      <c r="AB177" s="34"/>
      <c r="AC177" s="34"/>
      <c r="AD177" s="34"/>
      <c r="AE177" s="34"/>
      <c r="AR177" s="151" t="s">
        <v>185</v>
      </c>
      <c r="AT177" s="151" t="s">
        <v>180</v>
      </c>
      <c r="AU177" s="151" t="s">
        <v>87</v>
      </c>
      <c r="AY177" s="19" t="s">
        <v>177</v>
      </c>
      <c r="BE177" s="152">
        <f>IF(N177="základní",J177,0)</f>
        <v>0</v>
      </c>
      <c r="BF177" s="152">
        <f>IF(N177="snížená",J177,0)</f>
        <v>0</v>
      </c>
      <c r="BG177" s="152">
        <f>IF(N177="zákl. přenesená",J177,0)</f>
        <v>0</v>
      </c>
      <c r="BH177" s="152">
        <f>IF(N177="sníž. přenesená",J177,0)</f>
        <v>0</v>
      </c>
      <c r="BI177" s="152">
        <f>IF(N177="nulová",J177,0)</f>
        <v>0</v>
      </c>
      <c r="BJ177" s="19" t="s">
        <v>85</v>
      </c>
      <c r="BK177" s="152">
        <f>ROUND(I177*H177,2)</f>
        <v>0</v>
      </c>
      <c r="BL177" s="19" t="s">
        <v>185</v>
      </c>
      <c r="BM177" s="151" t="s">
        <v>1627</v>
      </c>
    </row>
    <row r="178" spans="1:65" s="2" customFormat="1" ht="19.5">
      <c r="A178" s="34"/>
      <c r="B178" s="35"/>
      <c r="C178" s="34"/>
      <c r="D178" s="153" t="s">
        <v>187</v>
      </c>
      <c r="E178" s="34"/>
      <c r="F178" s="154" t="s">
        <v>524</v>
      </c>
      <c r="G178" s="34"/>
      <c r="H178" s="34"/>
      <c r="I178" s="155"/>
      <c r="J178" s="34"/>
      <c r="K178" s="34"/>
      <c r="L178" s="35"/>
      <c r="M178" s="156"/>
      <c r="N178" s="157"/>
      <c r="O178" s="55"/>
      <c r="P178" s="55"/>
      <c r="Q178" s="55"/>
      <c r="R178" s="55"/>
      <c r="S178" s="55"/>
      <c r="T178" s="56"/>
      <c r="U178" s="34"/>
      <c r="V178" s="34"/>
      <c r="W178" s="34"/>
      <c r="X178" s="34"/>
      <c r="Y178" s="34"/>
      <c r="Z178" s="34"/>
      <c r="AA178" s="34"/>
      <c r="AB178" s="34"/>
      <c r="AC178" s="34"/>
      <c r="AD178" s="34"/>
      <c r="AE178" s="34"/>
      <c r="AT178" s="19" t="s">
        <v>187</v>
      </c>
      <c r="AU178" s="19" t="s">
        <v>87</v>
      </c>
    </row>
    <row r="179" spans="1:65" s="2" customFormat="1">
      <c r="A179" s="34"/>
      <c r="B179" s="35"/>
      <c r="C179" s="34"/>
      <c r="D179" s="158" t="s">
        <v>189</v>
      </c>
      <c r="E179" s="34"/>
      <c r="F179" s="159" t="s">
        <v>525</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189</v>
      </c>
      <c r="AU179" s="19" t="s">
        <v>87</v>
      </c>
    </row>
    <row r="180" spans="1:65" s="2" customFormat="1" ht="58.5">
      <c r="A180" s="34"/>
      <c r="B180" s="35"/>
      <c r="C180" s="34"/>
      <c r="D180" s="153" t="s">
        <v>191</v>
      </c>
      <c r="E180" s="34"/>
      <c r="F180" s="160" t="s">
        <v>526</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191</v>
      </c>
      <c r="AU180" s="19" t="s">
        <v>87</v>
      </c>
    </row>
    <row r="181" spans="1:65" s="12" customFormat="1" ht="25.9" customHeight="1">
      <c r="B181" s="126"/>
      <c r="D181" s="127" t="s">
        <v>76</v>
      </c>
      <c r="E181" s="128" t="s">
        <v>229</v>
      </c>
      <c r="F181" s="128" t="s">
        <v>230</v>
      </c>
      <c r="I181" s="129"/>
      <c r="J181" s="130">
        <f>BK181</f>
        <v>0</v>
      </c>
      <c r="L181" s="126"/>
      <c r="M181" s="131"/>
      <c r="N181" s="132"/>
      <c r="O181" s="132"/>
      <c r="P181" s="133">
        <f>P182+P213</f>
        <v>0</v>
      </c>
      <c r="Q181" s="132"/>
      <c r="R181" s="133">
        <f>R182+R213</f>
        <v>0.77002844100000001</v>
      </c>
      <c r="S181" s="132"/>
      <c r="T181" s="134">
        <f>T182+T213</f>
        <v>0</v>
      </c>
      <c r="AR181" s="127" t="s">
        <v>87</v>
      </c>
      <c r="AT181" s="135" t="s">
        <v>76</v>
      </c>
      <c r="AU181" s="135" t="s">
        <v>77</v>
      </c>
      <c r="AY181" s="127" t="s">
        <v>177</v>
      </c>
      <c r="BK181" s="136">
        <f>BK182+BK213</f>
        <v>0</v>
      </c>
    </row>
    <row r="182" spans="1:65" s="12" customFormat="1" ht="22.9" customHeight="1">
      <c r="B182" s="126"/>
      <c r="D182" s="127" t="s">
        <v>76</v>
      </c>
      <c r="E182" s="137" t="s">
        <v>1324</v>
      </c>
      <c r="F182" s="137" t="s">
        <v>1325</v>
      </c>
      <c r="I182" s="129"/>
      <c r="J182" s="138">
        <f>BK182</f>
        <v>0</v>
      </c>
      <c r="L182" s="126"/>
      <c r="M182" s="131"/>
      <c r="N182" s="132"/>
      <c r="O182" s="132"/>
      <c r="P182" s="133">
        <f>SUM(P183:P212)</f>
        <v>0</v>
      </c>
      <c r="Q182" s="132"/>
      <c r="R182" s="133">
        <f>SUM(R183:R212)</f>
        <v>0.76475899999999997</v>
      </c>
      <c r="S182" s="132"/>
      <c r="T182" s="134">
        <f>SUM(T183:T212)</f>
        <v>0</v>
      </c>
      <c r="AR182" s="127" t="s">
        <v>87</v>
      </c>
      <c r="AT182" s="135" t="s">
        <v>76</v>
      </c>
      <c r="AU182" s="135" t="s">
        <v>85</v>
      </c>
      <c r="AY182" s="127" t="s">
        <v>177</v>
      </c>
      <c r="BK182" s="136">
        <f>SUM(BK183:BK212)</f>
        <v>0</v>
      </c>
    </row>
    <row r="183" spans="1:65" s="2" customFormat="1" ht="16.5" customHeight="1">
      <c r="A183" s="34"/>
      <c r="B183" s="139"/>
      <c r="C183" s="140" t="s">
        <v>461</v>
      </c>
      <c r="D183" s="140" t="s">
        <v>180</v>
      </c>
      <c r="E183" s="141" t="s">
        <v>1628</v>
      </c>
      <c r="F183" s="142" t="s">
        <v>1629</v>
      </c>
      <c r="G183" s="143" t="s">
        <v>1630</v>
      </c>
      <c r="H183" s="144">
        <v>697</v>
      </c>
      <c r="I183" s="145"/>
      <c r="J183" s="146">
        <f>ROUND(I183*H183,2)</f>
        <v>0</v>
      </c>
      <c r="K183" s="142" t="s">
        <v>184</v>
      </c>
      <c r="L183" s="35"/>
      <c r="M183" s="147" t="s">
        <v>3</v>
      </c>
      <c r="N183" s="148" t="s">
        <v>48</v>
      </c>
      <c r="O183" s="55"/>
      <c r="P183" s="149">
        <f>O183*H183</f>
        <v>0</v>
      </c>
      <c r="Q183" s="149">
        <v>4.6999999999999997E-5</v>
      </c>
      <c r="R183" s="149">
        <f>Q183*H183</f>
        <v>3.2758999999999996E-2</v>
      </c>
      <c r="S183" s="149">
        <v>0</v>
      </c>
      <c r="T183" s="150">
        <f>S183*H183</f>
        <v>0</v>
      </c>
      <c r="U183" s="34"/>
      <c r="V183" s="34"/>
      <c r="W183" s="34"/>
      <c r="X183" s="34"/>
      <c r="Y183" s="34"/>
      <c r="Z183" s="34"/>
      <c r="AA183" s="34"/>
      <c r="AB183" s="34"/>
      <c r="AC183" s="34"/>
      <c r="AD183" s="34"/>
      <c r="AE183" s="34"/>
      <c r="AR183" s="151" t="s">
        <v>237</v>
      </c>
      <c r="AT183" s="151" t="s">
        <v>180</v>
      </c>
      <c r="AU183" s="151" t="s">
        <v>87</v>
      </c>
      <c r="AY183" s="19" t="s">
        <v>177</v>
      </c>
      <c r="BE183" s="152">
        <f>IF(N183="základní",J183,0)</f>
        <v>0</v>
      </c>
      <c r="BF183" s="152">
        <f>IF(N183="snížená",J183,0)</f>
        <v>0</v>
      </c>
      <c r="BG183" s="152">
        <f>IF(N183="zákl. přenesená",J183,0)</f>
        <v>0</v>
      </c>
      <c r="BH183" s="152">
        <f>IF(N183="sníž. přenesená",J183,0)</f>
        <v>0</v>
      </c>
      <c r="BI183" s="152">
        <f>IF(N183="nulová",J183,0)</f>
        <v>0</v>
      </c>
      <c r="BJ183" s="19" t="s">
        <v>85</v>
      </c>
      <c r="BK183" s="152">
        <f>ROUND(I183*H183,2)</f>
        <v>0</v>
      </c>
      <c r="BL183" s="19" t="s">
        <v>237</v>
      </c>
      <c r="BM183" s="151" t="s">
        <v>1631</v>
      </c>
    </row>
    <row r="184" spans="1:65" s="2" customFormat="1">
      <c r="A184" s="34"/>
      <c r="B184" s="35"/>
      <c r="C184" s="34"/>
      <c r="D184" s="153" t="s">
        <v>187</v>
      </c>
      <c r="E184" s="34"/>
      <c r="F184" s="154" t="s">
        <v>1632</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187</v>
      </c>
      <c r="AU184" s="19" t="s">
        <v>87</v>
      </c>
    </row>
    <row r="185" spans="1:65" s="2" customFormat="1">
      <c r="A185" s="34"/>
      <c r="B185" s="35"/>
      <c r="C185" s="34"/>
      <c r="D185" s="158" t="s">
        <v>189</v>
      </c>
      <c r="E185" s="34"/>
      <c r="F185" s="159" t="s">
        <v>1633</v>
      </c>
      <c r="G185" s="34"/>
      <c r="H185" s="34"/>
      <c r="I185" s="155"/>
      <c r="J185" s="34"/>
      <c r="K185" s="34"/>
      <c r="L185" s="35"/>
      <c r="M185" s="156"/>
      <c r="N185" s="157"/>
      <c r="O185" s="55"/>
      <c r="P185" s="55"/>
      <c r="Q185" s="55"/>
      <c r="R185" s="55"/>
      <c r="S185" s="55"/>
      <c r="T185" s="56"/>
      <c r="U185" s="34"/>
      <c r="V185" s="34"/>
      <c r="W185" s="34"/>
      <c r="X185" s="34"/>
      <c r="Y185" s="34"/>
      <c r="Z185" s="34"/>
      <c r="AA185" s="34"/>
      <c r="AB185" s="34"/>
      <c r="AC185" s="34"/>
      <c r="AD185" s="34"/>
      <c r="AE185" s="34"/>
      <c r="AT185" s="19" t="s">
        <v>189</v>
      </c>
      <c r="AU185" s="19" t="s">
        <v>87</v>
      </c>
    </row>
    <row r="186" spans="1:65" s="2" customFormat="1" ht="29.25">
      <c r="A186" s="34"/>
      <c r="B186" s="35"/>
      <c r="C186" s="34"/>
      <c r="D186" s="153" t="s">
        <v>191</v>
      </c>
      <c r="E186" s="34"/>
      <c r="F186" s="160" t="s">
        <v>1634</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191</v>
      </c>
      <c r="AU186" s="19" t="s">
        <v>87</v>
      </c>
    </row>
    <row r="187" spans="1:65" s="13" customFormat="1">
      <c r="B187" s="161"/>
      <c r="D187" s="153" t="s">
        <v>193</v>
      </c>
      <c r="E187" s="162" t="s">
        <v>3</v>
      </c>
      <c r="F187" s="163" t="s">
        <v>1635</v>
      </c>
      <c r="H187" s="164">
        <v>697</v>
      </c>
      <c r="I187" s="165"/>
      <c r="L187" s="161"/>
      <c r="M187" s="166"/>
      <c r="N187" s="167"/>
      <c r="O187" s="167"/>
      <c r="P187" s="167"/>
      <c r="Q187" s="167"/>
      <c r="R187" s="167"/>
      <c r="S187" s="167"/>
      <c r="T187" s="168"/>
      <c r="AT187" s="162" t="s">
        <v>193</v>
      </c>
      <c r="AU187" s="162" t="s">
        <v>87</v>
      </c>
      <c r="AV187" s="13" t="s">
        <v>87</v>
      </c>
      <c r="AW187" s="13" t="s">
        <v>36</v>
      </c>
      <c r="AX187" s="13" t="s">
        <v>85</v>
      </c>
      <c r="AY187" s="162" t="s">
        <v>177</v>
      </c>
    </row>
    <row r="188" spans="1:65" s="2" customFormat="1" ht="16.5" customHeight="1">
      <c r="A188" s="34"/>
      <c r="B188" s="139"/>
      <c r="C188" s="195" t="s">
        <v>467</v>
      </c>
      <c r="D188" s="195" t="s">
        <v>484</v>
      </c>
      <c r="E188" s="196" t="s">
        <v>1636</v>
      </c>
      <c r="F188" s="197" t="s">
        <v>1637</v>
      </c>
      <c r="G188" s="198" t="s">
        <v>183</v>
      </c>
      <c r="H188" s="199">
        <v>0.16</v>
      </c>
      <c r="I188" s="200"/>
      <c r="J188" s="201">
        <f>ROUND(I188*H188,2)</f>
        <v>0</v>
      </c>
      <c r="K188" s="197" t="s">
        <v>184</v>
      </c>
      <c r="L188" s="202"/>
      <c r="M188" s="203" t="s">
        <v>3</v>
      </c>
      <c r="N188" s="204" t="s">
        <v>48</v>
      </c>
      <c r="O188" s="55"/>
      <c r="P188" s="149">
        <f>O188*H188</f>
        <v>0</v>
      </c>
      <c r="Q188" s="149">
        <v>1</v>
      </c>
      <c r="R188" s="149">
        <f>Q188*H188</f>
        <v>0.16</v>
      </c>
      <c r="S188" s="149">
        <v>0</v>
      </c>
      <c r="T188" s="150">
        <f>S188*H188</f>
        <v>0</v>
      </c>
      <c r="U188" s="34"/>
      <c r="V188" s="34"/>
      <c r="W188" s="34"/>
      <c r="X188" s="34"/>
      <c r="Y188" s="34"/>
      <c r="Z188" s="34"/>
      <c r="AA188" s="34"/>
      <c r="AB188" s="34"/>
      <c r="AC188" s="34"/>
      <c r="AD188" s="34"/>
      <c r="AE188" s="34"/>
      <c r="AR188" s="151" t="s">
        <v>537</v>
      </c>
      <c r="AT188" s="151" t="s">
        <v>484</v>
      </c>
      <c r="AU188" s="151" t="s">
        <v>87</v>
      </c>
      <c r="AY188" s="19" t="s">
        <v>177</v>
      </c>
      <c r="BE188" s="152">
        <f>IF(N188="základní",J188,0)</f>
        <v>0</v>
      </c>
      <c r="BF188" s="152">
        <f>IF(N188="snížená",J188,0)</f>
        <v>0</v>
      </c>
      <c r="BG188" s="152">
        <f>IF(N188="zákl. přenesená",J188,0)</f>
        <v>0</v>
      </c>
      <c r="BH188" s="152">
        <f>IF(N188="sníž. přenesená",J188,0)</f>
        <v>0</v>
      </c>
      <c r="BI188" s="152">
        <f>IF(N188="nulová",J188,0)</f>
        <v>0</v>
      </c>
      <c r="BJ188" s="19" t="s">
        <v>85</v>
      </c>
      <c r="BK188" s="152">
        <f>ROUND(I188*H188,2)</f>
        <v>0</v>
      </c>
      <c r="BL188" s="19" t="s">
        <v>237</v>
      </c>
      <c r="BM188" s="151" t="s">
        <v>1638</v>
      </c>
    </row>
    <row r="189" spans="1:65" s="2" customFormat="1">
      <c r="A189" s="34"/>
      <c r="B189" s="35"/>
      <c r="C189" s="34"/>
      <c r="D189" s="153" t="s">
        <v>187</v>
      </c>
      <c r="E189" s="34"/>
      <c r="F189" s="154" t="s">
        <v>1639</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187</v>
      </c>
      <c r="AU189" s="19" t="s">
        <v>87</v>
      </c>
    </row>
    <row r="190" spans="1:65" s="13" customFormat="1">
      <c r="B190" s="161"/>
      <c r="D190" s="153" t="s">
        <v>193</v>
      </c>
      <c r="E190" s="162" t="s">
        <v>3</v>
      </c>
      <c r="F190" s="163" t="s">
        <v>1640</v>
      </c>
      <c r="H190" s="164">
        <v>0.152</v>
      </c>
      <c r="I190" s="165"/>
      <c r="L190" s="161"/>
      <c r="M190" s="166"/>
      <c r="N190" s="167"/>
      <c r="O190" s="167"/>
      <c r="P190" s="167"/>
      <c r="Q190" s="167"/>
      <c r="R190" s="167"/>
      <c r="S190" s="167"/>
      <c r="T190" s="168"/>
      <c r="AT190" s="162" t="s">
        <v>193</v>
      </c>
      <c r="AU190" s="162" t="s">
        <v>87</v>
      </c>
      <c r="AV190" s="13" t="s">
        <v>87</v>
      </c>
      <c r="AW190" s="13" t="s">
        <v>36</v>
      </c>
      <c r="AX190" s="13" t="s">
        <v>85</v>
      </c>
      <c r="AY190" s="162" t="s">
        <v>177</v>
      </c>
    </row>
    <row r="191" spans="1:65" s="13" customFormat="1">
      <c r="B191" s="161"/>
      <c r="D191" s="153" t="s">
        <v>193</v>
      </c>
      <c r="F191" s="163" t="s">
        <v>1641</v>
      </c>
      <c r="H191" s="164">
        <v>0.16</v>
      </c>
      <c r="I191" s="165"/>
      <c r="L191" s="161"/>
      <c r="M191" s="166"/>
      <c r="N191" s="167"/>
      <c r="O191" s="167"/>
      <c r="P191" s="167"/>
      <c r="Q191" s="167"/>
      <c r="R191" s="167"/>
      <c r="S191" s="167"/>
      <c r="T191" s="168"/>
      <c r="AT191" s="162" t="s">
        <v>193</v>
      </c>
      <c r="AU191" s="162" t="s">
        <v>87</v>
      </c>
      <c r="AV191" s="13" t="s">
        <v>87</v>
      </c>
      <c r="AW191" s="13" t="s">
        <v>4</v>
      </c>
      <c r="AX191" s="13" t="s">
        <v>85</v>
      </c>
      <c r="AY191" s="162" t="s">
        <v>177</v>
      </c>
    </row>
    <row r="192" spans="1:65" s="2" customFormat="1" ht="16.5" customHeight="1">
      <c r="A192" s="34"/>
      <c r="B192" s="139"/>
      <c r="C192" s="195" t="s">
        <v>8</v>
      </c>
      <c r="D192" s="195" t="s">
        <v>484</v>
      </c>
      <c r="E192" s="196" t="s">
        <v>1642</v>
      </c>
      <c r="F192" s="197" t="s">
        <v>1643</v>
      </c>
      <c r="G192" s="198" t="s">
        <v>183</v>
      </c>
      <c r="H192" s="199">
        <v>0.57199999999999995</v>
      </c>
      <c r="I192" s="200"/>
      <c r="J192" s="201">
        <f>ROUND(I192*H192,2)</f>
        <v>0</v>
      </c>
      <c r="K192" s="197" t="s">
        <v>184</v>
      </c>
      <c r="L192" s="202"/>
      <c r="M192" s="203" t="s">
        <v>3</v>
      </c>
      <c r="N192" s="204" t="s">
        <v>48</v>
      </c>
      <c r="O192" s="55"/>
      <c r="P192" s="149">
        <f>O192*H192</f>
        <v>0</v>
      </c>
      <c r="Q192" s="149">
        <v>1</v>
      </c>
      <c r="R192" s="149">
        <f>Q192*H192</f>
        <v>0.57199999999999995</v>
      </c>
      <c r="S192" s="149">
        <v>0</v>
      </c>
      <c r="T192" s="150">
        <f>S192*H192</f>
        <v>0</v>
      </c>
      <c r="U192" s="34"/>
      <c r="V192" s="34"/>
      <c r="W192" s="34"/>
      <c r="X192" s="34"/>
      <c r="Y192" s="34"/>
      <c r="Z192" s="34"/>
      <c r="AA192" s="34"/>
      <c r="AB192" s="34"/>
      <c r="AC192" s="34"/>
      <c r="AD192" s="34"/>
      <c r="AE192" s="34"/>
      <c r="AR192" s="151" t="s">
        <v>537</v>
      </c>
      <c r="AT192" s="151" t="s">
        <v>484</v>
      </c>
      <c r="AU192" s="151" t="s">
        <v>87</v>
      </c>
      <c r="AY192" s="19" t="s">
        <v>177</v>
      </c>
      <c r="BE192" s="152">
        <f>IF(N192="základní",J192,0)</f>
        <v>0</v>
      </c>
      <c r="BF192" s="152">
        <f>IF(N192="snížená",J192,0)</f>
        <v>0</v>
      </c>
      <c r="BG192" s="152">
        <f>IF(N192="zákl. přenesená",J192,0)</f>
        <v>0</v>
      </c>
      <c r="BH192" s="152">
        <f>IF(N192="sníž. přenesená",J192,0)</f>
        <v>0</v>
      </c>
      <c r="BI192" s="152">
        <f>IF(N192="nulová",J192,0)</f>
        <v>0</v>
      </c>
      <c r="BJ192" s="19" t="s">
        <v>85</v>
      </c>
      <c r="BK192" s="152">
        <f>ROUND(I192*H192,2)</f>
        <v>0</v>
      </c>
      <c r="BL192" s="19" t="s">
        <v>237</v>
      </c>
      <c r="BM192" s="151" t="s">
        <v>1644</v>
      </c>
    </row>
    <row r="193" spans="1:65" s="2" customFormat="1">
      <c r="A193" s="34"/>
      <c r="B193" s="35"/>
      <c r="C193" s="34"/>
      <c r="D193" s="153" t="s">
        <v>187</v>
      </c>
      <c r="E193" s="34"/>
      <c r="F193" s="154" t="s">
        <v>1645</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187</v>
      </c>
      <c r="AU193" s="19" t="s">
        <v>87</v>
      </c>
    </row>
    <row r="194" spans="1:65" s="13" customFormat="1">
      <c r="B194" s="161"/>
      <c r="D194" s="153" t="s">
        <v>193</v>
      </c>
      <c r="E194" s="162" t="s">
        <v>3</v>
      </c>
      <c r="F194" s="163" t="s">
        <v>1646</v>
      </c>
      <c r="H194" s="164">
        <v>0.54500000000000004</v>
      </c>
      <c r="I194" s="165"/>
      <c r="L194" s="161"/>
      <c r="M194" s="166"/>
      <c r="N194" s="167"/>
      <c r="O194" s="167"/>
      <c r="P194" s="167"/>
      <c r="Q194" s="167"/>
      <c r="R194" s="167"/>
      <c r="S194" s="167"/>
      <c r="T194" s="168"/>
      <c r="AT194" s="162" t="s">
        <v>193</v>
      </c>
      <c r="AU194" s="162" t="s">
        <v>87</v>
      </c>
      <c r="AV194" s="13" t="s">
        <v>87</v>
      </c>
      <c r="AW194" s="13" t="s">
        <v>36</v>
      </c>
      <c r="AX194" s="13" t="s">
        <v>85</v>
      </c>
      <c r="AY194" s="162" t="s">
        <v>177</v>
      </c>
    </row>
    <row r="195" spans="1:65" s="13" customFormat="1">
      <c r="B195" s="161"/>
      <c r="D195" s="153" t="s">
        <v>193</v>
      </c>
      <c r="F195" s="163" t="s">
        <v>1647</v>
      </c>
      <c r="H195" s="164">
        <v>0.57199999999999995</v>
      </c>
      <c r="I195" s="165"/>
      <c r="L195" s="161"/>
      <c r="M195" s="166"/>
      <c r="N195" s="167"/>
      <c r="O195" s="167"/>
      <c r="P195" s="167"/>
      <c r="Q195" s="167"/>
      <c r="R195" s="167"/>
      <c r="S195" s="167"/>
      <c r="T195" s="168"/>
      <c r="AT195" s="162" t="s">
        <v>193</v>
      </c>
      <c r="AU195" s="162" t="s">
        <v>87</v>
      </c>
      <c r="AV195" s="13" t="s">
        <v>87</v>
      </c>
      <c r="AW195" s="13" t="s">
        <v>4</v>
      </c>
      <c r="AX195" s="13" t="s">
        <v>85</v>
      </c>
      <c r="AY195" s="162" t="s">
        <v>177</v>
      </c>
    </row>
    <row r="196" spans="1:65" s="2" customFormat="1" ht="16.5" customHeight="1">
      <c r="A196" s="34"/>
      <c r="B196" s="139"/>
      <c r="C196" s="140" t="s">
        <v>483</v>
      </c>
      <c r="D196" s="140" t="s">
        <v>180</v>
      </c>
      <c r="E196" s="141" t="s">
        <v>1648</v>
      </c>
      <c r="F196" s="142" t="s">
        <v>1649</v>
      </c>
      <c r="G196" s="143" t="s">
        <v>183</v>
      </c>
      <c r="H196" s="144">
        <v>0.76500000000000001</v>
      </c>
      <c r="I196" s="145"/>
      <c r="J196" s="146">
        <f>ROUND(I196*H196,2)</f>
        <v>0</v>
      </c>
      <c r="K196" s="142" t="s">
        <v>184</v>
      </c>
      <c r="L196" s="35"/>
      <c r="M196" s="147" t="s">
        <v>3</v>
      </c>
      <c r="N196" s="148" t="s">
        <v>48</v>
      </c>
      <c r="O196" s="55"/>
      <c r="P196" s="149">
        <f>O196*H196</f>
        <v>0</v>
      </c>
      <c r="Q196" s="149">
        <v>0</v>
      </c>
      <c r="R196" s="149">
        <f>Q196*H196</f>
        <v>0</v>
      </c>
      <c r="S196" s="149">
        <v>0</v>
      </c>
      <c r="T196" s="150">
        <f>S196*H196</f>
        <v>0</v>
      </c>
      <c r="U196" s="34"/>
      <c r="V196" s="34"/>
      <c r="W196" s="34"/>
      <c r="X196" s="34"/>
      <c r="Y196" s="34"/>
      <c r="Z196" s="34"/>
      <c r="AA196" s="34"/>
      <c r="AB196" s="34"/>
      <c r="AC196" s="34"/>
      <c r="AD196" s="34"/>
      <c r="AE196" s="34"/>
      <c r="AR196" s="151" t="s">
        <v>237</v>
      </c>
      <c r="AT196" s="151" t="s">
        <v>180</v>
      </c>
      <c r="AU196" s="151" t="s">
        <v>87</v>
      </c>
      <c r="AY196" s="19" t="s">
        <v>177</v>
      </c>
      <c r="BE196" s="152">
        <f>IF(N196="základní",J196,0)</f>
        <v>0</v>
      </c>
      <c r="BF196" s="152">
        <f>IF(N196="snížená",J196,0)</f>
        <v>0</v>
      </c>
      <c r="BG196" s="152">
        <f>IF(N196="zákl. přenesená",J196,0)</f>
        <v>0</v>
      </c>
      <c r="BH196" s="152">
        <f>IF(N196="sníž. přenesená",J196,0)</f>
        <v>0</v>
      </c>
      <c r="BI196" s="152">
        <f>IF(N196="nulová",J196,0)</f>
        <v>0</v>
      </c>
      <c r="BJ196" s="19" t="s">
        <v>85</v>
      </c>
      <c r="BK196" s="152">
        <f>ROUND(I196*H196,2)</f>
        <v>0</v>
      </c>
      <c r="BL196" s="19" t="s">
        <v>237</v>
      </c>
      <c r="BM196" s="151" t="s">
        <v>1650</v>
      </c>
    </row>
    <row r="197" spans="1:65" s="2" customFormat="1" ht="19.5">
      <c r="A197" s="34"/>
      <c r="B197" s="35"/>
      <c r="C197" s="34"/>
      <c r="D197" s="153" t="s">
        <v>187</v>
      </c>
      <c r="E197" s="34"/>
      <c r="F197" s="154" t="s">
        <v>1651</v>
      </c>
      <c r="G197" s="34"/>
      <c r="H197" s="34"/>
      <c r="I197" s="155"/>
      <c r="J197" s="34"/>
      <c r="K197" s="34"/>
      <c r="L197" s="35"/>
      <c r="M197" s="156"/>
      <c r="N197" s="157"/>
      <c r="O197" s="55"/>
      <c r="P197" s="55"/>
      <c r="Q197" s="55"/>
      <c r="R197" s="55"/>
      <c r="S197" s="55"/>
      <c r="T197" s="56"/>
      <c r="U197" s="34"/>
      <c r="V197" s="34"/>
      <c r="W197" s="34"/>
      <c r="X197" s="34"/>
      <c r="Y197" s="34"/>
      <c r="Z197" s="34"/>
      <c r="AA197" s="34"/>
      <c r="AB197" s="34"/>
      <c r="AC197" s="34"/>
      <c r="AD197" s="34"/>
      <c r="AE197" s="34"/>
      <c r="AT197" s="19" t="s">
        <v>187</v>
      </c>
      <c r="AU197" s="19" t="s">
        <v>87</v>
      </c>
    </row>
    <row r="198" spans="1:65" s="2" customFormat="1">
      <c r="A198" s="34"/>
      <c r="B198" s="35"/>
      <c r="C198" s="34"/>
      <c r="D198" s="158" t="s">
        <v>189</v>
      </c>
      <c r="E198" s="34"/>
      <c r="F198" s="159" t="s">
        <v>1652</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189</v>
      </c>
      <c r="AU198" s="19" t="s">
        <v>87</v>
      </c>
    </row>
    <row r="199" spans="1:65" s="2" customFormat="1" ht="78">
      <c r="A199" s="34"/>
      <c r="B199" s="35"/>
      <c r="C199" s="34"/>
      <c r="D199" s="153" t="s">
        <v>191</v>
      </c>
      <c r="E199" s="34"/>
      <c r="F199" s="160" t="s">
        <v>1653</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191</v>
      </c>
      <c r="AU199" s="19" t="s">
        <v>87</v>
      </c>
    </row>
    <row r="200" spans="1:65" s="2" customFormat="1" ht="16.5" customHeight="1">
      <c r="A200" s="34"/>
      <c r="B200" s="139"/>
      <c r="C200" s="140" t="s">
        <v>490</v>
      </c>
      <c r="D200" s="140" t="s">
        <v>180</v>
      </c>
      <c r="E200" s="141" t="s">
        <v>1654</v>
      </c>
      <c r="F200" s="142" t="s">
        <v>1655</v>
      </c>
      <c r="G200" s="143" t="s">
        <v>183</v>
      </c>
      <c r="H200" s="144">
        <v>0.76500000000000001</v>
      </c>
      <c r="I200" s="145"/>
      <c r="J200" s="146">
        <f>ROUND(I200*H200,2)</f>
        <v>0</v>
      </c>
      <c r="K200" s="142" t="s">
        <v>184</v>
      </c>
      <c r="L200" s="35"/>
      <c r="M200" s="147" t="s">
        <v>3</v>
      </c>
      <c r="N200" s="148" t="s">
        <v>48</v>
      </c>
      <c r="O200" s="55"/>
      <c r="P200" s="149">
        <f>O200*H200</f>
        <v>0</v>
      </c>
      <c r="Q200" s="149">
        <v>0</v>
      </c>
      <c r="R200" s="149">
        <f>Q200*H200</f>
        <v>0</v>
      </c>
      <c r="S200" s="149">
        <v>0</v>
      </c>
      <c r="T200" s="150">
        <f>S200*H200</f>
        <v>0</v>
      </c>
      <c r="U200" s="34"/>
      <c r="V200" s="34"/>
      <c r="W200" s="34"/>
      <c r="X200" s="34"/>
      <c r="Y200" s="34"/>
      <c r="Z200" s="34"/>
      <c r="AA200" s="34"/>
      <c r="AB200" s="34"/>
      <c r="AC200" s="34"/>
      <c r="AD200" s="34"/>
      <c r="AE200" s="34"/>
      <c r="AR200" s="151" t="s">
        <v>237</v>
      </c>
      <c r="AT200" s="151" t="s">
        <v>180</v>
      </c>
      <c r="AU200" s="151" t="s">
        <v>87</v>
      </c>
      <c r="AY200" s="19" t="s">
        <v>177</v>
      </c>
      <c r="BE200" s="152">
        <f>IF(N200="základní",J200,0)</f>
        <v>0</v>
      </c>
      <c r="BF200" s="152">
        <f>IF(N200="snížená",J200,0)</f>
        <v>0</v>
      </c>
      <c r="BG200" s="152">
        <f>IF(N200="zákl. přenesená",J200,0)</f>
        <v>0</v>
      </c>
      <c r="BH200" s="152">
        <f>IF(N200="sníž. přenesená",J200,0)</f>
        <v>0</v>
      </c>
      <c r="BI200" s="152">
        <f>IF(N200="nulová",J200,0)</f>
        <v>0</v>
      </c>
      <c r="BJ200" s="19" t="s">
        <v>85</v>
      </c>
      <c r="BK200" s="152">
        <f>ROUND(I200*H200,2)</f>
        <v>0</v>
      </c>
      <c r="BL200" s="19" t="s">
        <v>237</v>
      </c>
      <c r="BM200" s="151" t="s">
        <v>1656</v>
      </c>
    </row>
    <row r="201" spans="1:65" s="2" customFormat="1" ht="19.5">
      <c r="A201" s="34"/>
      <c r="B201" s="35"/>
      <c r="C201" s="34"/>
      <c r="D201" s="153" t="s">
        <v>187</v>
      </c>
      <c r="E201" s="34"/>
      <c r="F201" s="154" t="s">
        <v>1657</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187</v>
      </c>
      <c r="AU201" s="19" t="s">
        <v>87</v>
      </c>
    </row>
    <row r="202" spans="1:65" s="2" customFormat="1">
      <c r="A202" s="34"/>
      <c r="B202" s="35"/>
      <c r="C202" s="34"/>
      <c r="D202" s="158" t="s">
        <v>189</v>
      </c>
      <c r="E202" s="34"/>
      <c r="F202" s="159" t="s">
        <v>1658</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189</v>
      </c>
      <c r="AU202" s="19" t="s">
        <v>87</v>
      </c>
    </row>
    <row r="203" spans="1:65" s="2" customFormat="1" ht="78">
      <c r="A203" s="34"/>
      <c r="B203" s="35"/>
      <c r="C203" s="34"/>
      <c r="D203" s="153" t="s">
        <v>191</v>
      </c>
      <c r="E203" s="34"/>
      <c r="F203" s="160" t="s">
        <v>1653</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191</v>
      </c>
      <c r="AU203" s="19" t="s">
        <v>87</v>
      </c>
    </row>
    <row r="204" spans="1:65" s="2" customFormat="1" ht="16.5" customHeight="1">
      <c r="A204" s="34"/>
      <c r="B204" s="139"/>
      <c r="C204" s="140" t="s">
        <v>496</v>
      </c>
      <c r="D204" s="140" t="s">
        <v>180</v>
      </c>
      <c r="E204" s="141" t="s">
        <v>1659</v>
      </c>
      <c r="F204" s="142" t="s">
        <v>1660</v>
      </c>
      <c r="G204" s="143" t="s">
        <v>236</v>
      </c>
      <c r="H204" s="144">
        <v>4</v>
      </c>
      <c r="I204" s="145"/>
      <c r="J204" s="146">
        <f>ROUND(I204*H204,2)</f>
        <v>0</v>
      </c>
      <c r="K204" s="142" t="s">
        <v>244</v>
      </c>
      <c r="L204" s="35"/>
      <c r="M204" s="147" t="s">
        <v>3</v>
      </c>
      <c r="N204" s="148" t="s">
        <v>48</v>
      </c>
      <c r="O204" s="55"/>
      <c r="P204" s="149">
        <f>O204*H204</f>
        <v>0</v>
      </c>
      <c r="Q204" s="149">
        <v>0</v>
      </c>
      <c r="R204" s="149">
        <f>Q204*H204</f>
        <v>0</v>
      </c>
      <c r="S204" s="149">
        <v>0</v>
      </c>
      <c r="T204" s="150">
        <f>S204*H204</f>
        <v>0</v>
      </c>
      <c r="U204" s="34"/>
      <c r="V204" s="34"/>
      <c r="W204" s="34"/>
      <c r="X204" s="34"/>
      <c r="Y204" s="34"/>
      <c r="Z204" s="34"/>
      <c r="AA204" s="34"/>
      <c r="AB204" s="34"/>
      <c r="AC204" s="34"/>
      <c r="AD204" s="34"/>
      <c r="AE204" s="34"/>
      <c r="AR204" s="151" t="s">
        <v>237</v>
      </c>
      <c r="AT204" s="151" t="s">
        <v>180</v>
      </c>
      <c r="AU204" s="151" t="s">
        <v>87</v>
      </c>
      <c r="AY204" s="19" t="s">
        <v>177</v>
      </c>
      <c r="BE204" s="152">
        <f>IF(N204="základní",J204,0)</f>
        <v>0</v>
      </c>
      <c r="BF204" s="152">
        <f>IF(N204="snížená",J204,0)</f>
        <v>0</v>
      </c>
      <c r="BG204" s="152">
        <f>IF(N204="zákl. přenesená",J204,0)</f>
        <v>0</v>
      </c>
      <c r="BH204" s="152">
        <f>IF(N204="sníž. přenesená",J204,0)</f>
        <v>0</v>
      </c>
      <c r="BI204" s="152">
        <f>IF(N204="nulová",J204,0)</f>
        <v>0</v>
      </c>
      <c r="BJ204" s="19" t="s">
        <v>85</v>
      </c>
      <c r="BK204" s="152">
        <f>ROUND(I204*H204,2)</f>
        <v>0</v>
      </c>
      <c r="BL204" s="19" t="s">
        <v>237</v>
      </c>
      <c r="BM204" s="151" t="s">
        <v>1661</v>
      </c>
    </row>
    <row r="205" spans="1:65" s="2" customFormat="1">
      <c r="A205" s="34"/>
      <c r="B205" s="35"/>
      <c r="C205" s="34"/>
      <c r="D205" s="153" t="s">
        <v>187</v>
      </c>
      <c r="E205" s="34"/>
      <c r="F205" s="154" t="s">
        <v>1660</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187</v>
      </c>
      <c r="AU205" s="19" t="s">
        <v>87</v>
      </c>
    </row>
    <row r="206" spans="1:65" s="14" customFormat="1" ht="22.5">
      <c r="B206" s="169"/>
      <c r="D206" s="153" t="s">
        <v>193</v>
      </c>
      <c r="E206" s="170" t="s">
        <v>3</v>
      </c>
      <c r="F206" s="171" t="s">
        <v>1662</v>
      </c>
      <c r="H206" s="170" t="s">
        <v>3</v>
      </c>
      <c r="I206" s="172"/>
      <c r="L206" s="169"/>
      <c r="M206" s="173"/>
      <c r="N206" s="174"/>
      <c r="O206" s="174"/>
      <c r="P206" s="174"/>
      <c r="Q206" s="174"/>
      <c r="R206" s="174"/>
      <c r="S206" s="174"/>
      <c r="T206" s="175"/>
      <c r="AT206" s="170" t="s">
        <v>193</v>
      </c>
      <c r="AU206" s="170" t="s">
        <v>87</v>
      </c>
      <c r="AV206" s="14" t="s">
        <v>85</v>
      </c>
      <c r="AW206" s="14" t="s">
        <v>36</v>
      </c>
      <c r="AX206" s="14" t="s">
        <v>77</v>
      </c>
      <c r="AY206" s="170" t="s">
        <v>177</v>
      </c>
    </row>
    <row r="207" spans="1:65" s="14" customFormat="1">
      <c r="B207" s="169"/>
      <c r="D207" s="153" t="s">
        <v>193</v>
      </c>
      <c r="E207" s="170" t="s">
        <v>3</v>
      </c>
      <c r="F207" s="171" t="s">
        <v>1663</v>
      </c>
      <c r="H207" s="170" t="s">
        <v>3</v>
      </c>
      <c r="I207" s="172"/>
      <c r="L207" s="169"/>
      <c r="M207" s="173"/>
      <c r="N207" s="174"/>
      <c r="O207" s="174"/>
      <c r="P207" s="174"/>
      <c r="Q207" s="174"/>
      <c r="R207" s="174"/>
      <c r="S207" s="174"/>
      <c r="T207" s="175"/>
      <c r="AT207" s="170" t="s">
        <v>193</v>
      </c>
      <c r="AU207" s="170" t="s">
        <v>87</v>
      </c>
      <c r="AV207" s="14" t="s">
        <v>85</v>
      </c>
      <c r="AW207" s="14" t="s">
        <v>36</v>
      </c>
      <c r="AX207" s="14" t="s">
        <v>77</v>
      </c>
      <c r="AY207" s="170" t="s">
        <v>177</v>
      </c>
    </row>
    <row r="208" spans="1:65" s="13" customFormat="1">
      <c r="B208" s="161"/>
      <c r="D208" s="153" t="s">
        <v>193</v>
      </c>
      <c r="E208" s="162" t="s">
        <v>3</v>
      </c>
      <c r="F208" s="163" t="s">
        <v>185</v>
      </c>
      <c r="H208" s="164">
        <v>4</v>
      </c>
      <c r="I208" s="165"/>
      <c r="L208" s="161"/>
      <c r="M208" s="166"/>
      <c r="N208" s="167"/>
      <c r="O208" s="167"/>
      <c r="P208" s="167"/>
      <c r="Q208" s="167"/>
      <c r="R208" s="167"/>
      <c r="S208" s="167"/>
      <c r="T208" s="168"/>
      <c r="AT208" s="162" t="s">
        <v>193</v>
      </c>
      <c r="AU208" s="162" t="s">
        <v>87</v>
      </c>
      <c r="AV208" s="13" t="s">
        <v>87</v>
      </c>
      <c r="AW208" s="13" t="s">
        <v>36</v>
      </c>
      <c r="AX208" s="13" t="s">
        <v>85</v>
      </c>
      <c r="AY208" s="162" t="s">
        <v>177</v>
      </c>
    </row>
    <row r="209" spans="1:65" s="2" customFormat="1" ht="16.5" customHeight="1">
      <c r="A209" s="34"/>
      <c r="B209" s="139"/>
      <c r="C209" s="140" t="s">
        <v>502</v>
      </c>
      <c r="D209" s="140" t="s">
        <v>180</v>
      </c>
      <c r="E209" s="141" t="s">
        <v>1664</v>
      </c>
      <c r="F209" s="142" t="s">
        <v>1665</v>
      </c>
      <c r="G209" s="143" t="s">
        <v>243</v>
      </c>
      <c r="H209" s="144">
        <v>2</v>
      </c>
      <c r="I209" s="145"/>
      <c r="J209" s="146">
        <f>ROUND(I209*H209,2)</f>
        <v>0</v>
      </c>
      <c r="K209" s="142" t="s">
        <v>244</v>
      </c>
      <c r="L209" s="35"/>
      <c r="M209" s="147" t="s">
        <v>3</v>
      </c>
      <c r="N209" s="148" t="s">
        <v>48</v>
      </c>
      <c r="O209" s="55"/>
      <c r="P209" s="149">
        <f>O209*H209</f>
        <v>0</v>
      </c>
      <c r="Q209" s="149">
        <v>0</v>
      </c>
      <c r="R209" s="149">
        <f>Q209*H209</f>
        <v>0</v>
      </c>
      <c r="S209" s="149">
        <v>0</v>
      </c>
      <c r="T209" s="150">
        <f>S209*H209</f>
        <v>0</v>
      </c>
      <c r="U209" s="34"/>
      <c r="V209" s="34"/>
      <c r="W209" s="34"/>
      <c r="X209" s="34"/>
      <c r="Y209" s="34"/>
      <c r="Z209" s="34"/>
      <c r="AA209" s="34"/>
      <c r="AB209" s="34"/>
      <c r="AC209" s="34"/>
      <c r="AD209" s="34"/>
      <c r="AE209" s="34"/>
      <c r="AR209" s="151" t="s">
        <v>237</v>
      </c>
      <c r="AT209" s="151" t="s">
        <v>180</v>
      </c>
      <c r="AU209" s="151" t="s">
        <v>87</v>
      </c>
      <c r="AY209" s="19" t="s">
        <v>177</v>
      </c>
      <c r="BE209" s="152">
        <f>IF(N209="základní",J209,0)</f>
        <v>0</v>
      </c>
      <c r="BF209" s="152">
        <f>IF(N209="snížená",J209,0)</f>
        <v>0</v>
      </c>
      <c r="BG209" s="152">
        <f>IF(N209="zákl. přenesená",J209,0)</f>
        <v>0</v>
      </c>
      <c r="BH209" s="152">
        <f>IF(N209="sníž. přenesená",J209,0)</f>
        <v>0</v>
      </c>
      <c r="BI209" s="152">
        <f>IF(N209="nulová",J209,0)</f>
        <v>0</v>
      </c>
      <c r="BJ209" s="19" t="s">
        <v>85</v>
      </c>
      <c r="BK209" s="152">
        <f>ROUND(I209*H209,2)</f>
        <v>0</v>
      </c>
      <c r="BL209" s="19" t="s">
        <v>237</v>
      </c>
      <c r="BM209" s="151" t="s">
        <v>1666</v>
      </c>
    </row>
    <row r="210" spans="1:65" s="2" customFormat="1">
      <c r="A210" s="34"/>
      <c r="B210" s="35"/>
      <c r="C210" s="34"/>
      <c r="D210" s="153" t="s">
        <v>187</v>
      </c>
      <c r="E210" s="34"/>
      <c r="F210" s="154" t="s">
        <v>1665</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187</v>
      </c>
      <c r="AU210" s="19" t="s">
        <v>87</v>
      </c>
    </row>
    <row r="211" spans="1:65" s="14" customFormat="1" ht="22.5">
      <c r="B211" s="169"/>
      <c r="D211" s="153" t="s">
        <v>193</v>
      </c>
      <c r="E211" s="170" t="s">
        <v>3</v>
      </c>
      <c r="F211" s="171" t="s">
        <v>1667</v>
      </c>
      <c r="H211" s="170" t="s">
        <v>3</v>
      </c>
      <c r="I211" s="172"/>
      <c r="L211" s="169"/>
      <c r="M211" s="173"/>
      <c r="N211" s="174"/>
      <c r="O211" s="174"/>
      <c r="P211" s="174"/>
      <c r="Q211" s="174"/>
      <c r="R211" s="174"/>
      <c r="S211" s="174"/>
      <c r="T211" s="175"/>
      <c r="AT211" s="170" t="s">
        <v>193</v>
      </c>
      <c r="AU211" s="170" t="s">
        <v>87</v>
      </c>
      <c r="AV211" s="14" t="s">
        <v>85</v>
      </c>
      <c r="AW211" s="14" t="s">
        <v>36</v>
      </c>
      <c r="AX211" s="14" t="s">
        <v>77</v>
      </c>
      <c r="AY211" s="170" t="s">
        <v>177</v>
      </c>
    </row>
    <row r="212" spans="1:65" s="13" customFormat="1">
      <c r="B212" s="161"/>
      <c r="D212" s="153" t="s">
        <v>193</v>
      </c>
      <c r="E212" s="162" t="s">
        <v>3</v>
      </c>
      <c r="F212" s="163" t="s">
        <v>87</v>
      </c>
      <c r="H212" s="164">
        <v>2</v>
      </c>
      <c r="I212" s="165"/>
      <c r="L212" s="161"/>
      <c r="M212" s="166"/>
      <c r="N212" s="167"/>
      <c r="O212" s="167"/>
      <c r="P212" s="167"/>
      <c r="Q212" s="167"/>
      <c r="R212" s="167"/>
      <c r="S212" s="167"/>
      <c r="T212" s="168"/>
      <c r="AT212" s="162" t="s">
        <v>193</v>
      </c>
      <c r="AU212" s="162" t="s">
        <v>87</v>
      </c>
      <c r="AV212" s="13" t="s">
        <v>87</v>
      </c>
      <c r="AW212" s="13" t="s">
        <v>36</v>
      </c>
      <c r="AX212" s="13" t="s">
        <v>85</v>
      </c>
      <c r="AY212" s="162" t="s">
        <v>177</v>
      </c>
    </row>
    <row r="213" spans="1:65" s="12" customFormat="1" ht="22.9" customHeight="1">
      <c r="B213" s="126"/>
      <c r="D213" s="127" t="s">
        <v>76</v>
      </c>
      <c r="E213" s="137" t="s">
        <v>1668</v>
      </c>
      <c r="F213" s="137" t="s">
        <v>1669</v>
      </c>
      <c r="I213" s="129"/>
      <c r="J213" s="138">
        <f>BK213</f>
        <v>0</v>
      </c>
      <c r="L213" s="126"/>
      <c r="M213" s="131"/>
      <c r="N213" s="132"/>
      <c r="O213" s="132"/>
      <c r="P213" s="133">
        <f>SUM(P214:P230)</f>
        <v>0</v>
      </c>
      <c r="Q213" s="132"/>
      <c r="R213" s="133">
        <f>SUM(R214:R230)</f>
        <v>5.2694409999999997E-3</v>
      </c>
      <c r="S213" s="132"/>
      <c r="T213" s="134">
        <f>SUM(T214:T230)</f>
        <v>0</v>
      </c>
      <c r="AR213" s="127" t="s">
        <v>87</v>
      </c>
      <c r="AT213" s="135" t="s">
        <v>76</v>
      </c>
      <c r="AU213" s="135" t="s">
        <v>85</v>
      </c>
      <c r="AY213" s="127" t="s">
        <v>177</v>
      </c>
      <c r="BK213" s="136">
        <f>SUM(BK214:BK230)</f>
        <v>0</v>
      </c>
    </row>
    <row r="214" spans="1:65" s="2" customFormat="1" ht="16.5" customHeight="1">
      <c r="A214" s="34"/>
      <c r="B214" s="139"/>
      <c r="C214" s="140" t="s">
        <v>504</v>
      </c>
      <c r="D214" s="140" t="s">
        <v>180</v>
      </c>
      <c r="E214" s="141" t="s">
        <v>1670</v>
      </c>
      <c r="F214" s="142" t="s">
        <v>1671</v>
      </c>
      <c r="G214" s="143" t="s">
        <v>332</v>
      </c>
      <c r="H214" s="144">
        <v>19.588999999999999</v>
      </c>
      <c r="I214" s="145"/>
      <c r="J214" s="146">
        <f>ROUND(I214*H214,2)</f>
        <v>0</v>
      </c>
      <c r="K214" s="142" t="s">
        <v>184</v>
      </c>
      <c r="L214" s="35"/>
      <c r="M214" s="147" t="s">
        <v>3</v>
      </c>
      <c r="N214" s="148" t="s">
        <v>48</v>
      </c>
      <c r="O214" s="55"/>
      <c r="P214" s="149">
        <f>O214*H214</f>
        <v>0</v>
      </c>
      <c r="Q214" s="149">
        <v>6.7000000000000002E-5</v>
      </c>
      <c r="R214" s="149">
        <f>Q214*H214</f>
        <v>1.312463E-3</v>
      </c>
      <c r="S214" s="149">
        <v>0</v>
      </c>
      <c r="T214" s="150">
        <f>S214*H214</f>
        <v>0</v>
      </c>
      <c r="U214" s="34"/>
      <c r="V214" s="34"/>
      <c r="W214" s="34"/>
      <c r="X214" s="34"/>
      <c r="Y214" s="34"/>
      <c r="Z214" s="34"/>
      <c r="AA214" s="34"/>
      <c r="AB214" s="34"/>
      <c r="AC214" s="34"/>
      <c r="AD214" s="34"/>
      <c r="AE214" s="34"/>
      <c r="AR214" s="151" t="s">
        <v>237</v>
      </c>
      <c r="AT214" s="151" t="s">
        <v>180</v>
      </c>
      <c r="AU214" s="151" t="s">
        <v>87</v>
      </c>
      <c r="AY214" s="19" t="s">
        <v>177</v>
      </c>
      <c r="BE214" s="152">
        <f>IF(N214="základní",J214,0)</f>
        <v>0</v>
      </c>
      <c r="BF214" s="152">
        <f>IF(N214="snížená",J214,0)</f>
        <v>0</v>
      </c>
      <c r="BG214" s="152">
        <f>IF(N214="zákl. přenesená",J214,0)</f>
        <v>0</v>
      </c>
      <c r="BH214" s="152">
        <f>IF(N214="sníž. přenesená",J214,0)</f>
        <v>0</v>
      </c>
      <c r="BI214" s="152">
        <f>IF(N214="nulová",J214,0)</f>
        <v>0</v>
      </c>
      <c r="BJ214" s="19" t="s">
        <v>85</v>
      </c>
      <c r="BK214" s="152">
        <f>ROUND(I214*H214,2)</f>
        <v>0</v>
      </c>
      <c r="BL214" s="19" t="s">
        <v>237</v>
      </c>
      <c r="BM214" s="151" t="s">
        <v>1672</v>
      </c>
    </row>
    <row r="215" spans="1:65" s="2" customFormat="1">
      <c r="A215" s="34"/>
      <c r="B215" s="35"/>
      <c r="C215" s="34"/>
      <c r="D215" s="153" t="s">
        <v>187</v>
      </c>
      <c r="E215" s="34"/>
      <c r="F215" s="154" t="s">
        <v>1673</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187</v>
      </c>
      <c r="AU215" s="19" t="s">
        <v>87</v>
      </c>
    </row>
    <row r="216" spans="1:65" s="2" customFormat="1">
      <c r="A216" s="34"/>
      <c r="B216" s="35"/>
      <c r="C216" s="34"/>
      <c r="D216" s="158" t="s">
        <v>189</v>
      </c>
      <c r="E216" s="34"/>
      <c r="F216" s="159" t="s">
        <v>1674</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189</v>
      </c>
      <c r="AU216" s="19" t="s">
        <v>87</v>
      </c>
    </row>
    <row r="217" spans="1:65" s="2" customFormat="1" ht="16.5" customHeight="1">
      <c r="A217" s="34"/>
      <c r="B217" s="139"/>
      <c r="C217" s="140" t="s">
        <v>507</v>
      </c>
      <c r="D217" s="140" t="s">
        <v>180</v>
      </c>
      <c r="E217" s="141" t="s">
        <v>1675</v>
      </c>
      <c r="F217" s="142" t="s">
        <v>1676</v>
      </c>
      <c r="G217" s="143" t="s">
        <v>332</v>
      </c>
      <c r="H217" s="144">
        <v>19.588999999999999</v>
      </c>
      <c r="I217" s="145"/>
      <c r="J217" s="146">
        <f>ROUND(I217*H217,2)</f>
        <v>0</v>
      </c>
      <c r="K217" s="142" t="s">
        <v>184</v>
      </c>
      <c r="L217" s="35"/>
      <c r="M217" s="147" t="s">
        <v>3</v>
      </c>
      <c r="N217" s="148" t="s">
        <v>48</v>
      </c>
      <c r="O217" s="55"/>
      <c r="P217" s="149">
        <f>O217*H217</f>
        <v>0</v>
      </c>
      <c r="Q217" s="149">
        <v>6.7000000000000002E-5</v>
      </c>
      <c r="R217" s="149">
        <f>Q217*H217</f>
        <v>1.312463E-3</v>
      </c>
      <c r="S217" s="149">
        <v>0</v>
      </c>
      <c r="T217" s="150">
        <f>S217*H217</f>
        <v>0</v>
      </c>
      <c r="U217" s="34"/>
      <c r="V217" s="34"/>
      <c r="W217" s="34"/>
      <c r="X217" s="34"/>
      <c r="Y217" s="34"/>
      <c r="Z217" s="34"/>
      <c r="AA217" s="34"/>
      <c r="AB217" s="34"/>
      <c r="AC217" s="34"/>
      <c r="AD217" s="34"/>
      <c r="AE217" s="34"/>
      <c r="AR217" s="151" t="s">
        <v>237</v>
      </c>
      <c r="AT217" s="151" t="s">
        <v>180</v>
      </c>
      <c r="AU217" s="151" t="s">
        <v>87</v>
      </c>
      <c r="AY217" s="19" t="s">
        <v>177</v>
      </c>
      <c r="BE217" s="152">
        <f>IF(N217="základní",J217,0)</f>
        <v>0</v>
      </c>
      <c r="BF217" s="152">
        <f>IF(N217="snížená",J217,0)</f>
        <v>0</v>
      </c>
      <c r="BG217" s="152">
        <f>IF(N217="zákl. přenesená",J217,0)</f>
        <v>0</v>
      </c>
      <c r="BH217" s="152">
        <f>IF(N217="sníž. přenesená",J217,0)</f>
        <v>0</v>
      </c>
      <c r="BI217" s="152">
        <f>IF(N217="nulová",J217,0)</f>
        <v>0</v>
      </c>
      <c r="BJ217" s="19" t="s">
        <v>85</v>
      </c>
      <c r="BK217" s="152">
        <f>ROUND(I217*H217,2)</f>
        <v>0</v>
      </c>
      <c r="BL217" s="19" t="s">
        <v>237</v>
      </c>
      <c r="BM217" s="151" t="s">
        <v>1677</v>
      </c>
    </row>
    <row r="218" spans="1:65" s="2" customFormat="1">
      <c r="A218" s="34"/>
      <c r="B218" s="35"/>
      <c r="C218" s="34"/>
      <c r="D218" s="153" t="s">
        <v>187</v>
      </c>
      <c r="E218" s="34"/>
      <c r="F218" s="154" t="s">
        <v>1678</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187</v>
      </c>
      <c r="AU218" s="19" t="s">
        <v>87</v>
      </c>
    </row>
    <row r="219" spans="1:65" s="2" customFormat="1">
      <c r="A219" s="34"/>
      <c r="B219" s="35"/>
      <c r="C219" s="34"/>
      <c r="D219" s="158" t="s">
        <v>189</v>
      </c>
      <c r="E219" s="34"/>
      <c r="F219" s="159" t="s">
        <v>1679</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189</v>
      </c>
      <c r="AU219" s="19" t="s">
        <v>87</v>
      </c>
    </row>
    <row r="220" spans="1:65" s="2" customFormat="1" ht="16.5" customHeight="1">
      <c r="A220" s="34"/>
      <c r="B220" s="139"/>
      <c r="C220" s="140" t="s">
        <v>509</v>
      </c>
      <c r="D220" s="140" t="s">
        <v>180</v>
      </c>
      <c r="E220" s="141" t="s">
        <v>1680</v>
      </c>
      <c r="F220" s="142" t="s">
        <v>1681</v>
      </c>
      <c r="G220" s="143" t="s">
        <v>332</v>
      </c>
      <c r="H220" s="144">
        <v>19.588999999999999</v>
      </c>
      <c r="I220" s="145"/>
      <c r="J220" s="146">
        <f>ROUND(I220*H220,2)</f>
        <v>0</v>
      </c>
      <c r="K220" s="142" t="s">
        <v>184</v>
      </c>
      <c r="L220" s="35"/>
      <c r="M220" s="147" t="s">
        <v>3</v>
      </c>
      <c r="N220" s="148" t="s">
        <v>48</v>
      </c>
      <c r="O220" s="55"/>
      <c r="P220" s="149">
        <f>O220*H220</f>
        <v>0</v>
      </c>
      <c r="Q220" s="149">
        <v>0</v>
      </c>
      <c r="R220" s="149">
        <f>Q220*H220</f>
        <v>0</v>
      </c>
      <c r="S220" s="149">
        <v>0</v>
      </c>
      <c r="T220" s="150">
        <f>S220*H220</f>
        <v>0</v>
      </c>
      <c r="U220" s="34"/>
      <c r="V220" s="34"/>
      <c r="W220" s="34"/>
      <c r="X220" s="34"/>
      <c r="Y220" s="34"/>
      <c r="Z220" s="34"/>
      <c r="AA220" s="34"/>
      <c r="AB220" s="34"/>
      <c r="AC220" s="34"/>
      <c r="AD220" s="34"/>
      <c r="AE220" s="34"/>
      <c r="AR220" s="151" t="s">
        <v>237</v>
      </c>
      <c r="AT220" s="151" t="s">
        <v>180</v>
      </c>
      <c r="AU220" s="151" t="s">
        <v>87</v>
      </c>
      <c r="AY220" s="19" t="s">
        <v>177</v>
      </c>
      <c r="BE220" s="152">
        <f>IF(N220="základní",J220,0)</f>
        <v>0</v>
      </c>
      <c r="BF220" s="152">
        <f>IF(N220="snížená",J220,0)</f>
        <v>0</v>
      </c>
      <c r="BG220" s="152">
        <f>IF(N220="zákl. přenesená",J220,0)</f>
        <v>0</v>
      </c>
      <c r="BH220" s="152">
        <f>IF(N220="sníž. přenesená",J220,0)</f>
        <v>0</v>
      </c>
      <c r="BI220" s="152">
        <f>IF(N220="nulová",J220,0)</f>
        <v>0</v>
      </c>
      <c r="BJ220" s="19" t="s">
        <v>85</v>
      </c>
      <c r="BK220" s="152">
        <f>ROUND(I220*H220,2)</f>
        <v>0</v>
      </c>
      <c r="BL220" s="19" t="s">
        <v>237</v>
      </c>
      <c r="BM220" s="151" t="s">
        <v>1682</v>
      </c>
    </row>
    <row r="221" spans="1:65" s="2" customFormat="1">
      <c r="A221" s="34"/>
      <c r="B221" s="35"/>
      <c r="C221" s="34"/>
      <c r="D221" s="153" t="s">
        <v>187</v>
      </c>
      <c r="E221" s="34"/>
      <c r="F221" s="154" t="s">
        <v>1683</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187</v>
      </c>
      <c r="AU221" s="19" t="s">
        <v>87</v>
      </c>
    </row>
    <row r="222" spans="1:65" s="2" customFormat="1">
      <c r="A222" s="34"/>
      <c r="B222" s="35"/>
      <c r="C222" s="34"/>
      <c r="D222" s="158" t="s">
        <v>189</v>
      </c>
      <c r="E222" s="34"/>
      <c r="F222" s="159" t="s">
        <v>1684</v>
      </c>
      <c r="G222" s="34"/>
      <c r="H222" s="34"/>
      <c r="I222" s="155"/>
      <c r="J222" s="34"/>
      <c r="K222" s="34"/>
      <c r="L222" s="35"/>
      <c r="M222" s="156"/>
      <c r="N222" s="157"/>
      <c r="O222" s="55"/>
      <c r="P222" s="55"/>
      <c r="Q222" s="55"/>
      <c r="R222" s="55"/>
      <c r="S222" s="55"/>
      <c r="T222" s="56"/>
      <c r="U222" s="34"/>
      <c r="V222" s="34"/>
      <c r="W222" s="34"/>
      <c r="X222" s="34"/>
      <c r="Y222" s="34"/>
      <c r="Z222" s="34"/>
      <c r="AA222" s="34"/>
      <c r="AB222" s="34"/>
      <c r="AC222" s="34"/>
      <c r="AD222" s="34"/>
      <c r="AE222" s="34"/>
      <c r="AT222" s="19" t="s">
        <v>189</v>
      </c>
      <c r="AU222" s="19" t="s">
        <v>87</v>
      </c>
    </row>
    <row r="223" spans="1:65" s="2" customFormat="1" ht="16.5" customHeight="1">
      <c r="A223" s="34"/>
      <c r="B223" s="139"/>
      <c r="C223" s="140" t="s">
        <v>512</v>
      </c>
      <c r="D223" s="140" t="s">
        <v>180</v>
      </c>
      <c r="E223" s="141" t="s">
        <v>1685</v>
      </c>
      <c r="F223" s="142" t="s">
        <v>1686</v>
      </c>
      <c r="G223" s="143" t="s">
        <v>332</v>
      </c>
      <c r="H223" s="144">
        <v>19.588999999999999</v>
      </c>
      <c r="I223" s="145"/>
      <c r="J223" s="146">
        <f>ROUND(I223*H223,2)</f>
        <v>0</v>
      </c>
      <c r="K223" s="142" t="s">
        <v>184</v>
      </c>
      <c r="L223" s="35"/>
      <c r="M223" s="147" t="s">
        <v>3</v>
      </c>
      <c r="N223" s="148" t="s">
        <v>48</v>
      </c>
      <c r="O223" s="55"/>
      <c r="P223" s="149">
        <f>O223*H223</f>
        <v>0</v>
      </c>
      <c r="Q223" s="149">
        <v>1.35E-4</v>
      </c>
      <c r="R223" s="149">
        <f>Q223*H223</f>
        <v>2.6445150000000001E-3</v>
      </c>
      <c r="S223" s="149">
        <v>0</v>
      </c>
      <c r="T223" s="150">
        <f>S223*H223</f>
        <v>0</v>
      </c>
      <c r="U223" s="34"/>
      <c r="V223" s="34"/>
      <c r="W223" s="34"/>
      <c r="X223" s="34"/>
      <c r="Y223" s="34"/>
      <c r="Z223" s="34"/>
      <c r="AA223" s="34"/>
      <c r="AB223" s="34"/>
      <c r="AC223" s="34"/>
      <c r="AD223" s="34"/>
      <c r="AE223" s="34"/>
      <c r="AR223" s="151" t="s">
        <v>237</v>
      </c>
      <c r="AT223" s="151" t="s">
        <v>180</v>
      </c>
      <c r="AU223" s="151" t="s">
        <v>87</v>
      </c>
      <c r="AY223" s="19" t="s">
        <v>177</v>
      </c>
      <c r="BE223" s="152">
        <f>IF(N223="základní",J223,0)</f>
        <v>0</v>
      </c>
      <c r="BF223" s="152">
        <f>IF(N223="snížená",J223,0)</f>
        <v>0</v>
      </c>
      <c r="BG223" s="152">
        <f>IF(N223="zákl. přenesená",J223,0)</f>
        <v>0</v>
      </c>
      <c r="BH223" s="152">
        <f>IF(N223="sníž. přenesená",J223,0)</f>
        <v>0</v>
      </c>
      <c r="BI223" s="152">
        <f>IF(N223="nulová",J223,0)</f>
        <v>0</v>
      </c>
      <c r="BJ223" s="19" t="s">
        <v>85</v>
      </c>
      <c r="BK223" s="152">
        <f>ROUND(I223*H223,2)</f>
        <v>0</v>
      </c>
      <c r="BL223" s="19" t="s">
        <v>237</v>
      </c>
      <c r="BM223" s="151" t="s">
        <v>1687</v>
      </c>
    </row>
    <row r="224" spans="1:65" s="2" customFormat="1">
      <c r="A224" s="34"/>
      <c r="B224" s="35"/>
      <c r="C224" s="34"/>
      <c r="D224" s="153" t="s">
        <v>187</v>
      </c>
      <c r="E224" s="34"/>
      <c r="F224" s="154" t="s">
        <v>1688</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187</v>
      </c>
      <c r="AU224" s="19" t="s">
        <v>87</v>
      </c>
    </row>
    <row r="225" spans="1:65" s="2" customFormat="1">
      <c r="A225" s="34"/>
      <c r="B225" s="35"/>
      <c r="C225" s="34"/>
      <c r="D225" s="158" t="s">
        <v>189</v>
      </c>
      <c r="E225" s="34"/>
      <c r="F225" s="159" t="s">
        <v>1689</v>
      </c>
      <c r="G225" s="34"/>
      <c r="H225" s="34"/>
      <c r="I225" s="155"/>
      <c r="J225" s="34"/>
      <c r="K225" s="34"/>
      <c r="L225" s="35"/>
      <c r="M225" s="156"/>
      <c r="N225" s="157"/>
      <c r="O225" s="55"/>
      <c r="P225" s="55"/>
      <c r="Q225" s="55"/>
      <c r="R225" s="55"/>
      <c r="S225" s="55"/>
      <c r="T225" s="56"/>
      <c r="U225" s="34"/>
      <c r="V225" s="34"/>
      <c r="W225" s="34"/>
      <c r="X225" s="34"/>
      <c r="Y225" s="34"/>
      <c r="Z225" s="34"/>
      <c r="AA225" s="34"/>
      <c r="AB225" s="34"/>
      <c r="AC225" s="34"/>
      <c r="AD225" s="34"/>
      <c r="AE225" s="34"/>
      <c r="AT225" s="19" t="s">
        <v>189</v>
      </c>
      <c r="AU225" s="19" t="s">
        <v>87</v>
      </c>
    </row>
    <row r="226" spans="1:65" s="14" customFormat="1">
      <c r="B226" s="169"/>
      <c r="D226" s="153" t="s">
        <v>193</v>
      </c>
      <c r="E226" s="170" t="s">
        <v>3</v>
      </c>
      <c r="F226" s="171" t="s">
        <v>1690</v>
      </c>
      <c r="H226" s="170" t="s">
        <v>3</v>
      </c>
      <c r="I226" s="172"/>
      <c r="L226" s="169"/>
      <c r="M226" s="173"/>
      <c r="N226" s="174"/>
      <c r="O226" s="174"/>
      <c r="P226" s="174"/>
      <c r="Q226" s="174"/>
      <c r="R226" s="174"/>
      <c r="S226" s="174"/>
      <c r="T226" s="175"/>
      <c r="AT226" s="170" t="s">
        <v>193</v>
      </c>
      <c r="AU226" s="170" t="s">
        <v>87</v>
      </c>
      <c r="AV226" s="14" t="s">
        <v>85</v>
      </c>
      <c r="AW226" s="14" t="s">
        <v>36</v>
      </c>
      <c r="AX226" s="14" t="s">
        <v>77</v>
      </c>
      <c r="AY226" s="170" t="s">
        <v>177</v>
      </c>
    </row>
    <row r="227" spans="1:65" s="13" customFormat="1">
      <c r="B227" s="161"/>
      <c r="D227" s="153" t="s">
        <v>193</v>
      </c>
      <c r="E227" s="162" t="s">
        <v>3</v>
      </c>
      <c r="F227" s="163" t="s">
        <v>1691</v>
      </c>
      <c r="H227" s="164">
        <v>5.9809999999999999</v>
      </c>
      <c r="I227" s="165"/>
      <c r="L227" s="161"/>
      <c r="M227" s="166"/>
      <c r="N227" s="167"/>
      <c r="O227" s="167"/>
      <c r="P227" s="167"/>
      <c r="Q227" s="167"/>
      <c r="R227" s="167"/>
      <c r="S227" s="167"/>
      <c r="T227" s="168"/>
      <c r="AT227" s="162" t="s">
        <v>193</v>
      </c>
      <c r="AU227" s="162" t="s">
        <v>87</v>
      </c>
      <c r="AV227" s="13" t="s">
        <v>87</v>
      </c>
      <c r="AW227" s="13" t="s">
        <v>36</v>
      </c>
      <c r="AX227" s="13" t="s">
        <v>77</v>
      </c>
      <c r="AY227" s="162" t="s">
        <v>177</v>
      </c>
    </row>
    <row r="228" spans="1:65" s="14" customFormat="1">
      <c r="B228" s="169"/>
      <c r="D228" s="153" t="s">
        <v>193</v>
      </c>
      <c r="E228" s="170" t="s">
        <v>3</v>
      </c>
      <c r="F228" s="171" t="s">
        <v>1692</v>
      </c>
      <c r="H228" s="170" t="s">
        <v>3</v>
      </c>
      <c r="I228" s="172"/>
      <c r="L228" s="169"/>
      <c r="M228" s="173"/>
      <c r="N228" s="174"/>
      <c r="O228" s="174"/>
      <c r="P228" s="174"/>
      <c r="Q228" s="174"/>
      <c r="R228" s="174"/>
      <c r="S228" s="174"/>
      <c r="T228" s="175"/>
      <c r="AT228" s="170" t="s">
        <v>193</v>
      </c>
      <c r="AU228" s="170" t="s">
        <v>87</v>
      </c>
      <c r="AV228" s="14" t="s">
        <v>85</v>
      </c>
      <c r="AW228" s="14" t="s">
        <v>36</v>
      </c>
      <c r="AX228" s="14" t="s">
        <v>77</v>
      </c>
      <c r="AY228" s="170" t="s">
        <v>177</v>
      </c>
    </row>
    <row r="229" spans="1:65" s="13" customFormat="1">
      <c r="B229" s="161"/>
      <c r="D229" s="153" t="s">
        <v>193</v>
      </c>
      <c r="E229" s="162" t="s">
        <v>3</v>
      </c>
      <c r="F229" s="163" t="s">
        <v>1693</v>
      </c>
      <c r="H229" s="164">
        <v>13.608000000000001</v>
      </c>
      <c r="I229" s="165"/>
      <c r="L229" s="161"/>
      <c r="M229" s="166"/>
      <c r="N229" s="167"/>
      <c r="O229" s="167"/>
      <c r="P229" s="167"/>
      <c r="Q229" s="167"/>
      <c r="R229" s="167"/>
      <c r="S229" s="167"/>
      <c r="T229" s="168"/>
      <c r="AT229" s="162" t="s">
        <v>193</v>
      </c>
      <c r="AU229" s="162" t="s">
        <v>87</v>
      </c>
      <c r="AV229" s="13" t="s">
        <v>87</v>
      </c>
      <c r="AW229" s="13" t="s">
        <v>36</v>
      </c>
      <c r="AX229" s="13" t="s">
        <v>77</v>
      </c>
      <c r="AY229" s="162" t="s">
        <v>177</v>
      </c>
    </row>
    <row r="230" spans="1:65" s="16" customFormat="1">
      <c r="B230" s="184"/>
      <c r="D230" s="153" t="s">
        <v>193</v>
      </c>
      <c r="E230" s="185" t="s">
        <v>3</v>
      </c>
      <c r="F230" s="186" t="s">
        <v>201</v>
      </c>
      <c r="H230" s="187">
        <v>19.588999999999999</v>
      </c>
      <c r="I230" s="188"/>
      <c r="L230" s="184"/>
      <c r="M230" s="189"/>
      <c r="N230" s="190"/>
      <c r="O230" s="190"/>
      <c r="P230" s="190"/>
      <c r="Q230" s="190"/>
      <c r="R230" s="190"/>
      <c r="S230" s="190"/>
      <c r="T230" s="191"/>
      <c r="AT230" s="185" t="s">
        <v>193</v>
      </c>
      <c r="AU230" s="185" t="s">
        <v>87</v>
      </c>
      <c r="AV230" s="16" t="s">
        <v>185</v>
      </c>
      <c r="AW230" s="16" t="s">
        <v>36</v>
      </c>
      <c r="AX230" s="16" t="s">
        <v>85</v>
      </c>
      <c r="AY230" s="185" t="s">
        <v>177</v>
      </c>
    </row>
    <row r="231" spans="1:65" s="12" customFormat="1" ht="25.9" customHeight="1">
      <c r="B231" s="126"/>
      <c r="D231" s="127" t="s">
        <v>76</v>
      </c>
      <c r="E231" s="128" t="s">
        <v>313</v>
      </c>
      <c r="F231" s="128" t="s">
        <v>314</v>
      </c>
      <c r="I231" s="129"/>
      <c r="J231" s="130">
        <f>BK231</f>
        <v>0</v>
      </c>
      <c r="L231" s="126"/>
      <c r="M231" s="131"/>
      <c r="N231" s="132"/>
      <c r="O231" s="132"/>
      <c r="P231" s="133">
        <f>SUM(P232:P234)</f>
        <v>0</v>
      </c>
      <c r="Q231" s="132"/>
      <c r="R231" s="133">
        <f>SUM(R232:R234)</f>
        <v>0</v>
      </c>
      <c r="S231" s="132"/>
      <c r="T231" s="134">
        <f>SUM(T232:T234)</f>
        <v>0</v>
      </c>
      <c r="AR231" s="127" t="s">
        <v>185</v>
      </c>
      <c r="AT231" s="135" t="s">
        <v>76</v>
      </c>
      <c r="AU231" s="135" t="s">
        <v>77</v>
      </c>
      <c r="AY231" s="127" t="s">
        <v>177</v>
      </c>
      <c r="BK231" s="136">
        <f>SUM(BK232:BK234)</f>
        <v>0</v>
      </c>
    </row>
    <row r="232" spans="1:65" s="2" customFormat="1" ht="16.5" customHeight="1">
      <c r="A232" s="34"/>
      <c r="B232" s="139"/>
      <c r="C232" s="140" t="s">
        <v>520</v>
      </c>
      <c r="D232" s="140" t="s">
        <v>180</v>
      </c>
      <c r="E232" s="141" t="s">
        <v>528</v>
      </c>
      <c r="F232" s="142" t="s">
        <v>529</v>
      </c>
      <c r="G232" s="143" t="s">
        <v>305</v>
      </c>
      <c r="H232" s="144">
        <v>50</v>
      </c>
      <c r="I232" s="145"/>
      <c r="J232" s="146">
        <f>ROUND(I232*H232,2)</f>
        <v>0</v>
      </c>
      <c r="K232" s="142" t="s">
        <v>184</v>
      </c>
      <c r="L232" s="35"/>
      <c r="M232" s="147" t="s">
        <v>3</v>
      </c>
      <c r="N232" s="148" t="s">
        <v>48</v>
      </c>
      <c r="O232" s="55"/>
      <c r="P232" s="149">
        <f>O232*H232</f>
        <v>0</v>
      </c>
      <c r="Q232" s="149">
        <v>0</v>
      </c>
      <c r="R232" s="149">
        <f>Q232*H232</f>
        <v>0</v>
      </c>
      <c r="S232" s="149">
        <v>0</v>
      </c>
      <c r="T232" s="150">
        <f>S232*H232</f>
        <v>0</v>
      </c>
      <c r="U232" s="34"/>
      <c r="V232" s="34"/>
      <c r="W232" s="34"/>
      <c r="X232" s="34"/>
      <c r="Y232" s="34"/>
      <c r="Z232" s="34"/>
      <c r="AA232" s="34"/>
      <c r="AB232" s="34"/>
      <c r="AC232" s="34"/>
      <c r="AD232" s="34"/>
      <c r="AE232" s="34"/>
      <c r="AR232" s="151" t="s">
        <v>318</v>
      </c>
      <c r="AT232" s="151" t="s">
        <v>180</v>
      </c>
      <c r="AU232" s="151" t="s">
        <v>85</v>
      </c>
      <c r="AY232" s="19" t="s">
        <v>177</v>
      </c>
      <c r="BE232" s="152">
        <f>IF(N232="základní",J232,0)</f>
        <v>0</v>
      </c>
      <c r="BF232" s="152">
        <f>IF(N232="snížená",J232,0)</f>
        <v>0</v>
      </c>
      <c r="BG232" s="152">
        <f>IF(N232="zákl. přenesená",J232,0)</f>
        <v>0</v>
      </c>
      <c r="BH232" s="152">
        <f>IF(N232="sníž. přenesená",J232,0)</f>
        <v>0</v>
      </c>
      <c r="BI232" s="152">
        <f>IF(N232="nulová",J232,0)</f>
        <v>0</v>
      </c>
      <c r="BJ232" s="19" t="s">
        <v>85</v>
      </c>
      <c r="BK232" s="152">
        <f>ROUND(I232*H232,2)</f>
        <v>0</v>
      </c>
      <c r="BL232" s="19" t="s">
        <v>318</v>
      </c>
      <c r="BM232" s="151" t="s">
        <v>1694</v>
      </c>
    </row>
    <row r="233" spans="1:65" s="2" customFormat="1">
      <c r="A233" s="34"/>
      <c r="B233" s="35"/>
      <c r="C233" s="34"/>
      <c r="D233" s="153" t="s">
        <v>187</v>
      </c>
      <c r="E233" s="34"/>
      <c r="F233" s="154" t="s">
        <v>531</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187</v>
      </c>
      <c r="AU233" s="19" t="s">
        <v>85</v>
      </c>
    </row>
    <row r="234" spans="1:65" s="2" customFormat="1">
      <c r="A234" s="34"/>
      <c r="B234" s="35"/>
      <c r="C234" s="34"/>
      <c r="D234" s="158" t="s">
        <v>189</v>
      </c>
      <c r="E234" s="34"/>
      <c r="F234" s="159" t="s">
        <v>532</v>
      </c>
      <c r="G234" s="34"/>
      <c r="H234" s="34"/>
      <c r="I234" s="155"/>
      <c r="J234" s="34"/>
      <c r="K234" s="34"/>
      <c r="L234" s="35"/>
      <c r="M234" s="205"/>
      <c r="N234" s="206"/>
      <c r="O234" s="207"/>
      <c r="P234" s="207"/>
      <c r="Q234" s="207"/>
      <c r="R234" s="207"/>
      <c r="S234" s="207"/>
      <c r="T234" s="208"/>
      <c r="U234" s="34"/>
      <c r="V234" s="34"/>
      <c r="W234" s="34"/>
      <c r="X234" s="34"/>
      <c r="Y234" s="34"/>
      <c r="Z234" s="34"/>
      <c r="AA234" s="34"/>
      <c r="AB234" s="34"/>
      <c r="AC234" s="34"/>
      <c r="AD234" s="34"/>
      <c r="AE234" s="34"/>
      <c r="AT234" s="19" t="s">
        <v>189</v>
      </c>
      <c r="AU234" s="19" t="s">
        <v>85</v>
      </c>
    </row>
    <row r="235" spans="1:65" s="2" customFormat="1" ht="6.95" customHeight="1">
      <c r="A235" s="34"/>
      <c r="B235" s="44"/>
      <c r="C235" s="45"/>
      <c r="D235" s="45"/>
      <c r="E235" s="45"/>
      <c r="F235" s="45"/>
      <c r="G235" s="45"/>
      <c r="H235" s="45"/>
      <c r="I235" s="45"/>
      <c r="J235" s="45"/>
      <c r="K235" s="45"/>
      <c r="L235" s="35"/>
      <c r="M235" s="34"/>
      <c r="O235" s="34"/>
      <c r="P235" s="34"/>
      <c r="Q235" s="34"/>
      <c r="R235" s="34"/>
      <c r="S235" s="34"/>
      <c r="T235" s="34"/>
      <c r="U235" s="34"/>
      <c r="V235" s="34"/>
      <c r="W235" s="34"/>
      <c r="X235" s="34"/>
      <c r="Y235" s="34"/>
      <c r="Z235" s="34"/>
      <c r="AA235" s="34"/>
      <c r="AB235" s="34"/>
      <c r="AC235" s="34"/>
      <c r="AD235" s="34"/>
      <c r="AE235" s="34"/>
    </row>
  </sheetData>
  <autoFilter ref="C88:K234"/>
  <mergeCells count="9">
    <mergeCell ref="E50:H50"/>
    <mergeCell ref="E79:H79"/>
    <mergeCell ref="E81:H81"/>
    <mergeCell ref="L2:V2"/>
    <mergeCell ref="E7:H7"/>
    <mergeCell ref="E9:H9"/>
    <mergeCell ref="E18:H18"/>
    <mergeCell ref="E27:H27"/>
    <mergeCell ref="E48:H48"/>
  </mergeCells>
  <hyperlinks>
    <hyperlink ref="F99" r:id="rId1"/>
    <hyperlink ref="F104" r:id="rId2"/>
    <hyperlink ref="F108" r:id="rId3"/>
    <hyperlink ref="F112" r:id="rId4"/>
    <hyperlink ref="F117" r:id="rId5"/>
    <hyperlink ref="F123" r:id="rId6"/>
    <hyperlink ref="F127" r:id="rId7"/>
    <hyperlink ref="F132" r:id="rId8"/>
    <hyperlink ref="F137" r:id="rId9"/>
    <hyperlink ref="F142" r:id="rId10"/>
    <hyperlink ref="F146" r:id="rId11"/>
    <hyperlink ref="F156" r:id="rId12"/>
    <hyperlink ref="F160" r:id="rId13"/>
    <hyperlink ref="F165" r:id="rId14"/>
    <hyperlink ref="F169" r:id="rId15"/>
    <hyperlink ref="F174" r:id="rId16"/>
    <hyperlink ref="F179" r:id="rId17"/>
    <hyperlink ref="F185" r:id="rId18"/>
    <hyperlink ref="F198" r:id="rId19"/>
    <hyperlink ref="F202" r:id="rId20"/>
    <hyperlink ref="F216" r:id="rId21"/>
    <hyperlink ref="F219" r:id="rId22"/>
    <hyperlink ref="F222" r:id="rId23"/>
    <hyperlink ref="F225" r:id="rId24"/>
    <hyperlink ref="F234" r:id="rId25"/>
  </hyperlinks>
  <pageMargins left="0.39374999999999999" right="0.39374999999999999" top="0.39374999999999999" bottom="0.39374999999999999" header="0" footer="0"/>
  <pageSetup paperSize="9" scale="84" fitToHeight="100" orientation="landscape" blackAndWhite="1" r:id="rId26"/>
  <headerFooter>
    <oddFooter>&amp;CStrana &amp;P z &amp;N</oddFooter>
  </headerFooter>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111</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1695</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ROUND(J85,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ROUND((SUM(BE85:BE190)),  2)</f>
        <v>0</v>
      </c>
      <c r="G33" s="34"/>
      <c r="H33" s="34"/>
      <c r="I33" s="98">
        <v>0.21</v>
      </c>
      <c r="J33" s="97">
        <f>ROUND(((SUM(BE85:BE190))*I33),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ROUND((SUM(BF85:BF190)),  2)</f>
        <v>0</v>
      </c>
      <c r="G34" s="34"/>
      <c r="H34" s="34"/>
      <c r="I34" s="98">
        <v>0.15</v>
      </c>
      <c r="J34" s="97">
        <f>ROUND(((SUM(BF85:BF190))*I34),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ROUND((SUM(BG85:BG190)),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ROUND((SUM(BH85:BH190)),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ROUND((SUM(BI85:BI190)),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 9 - Hrubá stavba nové dispozice 2. NP</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J85</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J86</f>
        <v>0</v>
      </c>
      <c r="L60" s="108"/>
    </row>
    <row r="61" spans="1:47" s="10" customFormat="1" ht="19.899999999999999" customHeight="1">
      <c r="B61" s="112"/>
      <c r="D61" s="113" t="s">
        <v>546</v>
      </c>
      <c r="E61" s="114"/>
      <c r="F61" s="114"/>
      <c r="G61" s="114"/>
      <c r="H61" s="114"/>
      <c r="I61" s="114"/>
      <c r="J61" s="115">
        <f>J87</f>
        <v>0</v>
      </c>
      <c r="L61" s="112"/>
    </row>
    <row r="62" spans="1:47" s="10" customFormat="1" ht="19.899999999999999" customHeight="1">
      <c r="B62" s="112"/>
      <c r="D62" s="113" t="s">
        <v>547</v>
      </c>
      <c r="E62" s="114"/>
      <c r="F62" s="114"/>
      <c r="G62" s="114"/>
      <c r="H62" s="114"/>
      <c r="I62" s="114"/>
      <c r="J62" s="115">
        <f>J134</f>
        <v>0</v>
      </c>
      <c r="L62" s="112"/>
    </row>
    <row r="63" spans="1:47" s="10" customFormat="1" ht="19.899999999999999" customHeight="1">
      <c r="B63" s="112"/>
      <c r="D63" s="113" t="s">
        <v>325</v>
      </c>
      <c r="E63" s="114"/>
      <c r="F63" s="114"/>
      <c r="G63" s="114"/>
      <c r="H63" s="114"/>
      <c r="I63" s="114"/>
      <c r="J63" s="115">
        <f>J171</f>
        <v>0</v>
      </c>
      <c r="L63" s="112"/>
    </row>
    <row r="64" spans="1:47" s="10" customFormat="1" ht="19.899999999999999" customHeight="1">
      <c r="B64" s="112"/>
      <c r="D64" s="113" t="s">
        <v>326</v>
      </c>
      <c r="E64" s="114"/>
      <c r="F64" s="114"/>
      <c r="G64" s="114"/>
      <c r="H64" s="114"/>
      <c r="I64" s="114"/>
      <c r="J64" s="115">
        <f>J182</f>
        <v>0</v>
      </c>
      <c r="L64" s="112"/>
    </row>
    <row r="65" spans="1:31" s="9" customFormat="1" ht="24.95" customHeight="1">
      <c r="B65" s="108"/>
      <c r="D65" s="109" t="s">
        <v>161</v>
      </c>
      <c r="E65" s="110"/>
      <c r="F65" s="110"/>
      <c r="G65" s="110"/>
      <c r="H65" s="110"/>
      <c r="I65" s="110"/>
      <c r="J65" s="111">
        <f>J187</f>
        <v>0</v>
      </c>
      <c r="L65" s="108"/>
    </row>
    <row r="66" spans="1:31" s="2" customFormat="1" ht="21.75" customHeight="1">
      <c r="A66" s="34"/>
      <c r="B66" s="35"/>
      <c r="C66" s="34"/>
      <c r="D66" s="34"/>
      <c r="E66" s="34"/>
      <c r="F66" s="34"/>
      <c r="G66" s="34"/>
      <c r="H66" s="34"/>
      <c r="I66" s="34"/>
      <c r="J66" s="34"/>
      <c r="K66" s="34"/>
      <c r="L66" s="91"/>
      <c r="S66" s="34"/>
      <c r="T66" s="34"/>
      <c r="U66" s="34"/>
      <c r="V66" s="34"/>
      <c r="W66" s="34"/>
      <c r="X66" s="34"/>
      <c r="Y66" s="34"/>
      <c r="Z66" s="34"/>
      <c r="AA66" s="34"/>
      <c r="AB66" s="34"/>
      <c r="AC66" s="34"/>
      <c r="AD66" s="34"/>
      <c r="AE66" s="34"/>
    </row>
    <row r="67" spans="1:31" s="2" customFormat="1" ht="6.95" customHeight="1">
      <c r="A67" s="34"/>
      <c r="B67" s="44"/>
      <c r="C67" s="45"/>
      <c r="D67" s="45"/>
      <c r="E67" s="45"/>
      <c r="F67" s="45"/>
      <c r="G67" s="45"/>
      <c r="H67" s="45"/>
      <c r="I67" s="45"/>
      <c r="J67" s="45"/>
      <c r="K67" s="45"/>
      <c r="L67" s="91"/>
      <c r="S67" s="34"/>
      <c r="T67" s="34"/>
      <c r="U67" s="34"/>
      <c r="V67" s="34"/>
      <c r="W67" s="34"/>
      <c r="X67" s="34"/>
      <c r="Y67" s="34"/>
      <c r="Z67" s="34"/>
      <c r="AA67" s="34"/>
      <c r="AB67" s="34"/>
      <c r="AC67" s="34"/>
      <c r="AD67" s="34"/>
      <c r="AE67" s="34"/>
    </row>
    <row r="71" spans="1:31" s="2" customFormat="1" ht="6.95" customHeight="1">
      <c r="A71" s="34"/>
      <c r="B71" s="46"/>
      <c r="C71" s="47"/>
      <c r="D71" s="47"/>
      <c r="E71" s="47"/>
      <c r="F71" s="47"/>
      <c r="G71" s="47"/>
      <c r="H71" s="47"/>
      <c r="I71" s="47"/>
      <c r="J71" s="47"/>
      <c r="K71" s="47"/>
      <c r="L71" s="91"/>
      <c r="S71" s="34"/>
      <c r="T71" s="34"/>
      <c r="U71" s="34"/>
      <c r="V71" s="34"/>
      <c r="W71" s="34"/>
      <c r="X71" s="34"/>
      <c r="Y71" s="34"/>
      <c r="Z71" s="34"/>
      <c r="AA71" s="34"/>
      <c r="AB71" s="34"/>
      <c r="AC71" s="34"/>
      <c r="AD71" s="34"/>
      <c r="AE71" s="34"/>
    </row>
    <row r="72" spans="1:31" s="2" customFormat="1" ht="24.95" customHeight="1">
      <c r="A72" s="34"/>
      <c r="B72" s="35"/>
      <c r="C72" s="23" t="s">
        <v>162</v>
      </c>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6.95" customHeight="1">
      <c r="A73" s="34"/>
      <c r="B73" s="35"/>
      <c r="C73" s="34"/>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2" customHeight="1">
      <c r="A74" s="34"/>
      <c r="B74" s="35"/>
      <c r="C74" s="29" t="s">
        <v>17</v>
      </c>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16.5" customHeight="1">
      <c r="A75" s="34"/>
      <c r="B75" s="35"/>
      <c r="C75" s="34"/>
      <c r="D75" s="34"/>
      <c r="E75" s="436" t="str">
        <f>E7</f>
        <v>ZŠ P. HOLÉHO - PŘESTAVBA PLAVECKÉHO PAVILONU</v>
      </c>
      <c r="F75" s="437"/>
      <c r="G75" s="437"/>
      <c r="H75" s="437"/>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146</v>
      </c>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6.5" customHeight="1">
      <c r="A77" s="34"/>
      <c r="B77" s="35"/>
      <c r="C77" s="34"/>
      <c r="D77" s="34"/>
      <c r="E77" s="432" t="str">
        <f>E9</f>
        <v>E 9 - Hrubá stavba nové dispozice 2. NP</v>
      </c>
      <c r="F77" s="435"/>
      <c r="G77" s="435"/>
      <c r="H77" s="435"/>
      <c r="I77" s="34"/>
      <c r="J77" s="34"/>
      <c r="K77" s="34"/>
      <c r="L77" s="91"/>
      <c r="S77" s="34"/>
      <c r="T77" s="34"/>
      <c r="U77" s="34"/>
      <c r="V77" s="34"/>
      <c r="W77" s="34"/>
      <c r="X77" s="34"/>
      <c r="Y77" s="34"/>
      <c r="Z77" s="34"/>
      <c r="AA77" s="34"/>
      <c r="AB77" s="34"/>
      <c r="AC77" s="34"/>
      <c r="AD77" s="34"/>
      <c r="AE77" s="34"/>
    </row>
    <row r="78" spans="1:31" s="2" customFormat="1" ht="6.95" customHeight="1">
      <c r="A78" s="34"/>
      <c r="B78" s="35"/>
      <c r="C78" s="34"/>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12" customHeight="1">
      <c r="A79" s="34"/>
      <c r="B79" s="35"/>
      <c r="C79" s="29" t="s">
        <v>21</v>
      </c>
      <c r="D79" s="34"/>
      <c r="E79" s="34"/>
      <c r="F79" s="27" t="str">
        <f>F12</f>
        <v>Prokopa Holého 2632, Louny, 440 01</v>
      </c>
      <c r="G79" s="34"/>
      <c r="H79" s="34"/>
      <c r="I79" s="29" t="s">
        <v>23</v>
      </c>
      <c r="J79" s="52" t="str">
        <f>IF(J12="","",J12)</f>
        <v>21. 9. 2022</v>
      </c>
      <c r="K79" s="34"/>
      <c r="L79" s="91"/>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5.2" customHeight="1">
      <c r="A81" s="34"/>
      <c r="B81" s="35"/>
      <c r="C81" s="29" t="s">
        <v>25</v>
      </c>
      <c r="D81" s="34"/>
      <c r="E81" s="34"/>
      <c r="F81" s="27" t="str">
        <f>E15</f>
        <v>Město Louny</v>
      </c>
      <c r="G81" s="34"/>
      <c r="H81" s="34"/>
      <c r="I81" s="29" t="s">
        <v>32</v>
      </c>
      <c r="J81" s="32" t="str">
        <f>E21</f>
        <v>RYSIK Design s.r.o.</v>
      </c>
      <c r="K81" s="34"/>
      <c r="L81" s="91"/>
      <c r="S81" s="34"/>
      <c r="T81" s="34"/>
      <c r="U81" s="34"/>
      <c r="V81" s="34"/>
      <c r="W81" s="34"/>
      <c r="X81" s="34"/>
      <c r="Y81" s="34"/>
      <c r="Z81" s="34"/>
      <c r="AA81" s="34"/>
      <c r="AB81" s="34"/>
      <c r="AC81" s="34"/>
      <c r="AD81" s="34"/>
      <c r="AE81" s="34"/>
    </row>
    <row r="82" spans="1:65" s="2" customFormat="1" ht="25.7" customHeight="1">
      <c r="A82" s="34"/>
      <c r="B82" s="35"/>
      <c r="C82" s="29" t="s">
        <v>30</v>
      </c>
      <c r="D82" s="34"/>
      <c r="E82" s="34"/>
      <c r="F82" s="27" t="str">
        <f>IF(E18="","",E18)</f>
        <v>Vyplň údaj</v>
      </c>
      <c r="G82" s="34"/>
      <c r="H82" s="34"/>
      <c r="I82" s="29" t="s">
        <v>37</v>
      </c>
      <c r="J82" s="32" t="str">
        <f>E24</f>
        <v>ing. Kateřina Tumpachová</v>
      </c>
      <c r="K82" s="34"/>
      <c r="L82" s="91"/>
      <c r="S82" s="34"/>
      <c r="T82" s="34"/>
      <c r="U82" s="34"/>
      <c r="V82" s="34"/>
      <c r="W82" s="34"/>
      <c r="X82" s="34"/>
      <c r="Y82" s="34"/>
      <c r="Z82" s="34"/>
      <c r="AA82" s="34"/>
      <c r="AB82" s="34"/>
      <c r="AC82" s="34"/>
      <c r="AD82" s="34"/>
      <c r="AE82" s="34"/>
    </row>
    <row r="83" spans="1:65" s="2" customFormat="1" ht="10.3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5" s="11" customFormat="1" ht="29.25" customHeight="1">
      <c r="A84" s="116"/>
      <c r="B84" s="117"/>
      <c r="C84" s="118" t="s">
        <v>163</v>
      </c>
      <c r="D84" s="119" t="s">
        <v>62</v>
      </c>
      <c r="E84" s="119" t="s">
        <v>58</v>
      </c>
      <c r="F84" s="119" t="s">
        <v>59</v>
      </c>
      <c r="G84" s="119" t="s">
        <v>164</v>
      </c>
      <c r="H84" s="119" t="s">
        <v>165</v>
      </c>
      <c r="I84" s="119" t="s">
        <v>166</v>
      </c>
      <c r="J84" s="119" t="s">
        <v>151</v>
      </c>
      <c r="K84" s="120" t="s">
        <v>167</v>
      </c>
      <c r="L84" s="121"/>
      <c r="M84" s="59" t="s">
        <v>3</v>
      </c>
      <c r="N84" s="60" t="s">
        <v>47</v>
      </c>
      <c r="O84" s="60" t="s">
        <v>168</v>
      </c>
      <c r="P84" s="60" t="s">
        <v>169</v>
      </c>
      <c r="Q84" s="60" t="s">
        <v>170</v>
      </c>
      <c r="R84" s="60" t="s">
        <v>171</v>
      </c>
      <c r="S84" s="60" t="s">
        <v>172</v>
      </c>
      <c r="T84" s="61" t="s">
        <v>173</v>
      </c>
      <c r="U84" s="116"/>
      <c r="V84" s="116"/>
      <c r="W84" s="116"/>
      <c r="X84" s="116"/>
      <c r="Y84" s="116"/>
      <c r="Z84" s="116"/>
      <c r="AA84" s="116"/>
      <c r="AB84" s="116"/>
      <c r="AC84" s="116"/>
      <c r="AD84" s="116"/>
      <c r="AE84" s="116"/>
    </row>
    <row r="85" spans="1:65" s="2" customFormat="1" ht="22.9" customHeight="1">
      <c r="A85" s="34"/>
      <c r="B85" s="35"/>
      <c r="C85" s="66" t="s">
        <v>174</v>
      </c>
      <c r="D85" s="34"/>
      <c r="E85" s="34"/>
      <c r="F85" s="34"/>
      <c r="G85" s="34"/>
      <c r="H85" s="34"/>
      <c r="I85" s="34"/>
      <c r="J85" s="122">
        <f>BK85</f>
        <v>0</v>
      </c>
      <c r="K85" s="34"/>
      <c r="L85" s="35"/>
      <c r="M85" s="62"/>
      <c r="N85" s="53"/>
      <c r="O85" s="63"/>
      <c r="P85" s="123">
        <f>P86+P187</f>
        <v>0</v>
      </c>
      <c r="Q85" s="63"/>
      <c r="R85" s="123">
        <f>R86+R187</f>
        <v>49.411885393499993</v>
      </c>
      <c r="S85" s="63"/>
      <c r="T85" s="124">
        <f>T86+T187</f>
        <v>0</v>
      </c>
      <c r="U85" s="34"/>
      <c r="V85" s="34"/>
      <c r="W85" s="34"/>
      <c r="X85" s="34"/>
      <c r="Y85" s="34"/>
      <c r="Z85" s="34"/>
      <c r="AA85" s="34"/>
      <c r="AB85" s="34"/>
      <c r="AC85" s="34"/>
      <c r="AD85" s="34"/>
      <c r="AE85" s="34"/>
      <c r="AT85" s="19" t="s">
        <v>76</v>
      </c>
      <c r="AU85" s="19" t="s">
        <v>152</v>
      </c>
      <c r="BK85" s="125">
        <f>BK86+BK187</f>
        <v>0</v>
      </c>
    </row>
    <row r="86" spans="1:65" s="12" customFormat="1" ht="25.9" customHeight="1">
      <c r="B86" s="126"/>
      <c r="D86" s="127" t="s">
        <v>76</v>
      </c>
      <c r="E86" s="128" t="s">
        <v>175</v>
      </c>
      <c r="F86" s="128" t="s">
        <v>176</v>
      </c>
      <c r="I86" s="129"/>
      <c r="J86" s="130">
        <f>BK86</f>
        <v>0</v>
      </c>
      <c r="L86" s="126"/>
      <c r="M86" s="131"/>
      <c r="N86" s="132"/>
      <c r="O86" s="132"/>
      <c r="P86" s="133">
        <f>P87+P134+P171+P182</f>
        <v>0</v>
      </c>
      <c r="Q86" s="132"/>
      <c r="R86" s="133">
        <f>R87+R134+R171+R182</f>
        <v>49.411885393499993</v>
      </c>
      <c r="S86" s="132"/>
      <c r="T86" s="134">
        <f>T87+T134+T171+T182</f>
        <v>0</v>
      </c>
      <c r="AR86" s="127" t="s">
        <v>85</v>
      </c>
      <c r="AT86" s="135" t="s">
        <v>76</v>
      </c>
      <c r="AU86" s="135" t="s">
        <v>77</v>
      </c>
      <c r="AY86" s="127" t="s">
        <v>177</v>
      </c>
      <c r="BK86" s="136">
        <f>BK87+BK134+BK171+BK182</f>
        <v>0</v>
      </c>
    </row>
    <row r="87" spans="1:65" s="12" customFormat="1" ht="22.9" customHeight="1">
      <c r="B87" s="126"/>
      <c r="D87" s="127" t="s">
        <v>76</v>
      </c>
      <c r="E87" s="137" t="s">
        <v>198</v>
      </c>
      <c r="F87" s="137" t="s">
        <v>560</v>
      </c>
      <c r="I87" s="129"/>
      <c r="J87" s="138">
        <f>BK87</f>
        <v>0</v>
      </c>
      <c r="L87" s="126"/>
      <c r="M87" s="131"/>
      <c r="N87" s="132"/>
      <c r="O87" s="132"/>
      <c r="P87" s="133">
        <f>SUM(P88:P133)</f>
        <v>0</v>
      </c>
      <c r="Q87" s="132"/>
      <c r="R87" s="133">
        <f>SUM(R88:R133)</f>
        <v>33.720610049999998</v>
      </c>
      <c r="S87" s="132"/>
      <c r="T87" s="134">
        <f>SUM(T88:T133)</f>
        <v>0</v>
      </c>
      <c r="AR87" s="127" t="s">
        <v>85</v>
      </c>
      <c r="AT87" s="135" t="s">
        <v>76</v>
      </c>
      <c r="AU87" s="135" t="s">
        <v>85</v>
      </c>
      <c r="AY87" s="127" t="s">
        <v>177</v>
      </c>
      <c r="BK87" s="136">
        <f>SUM(BK88:BK133)</f>
        <v>0</v>
      </c>
    </row>
    <row r="88" spans="1:65" s="2" customFormat="1" ht="21.75" customHeight="1">
      <c r="A88" s="34"/>
      <c r="B88" s="139"/>
      <c r="C88" s="140" t="s">
        <v>85</v>
      </c>
      <c r="D88" s="140" t="s">
        <v>180</v>
      </c>
      <c r="E88" s="141" t="s">
        <v>1696</v>
      </c>
      <c r="F88" s="142" t="s">
        <v>1697</v>
      </c>
      <c r="G88" s="143" t="s">
        <v>332</v>
      </c>
      <c r="H88" s="144">
        <v>158.19</v>
      </c>
      <c r="I88" s="145"/>
      <c r="J88" s="146">
        <f>ROUND(I88*H88,2)</f>
        <v>0</v>
      </c>
      <c r="K88" s="142" t="s">
        <v>184</v>
      </c>
      <c r="L88" s="35"/>
      <c r="M88" s="147" t="s">
        <v>3</v>
      </c>
      <c r="N88" s="148" t="s">
        <v>48</v>
      </c>
      <c r="O88" s="55"/>
      <c r="P88" s="149">
        <f>O88*H88</f>
        <v>0</v>
      </c>
      <c r="Q88" s="149">
        <v>0.16991999999999999</v>
      </c>
      <c r="R88" s="149">
        <f>Q88*H88</f>
        <v>26.879644799999998</v>
      </c>
      <c r="S88" s="149">
        <v>0</v>
      </c>
      <c r="T88" s="150">
        <f>S88*H88</f>
        <v>0</v>
      </c>
      <c r="U88" s="34"/>
      <c r="V88" s="34"/>
      <c r="W88" s="34"/>
      <c r="X88" s="34"/>
      <c r="Y88" s="34"/>
      <c r="Z88" s="34"/>
      <c r="AA88" s="34"/>
      <c r="AB88" s="34"/>
      <c r="AC88" s="34"/>
      <c r="AD88" s="34"/>
      <c r="AE88" s="34"/>
      <c r="AR88" s="151" t="s">
        <v>185</v>
      </c>
      <c r="AT88" s="151" t="s">
        <v>180</v>
      </c>
      <c r="AU88" s="151" t="s">
        <v>87</v>
      </c>
      <c r="AY88" s="19" t="s">
        <v>177</v>
      </c>
      <c r="BE88" s="152">
        <f>IF(N88="základní",J88,0)</f>
        <v>0</v>
      </c>
      <c r="BF88" s="152">
        <f>IF(N88="snížená",J88,0)</f>
        <v>0</v>
      </c>
      <c r="BG88" s="152">
        <f>IF(N88="zákl. přenesená",J88,0)</f>
        <v>0</v>
      </c>
      <c r="BH88" s="152">
        <f>IF(N88="sníž. přenesená",J88,0)</f>
        <v>0</v>
      </c>
      <c r="BI88" s="152">
        <f>IF(N88="nulová",J88,0)</f>
        <v>0</v>
      </c>
      <c r="BJ88" s="19" t="s">
        <v>85</v>
      </c>
      <c r="BK88" s="152">
        <f>ROUND(I88*H88,2)</f>
        <v>0</v>
      </c>
      <c r="BL88" s="19" t="s">
        <v>185</v>
      </c>
      <c r="BM88" s="151" t="s">
        <v>1698</v>
      </c>
    </row>
    <row r="89" spans="1:65" s="2" customFormat="1" ht="19.5">
      <c r="A89" s="34"/>
      <c r="B89" s="35"/>
      <c r="C89" s="34"/>
      <c r="D89" s="153" t="s">
        <v>187</v>
      </c>
      <c r="E89" s="34"/>
      <c r="F89" s="154" t="s">
        <v>1699</v>
      </c>
      <c r="G89" s="34"/>
      <c r="H89" s="34"/>
      <c r="I89" s="155"/>
      <c r="J89" s="34"/>
      <c r="K89" s="34"/>
      <c r="L89" s="35"/>
      <c r="M89" s="156"/>
      <c r="N89" s="157"/>
      <c r="O89" s="55"/>
      <c r="P89" s="55"/>
      <c r="Q89" s="55"/>
      <c r="R89" s="55"/>
      <c r="S89" s="55"/>
      <c r="T89" s="56"/>
      <c r="U89" s="34"/>
      <c r="V89" s="34"/>
      <c r="W89" s="34"/>
      <c r="X89" s="34"/>
      <c r="Y89" s="34"/>
      <c r="Z89" s="34"/>
      <c r="AA89" s="34"/>
      <c r="AB89" s="34"/>
      <c r="AC89" s="34"/>
      <c r="AD89" s="34"/>
      <c r="AE89" s="34"/>
      <c r="AT89" s="19" t="s">
        <v>187</v>
      </c>
      <c r="AU89" s="19" t="s">
        <v>87</v>
      </c>
    </row>
    <row r="90" spans="1:65" s="2" customFormat="1">
      <c r="A90" s="34"/>
      <c r="B90" s="35"/>
      <c r="C90" s="34"/>
      <c r="D90" s="158" t="s">
        <v>189</v>
      </c>
      <c r="E90" s="34"/>
      <c r="F90" s="159" t="s">
        <v>1700</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189</v>
      </c>
      <c r="AU90" s="19" t="s">
        <v>87</v>
      </c>
    </row>
    <row r="91" spans="1:65" s="13" customFormat="1">
      <c r="B91" s="161"/>
      <c r="D91" s="153" t="s">
        <v>193</v>
      </c>
      <c r="E91" s="162" t="s">
        <v>3</v>
      </c>
      <c r="F91" s="163" t="s">
        <v>1701</v>
      </c>
      <c r="H91" s="164">
        <v>172.714</v>
      </c>
      <c r="I91" s="165"/>
      <c r="L91" s="161"/>
      <c r="M91" s="166"/>
      <c r="N91" s="167"/>
      <c r="O91" s="167"/>
      <c r="P91" s="167"/>
      <c r="Q91" s="167"/>
      <c r="R91" s="167"/>
      <c r="S91" s="167"/>
      <c r="T91" s="168"/>
      <c r="AT91" s="162" t="s">
        <v>193</v>
      </c>
      <c r="AU91" s="162" t="s">
        <v>87</v>
      </c>
      <c r="AV91" s="13" t="s">
        <v>87</v>
      </c>
      <c r="AW91" s="13" t="s">
        <v>36</v>
      </c>
      <c r="AX91" s="13" t="s">
        <v>77</v>
      </c>
      <c r="AY91" s="162" t="s">
        <v>177</v>
      </c>
    </row>
    <row r="92" spans="1:65" s="13" customFormat="1">
      <c r="B92" s="161"/>
      <c r="D92" s="153" t="s">
        <v>193</v>
      </c>
      <c r="E92" s="162" t="s">
        <v>3</v>
      </c>
      <c r="F92" s="163" t="s">
        <v>1702</v>
      </c>
      <c r="H92" s="164">
        <v>-8.2739999999999991</v>
      </c>
      <c r="I92" s="165"/>
      <c r="L92" s="161"/>
      <c r="M92" s="166"/>
      <c r="N92" s="167"/>
      <c r="O92" s="167"/>
      <c r="P92" s="167"/>
      <c r="Q92" s="167"/>
      <c r="R92" s="167"/>
      <c r="S92" s="167"/>
      <c r="T92" s="168"/>
      <c r="AT92" s="162" t="s">
        <v>193</v>
      </c>
      <c r="AU92" s="162" t="s">
        <v>87</v>
      </c>
      <c r="AV92" s="13" t="s">
        <v>87</v>
      </c>
      <c r="AW92" s="13" t="s">
        <v>36</v>
      </c>
      <c r="AX92" s="13" t="s">
        <v>77</v>
      </c>
      <c r="AY92" s="162" t="s">
        <v>177</v>
      </c>
    </row>
    <row r="93" spans="1:65" s="13" customFormat="1">
      <c r="B93" s="161"/>
      <c r="D93" s="153" t="s">
        <v>193</v>
      </c>
      <c r="E93" s="162" t="s">
        <v>3</v>
      </c>
      <c r="F93" s="163" t="s">
        <v>1703</v>
      </c>
      <c r="H93" s="164">
        <v>-6.25</v>
      </c>
      <c r="I93" s="165"/>
      <c r="L93" s="161"/>
      <c r="M93" s="166"/>
      <c r="N93" s="167"/>
      <c r="O93" s="167"/>
      <c r="P93" s="167"/>
      <c r="Q93" s="167"/>
      <c r="R93" s="167"/>
      <c r="S93" s="167"/>
      <c r="T93" s="168"/>
      <c r="AT93" s="162" t="s">
        <v>193</v>
      </c>
      <c r="AU93" s="162" t="s">
        <v>87</v>
      </c>
      <c r="AV93" s="13" t="s">
        <v>87</v>
      </c>
      <c r="AW93" s="13" t="s">
        <v>36</v>
      </c>
      <c r="AX93" s="13" t="s">
        <v>77</v>
      </c>
      <c r="AY93" s="162" t="s">
        <v>177</v>
      </c>
    </row>
    <row r="94" spans="1:65" s="16" customFormat="1">
      <c r="B94" s="184"/>
      <c r="D94" s="153" t="s">
        <v>193</v>
      </c>
      <c r="E94" s="185" t="s">
        <v>3</v>
      </c>
      <c r="F94" s="186" t="s">
        <v>201</v>
      </c>
      <c r="H94" s="187">
        <v>158.19</v>
      </c>
      <c r="I94" s="188"/>
      <c r="L94" s="184"/>
      <c r="M94" s="189"/>
      <c r="N94" s="190"/>
      <c r="O94" s="190"/>
      <c r="P94" s="190"/>
      <c r="Q94" s="190"/>
      <c r="R94" s="190"/>
      <c r="S94" s="190"/>
      <c r="T94" s="191"/>
      <c r="AT94" s="185" t="s">
        <v>193</v>
      </c>
      <c r="AU94" s="185" t="s">
        <v>87</v>
      </c>
      <c r="AV94" s="16" t="s">
        <v>185</v>
      </c>
      <c r="AW94" s="16" t="s">
        <v>36</v>
      </c>
      <c r="AX94" s="16" t="s">
        <v>85</v>
      </c>
      <c r="AY94" s="185" t="s">
        <v>177</v>
      </c>
    </row>
    <row r="95" spans="1:65" s="2" customFormat="1" ht="16.5" customHeight="1">
      <c r="A95" s="34"/>
      <c r="B95" s="139"/>
      <c r="C95" s="140" t="s">
        <v>87</v>
      </c>
      <c r="D95" s="140" t="s">
        <v>180</v>
      </c>
      <c r="E95" s="141" t="s">
        <v>1704</v>
      </c>
      <c r="F95" s="142" t="s">
        <v>1705</v>
      </c>
      <c r="G95" s="143" t="s">
        <v>236</v>
      </c>
      <c r="H95" s="144">
        <v>4</v>
      </c>
      <c r="I95" s="145"/>
      <c r="J95" s="146">
        <f>ROUND(I95*H95,2)</f>
        <v>0</v>
      </c>
      <c r="K95" s="142" t="s">
        <v>184</v>
      </c>
      <c r="L95" s="35"/>
      <c r="M95" s="147" t="s">
        <v>3</v>
      </c>
      <c r="N95" s="148" t="s">
        <v>48</v>
      </c>
      <c r="O95" s="55"/>
      <c r="P95" s="149">
        <f>O95*H95</f>
        <v>0</v>
      </c>
      <c r="Q95" s="149">
        <v>1.5509999999999999E-2</v>
      </c>
      <c r="R95" s="149">
        <f>Q95*H95</f>
        <v>6.2039999999999998E-2</v>
      </c>
      <c r="S95" s="149">
        <v>0</v>
      </c>
      <c r="T95" s="150">
        <f>S95*H95</f>
        <v>0</v>
      </c>
      <c r="U95" s="34"/>
      <c r="V95" s="34"/>
      <c r="W95" s="34"/>
      <c r="X95" s="34"/>
      <c r="Y95" s="34"/>
      <c r="Z95" s="34"/>
      <c r="AA95" s="34"/>
      <c r="AB95" s="34"/>
      <c r="AC95" s="34"/>
      <c r="AD95" s="34"/>
      <c r="AE95" s="34"/>
      <c r="AR95" s="151" t="s">
        <v>185</v>
      </c>
      <c r="AT95" s="151" t="s">
        <v>180</v>
      </c>
      <c r="AU95" s="151" t="s">
        <v>87</v>
      </c>
      <c r="AY95" s="19" t="s">
        <v>177</v>
      </c>
      <c r="BE95" s="152">
        <f>IF(N95="základní",J95,0)</f>
        <v>0</v>
      </c>
      <c r="BF95" s="152">
        <f>IF(N95="snížená",J95,0)</f>
        <v>0</v>
      </c>
      <c r="BG95" s="152">
        <f>IF(N95="zákl. přenesená",J95,0)</f>
        <v>0</v>
      </c>
      <c r="BH95" s="152">
        <f>IF(N95="sníž. přenesená",J95,0)</f>
        <v>0</v>
      </c>
      <c r="BI95" s="152">
        <f>IF(N95="nulová",J95,0)</f>
        <v>0</v>
      </c>
      <c r="BJ95" s="19" t="s">
        <v>85</v>
      </c>
      <c r="BK95" s="152">
        <f>ROUND(I95*H95,2)</f>
        <v>0</v>
      </c>
      <c r="BL95" s="19" t="s">
        <v>185</v>
      </c>
      <c r="BM95" s="151" t="s">
        <v>1706</v>
      </c>
    </row>
    <row r="96" spans="1:65" s="2" customFormat="1" ht="19.5">
      <c r="A96" s="34"/>
      <c r="B96" s="35"/>
      <c r="C96" s="34"/>
      <c r="D96" s="153" t="s">
        <v>187</v>
      </c>
      <c r="E96" s="34"/>
      <c r="F96" s="154" t="s">
        <v>1707</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187</v>
      </c>
      <c r="AU96" s="19" t="s">
        <v>87</v>
      </c>
    </row>
    <row r="97" spans="1:65" s="2" customFormat="1">
      <c r="A97" s="34"/>
      <c r="B97" s="35"/>
      <c r="C97" s="34"/>
      <c r="D97" s="158" t="s">
        <v>189</v>
      </c>
      <c r="E97" s="34"/>
      <c r="F97" s="159" t="s">
        <v>1708</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189</v>
      </c>
      <c r="AU97" s="19" t="s">
        <v>87</v>
      </c>
    </row>
    <row r="98" spans="1:65" s="2" customFormat="1" ht="29.25">
      <c r="A98" s="34"/>
      <c r="B98" s="35"/>
      <c r="C98" s="34"/>
      <c r="D98" s="153" t="s">
        <v>191</v>
      </c>
      <c r="E98" s="34"/>
      <c r="F98" s="160" t="s">
        <v>1709</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191</v>
      </c>
      <c r="AU98" s="19" t="s">
        <v>87</v>
      </c>
    </row>
    <row r="99" spans="1:65" s="2" customFormat="1" ht="21.75" customHeight="1">
      <c r="A99" s="34"/>
      <c r="B99" s="139"/>
      <c r="C99" s="140" t="s">
        <v>198</v>
      </c>
      <c r="D99" s="140" t="s">
        <v>180</v>
      </c>
      <c r="E99" s="141" t="s">
        <v>1710</v>
      </c>
      <c r="F99" s="142" t="s">
        <v>1711</v>
      </c>
      <c r="G99" s="143" t="s">
        <v>236</v>
      </c>
      <c r="H99" s="144">
        <v>1</v>
      </c>
      <c r="I99" s="145"/>
      <c r="J99" s="146">
        <f>ROUND(I99*H99,2)</f>
        <v>0</v>
      </c>
      <c r="K99" s="142" t="s">
        <v>184</v>
      </c>
      <c r="L99" s="35"/>
      <c r="M99" s="147" t="s">
        <v>3</v>
      </c>
      <c r="N99" s="148" t="s">
        <v>48</v>
      </c>
      <c r="O99" s="55"/>
      <c r="P99" s="149">
        <f>O99*H99</f>
        <v>0</v>
      </c>
      <c r="Q99" s="149">
        <v>2.0209999999999999E-2</v>
      </c>
      <c r="R99" s="149">
        <f>Q99*H99</f>
        <v>2.0209999999999999E-2</v>
      </c>
      <c r="S99" s="149">
        <v>0</v>
      </c>
      <c r="T99" s="150">
        <f>S99*H99</f>
        <v>0</v>
      </c>
      <c r="U99" s="34"/>
      <c r="V99" s="34"/>
      <c r="W99" s="34"/>
      <c r="X99" s="34"/>
      <c r="Y99" s="34"/>
      <c r="Z99" s="34"/>
      <c r="AA99" s="34"/>
      <c r="AB99" s="34"/>
      <c r="AC99" s="34"/>
      <c r="AD99" s="34"/>
      <c r="AE99" s="34"/>
      <c r="AR99" s="151" t="s">
        <v>185</v>
      </c>
      <c r="AT99" s="151" t="s">
        <v>180</v>
      </c>
      <c r="AU99" s="151" t="s">
        <v>87</v>
      </c>
      <c r="AY99" s="19" t="s">
        <v>177</v>
      </c>
      <c r="BE99" s="152">
        <f>IF(N99="základní",J99,0)</f>
        <v>0</v>
      </c>
      <c r="BF99" s="152">
        <f>IF(N99="snížená",J99,0)</f>
        <v>0</v>
      </c>
      <c r="BG99" s="152">
        <f>IF(N99="zákl. přenesená",J99,0)</f>
        <v>0</v>
      </c>
      <c r="BH99" s="152">
        <f>IF(N99="sníž. přenesená",J99,0)</f>
        <v>0</v>
      </c>
      <c r="BI99" s="152">
        <f>IF(N99="nulová",J99,0)</f>
        <v>0</v>
      </c>
      <c r="BJ99" s="19" t="s">
        <v>85</v>
      </c>
      <c r="BK99" s="152">
        <f>ROUND(I99*H99,2)</f>
        <v>0</v>
      </c>
      <c r="BL99" s="19" t="s">
        <v>185</v>
      </c>
      <c r="BM99" s="151" t="s">
        <v>1712</v>
      </c>
    </row>
    <row r="100" spans="1:65" s="2" customFormat="1" ht="19.5">
      <c r="A100" s="34"/>
      <c r="B100" s="35"/>
      <c r="C100" s="34"/>
      <c r="D100" s="153" t="s">
        <v>187</v>
      </c>
      <c r="E100" s="34"/>
      <c r="F100" s="154" t="s">
        <v>1713</v>
      </c>
      <c r="G100" s="34"/>
      <c r="H100" s="34"/>
      <c r="I100" s="155"/>
      <c r="J100" s="34"/>
      <c r="K100" s="34"/>
      <c r="L100" s="35"/>
      <c r="M100" s="156"/>
      <c r="N100" s="157"/>
      <c r="O100" s="55"/>
      <c r="P100" s="55"/>
      <c r="Q100" s="55"/>
      <c r="R100" s="55"/>
      <c r="S100" s="55"/>
      <c r="T100" s="56"/>
      <c r="U100" s="34"/>
      <c r="V100" s="34"/>
      <c r="W100" s="34"/>
      <c r="X100" s="34"/>
      <c r="Y100" s="34"/>
      <c r="Z100" s="34"/>
      <c r="AA100" s="34"/>
      <c r="AB100" s="34"/>
      <c r="AC100" s="34"/>
      <c r="AD100" s="34"/>
      <c r="AE100" s="34"/>
      <c r="AT100" s="19" t="s">
        <v>187</v>
      </c>
      <c r="AU100" s="19" t="s">
        <v>87</v>
      </c>
    </row>
    <row r="101" spans="1:65" s="2" customFormat="1">
      <c r="A101" s="34"/>
      <c r="B101" s="35"/>
      <c r="C101" s="34"/>
      <c r="D101" s="158" t="s">
        <v>189</v>
      </c>
      <c r="E101" s="34"/>
      <c r="F101" s="159" t="s">
        <v>1714</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189</v>
      </c>
      <c r="AU101" s="19" t="s">
        <v>87</v>
      </c>
    </row>
    <row r="102" spans="1:65" s="2" customFormat="1" ht="29.25">
      <c r="A102" s="34"/>
      <c r="B102" s="35"/>
      <c r="C102" s="34"/>
      <c r="D102" s="153" t="s">
        <v>191</v>
      </c>
      <c r="E102" s="34"/>
      <c r="F102" s="160" t="s">
        <v>1709</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191</v>
      </c>
      <c r="AU102" s="19" t="s">
        <v>87</v>
      </c>
    </row>
    <row r="103" spans="1:65" s="2" customFormat="1" ht="21.75" customHeight="1">
      <c r="A103" s="34"/>
      <c r="B103" s="139"/>
      <c r="C103" s="140" t="s">
        <v>185</v>
      </c>
      <c r="D103" s="140" t="s">
        <v>180</v>
      </c>
      <c r="E103" s="141" t="s">
        <v>1715</v>
      </c>
      <c r="F103" s="142" t="s">
        <v>1716</v>
      </c>
      <c r="G103" s="143" t="s">
        <v>236</v>
      </c>
      <c r="H103" s="144">
        <v>2</v>
      </c>
      <c r="I103" s="145"/>
      <c r="J103" s="146">
        <f>ROUND(I103*H103,2)</f>
        <v>0</v>
      </c>
      <c r="K103" s="142" t="s">
        <v>184</v>
      </c>
      <c r="L103" s="35"/>
      <c r="M103" s="147" t="s">
        <v>3</v>
      </c>
      <c r="N103" s="148" t="s">
        <v>48</v>
      </c>
      <c r="O103" s="55"/>
      <c r="P103" s="149">
        <f>O103*H103</f>
        <v>0</v>
      </c>
      <c r="Q103" s="149">
        <v>3.9629999999999999E-2</v>
      </c>
      <c r="R103" s="149">
        <f>Q103*H103</f>
        <v>7.9259999999999997E-2</v>
      </c>
      <c r="S103" s="149">
        <v>0</v>
      </c>
      <c r="T103" s="150">
        <f>S103*H103</f>
        <v>0</v>
      </c>
      <c r="U103" s="34"/>
      <c r="V103" s="34"/>
      <c r="W103" s="34"/>
      <c r="X103" s="34"/>
      <c r="Y103" s="34"/>
      <c r="Z103" s="34"/>
      <c r="AA103" s="34"/>
      <c r="AB103" s="34"/>
      <c r="AC103" s="34"/>
      <c r="AD103" s="34"/>
      <c r="AE103" s="34"/>
      <c r="AR103" s="151" t="s">
        <v>185</v>
      </c>
      <c r="AT103" s="151" t="s">
        <v>180</v>
      </c>
      <c r="AU103" s="151" t="s">
        <v>87</v>
      </c>
      <c r="AY103" s="19" t="s">
        <v>177</v>
      </c>
      <c r="BE103" s="152">
        <f>IF(N103="základní",J103,0)</f>
        <v>0</v>
      </c>
      <c r="BF103" s="152">
        <f>IF(N103="snížená",J103,0)</f>
        <v>0</v>
      </c>
      <c r="BG103" s="152">
        <f>IF(N103="zákl. přenesená",J103,0)</f>
        <v>0</v>
      </c>
      <c r="BH103" s="152">
        <f>IF(N103="sníž. přenesená",J103,0)</f>
        <v>0</v>
      </c>
      <c r="BI103" s="152">
        <f>IF(N103="nulová",J103,0)</f>
        <v>0</v>
      </c>
      <c r="BJ103" s="19" t="s">
        <v>85</v>
      </c>
      <c r="BK103" s="152">
        <f>ROUND(I103*H103,2)</f>
        <v>0</v>
      </c>
      <c r="BL103" s="19" t="s">
        <v>185</v>
      </c>
      <c r="BM103" s="151" t="s">
        <v>1717</v>
      </c>
    </row>
    <row r="104" spans="1:65" s="2" customFormat="1" ht="19.5">
      <c r="A104" s="34"/>
      <c r="B104" s="35"/>
      <c r="C104" s="34"/>
      <c r="D104" s="153" t="s">
        <v>187</v>
      </c>
      <c r="E104" s="34"/>
      <c r="F104" s="154" t="s">
        <v>1718</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187</v>
      </c>
      <c r="AU104" s="19" t="s">
        <v>87</v>
      </c>
    </row>
    <row r="105" spans="1:65" s="2" customFormat="1">
      <c r="A105" s="34"/>
      <c r="B105" s="35"/>
      <c r="C105" s="34"/>
      <c r="D105" s="158" t="s">
        <v>189</v>
      </c>
      <c r="E105" s="34"/>
      <c r="F105" s="159" t="s">
        <v>1719</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189</v>
      </c>
      <c r="AU105" s="19" t="s">
        <v>87</v>
      </c>
    </row>
    <row r="106" spans="1:65" s="2" customFormat="1" ht="29.25">
      <c r="A106" s="34"/>
      <c r="B106" s="35"/>
      <c r="C106" s="34"/>
      <c r="D106" s="153" t="s">
        <v>191</v>
      </c>
      <c r="E106" s="34"/>
      <c r="F106" s="160" t="s">
        <v>1709</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191</v>
      </c>
      <c r="AU106" s="19" t="s">
        <v>87</v>
      </c>
    </row>
    <row r="107" spans="1:65" s="2" customFormat="1" ht="16.5" customHeight="1">
      <c r="A107" s="34"/>
      <c r="B107" s="139"/>
      <c r="C107" s="140" t="s">
        <v>200</v>
      </c>
      <c r="D107" s="140" t="s">
        <v>180</v>
      </c>
      <c r="E107" s="141" t="s">
        <v>1720</v>
      </c>
      <c r="F107" s="142" t="s">
        <v>1721</v>
      </c>
      <c r="G107" s="143" t="s">
        <v>236</v>
      </c>
      <c r="H107" s="144">
        <v>13</v>
      </c>
      <c r="I107" s="145"/>
      <c r="J107" s="146">
        <f>ROUND(I107*H107,2)</f>
        <v>0</v>
      </c>
      <c r="K107" s="142" t="s">
        <v>184</v>
      </c>
      <c r="L107" s="35"/>
      <c r="M107" s="147" t="s">
        <v>3</v>
      </c>
      <c r="N107" s="148" t="s">
        <v>48</v>
      </c>
      <c r="O107" s="55"/>
      <c r="P107" s="149">
        <f>O107*H107</f>
        <v>0</v>
      </c>
      <c r="Q107" s="149">
        <v>0.10931</v>
      </c>
      <c r="R107" s="149">
        <f>Q107*H107</f>
        <v>1.42103</v>
      </c>
      <c r="S107" s="149">
        <v>0</v>
      </c>
      <c r="T107" s="150">
        <f>S107*H107</f>
        <v>0</v>
      </c>
      <c r="U107" s="34"/>
      <c r="V107" s="34"/>
      <c r="W107" s="34"/>
      <c r="X107" s="34"/>
      <c r="Y107" s="34"/>
      <c r="Z107" s="34"/>
      <c r="AA107" s="34"/>
      <c r="AB107" s="34"/>
      <c r="AC107" s="34"/>
      <c r="AD107" s="34"/>
      <c r="AE107" s="34"/>
      <c r="AR107" s="151" t="s">
        <v>185</v>
      </c>
      <c r="AT107" s="151" t="s">
        <v>180</v>
      </c>
      <c r="AU107" s="151" t="s">
        <v>87</v>
      </c>
      <c r="AY107" s="19" t="s">
        <v>177</v>
      </c>
      <c r="BE107" s="152">
        <f>IF(N107="základní",J107,0)</f>
        <v>0</v>
      </c>
      <c r="BF107" s="152">
        <f>IF(N107="snížená",J107,0)</f>
        <v>0</v>
      </c>
      <c r="BG107" s="152">
        <f>IF(N107="zákl. přenesená",J107,0)</f>
        <v>0</v>
      </c>
      <c r="BH107" s="152">
        <f>IF(N107="sníž. přenesená",J107,0)</f>
        <v>0</v>
      </c>
      <c r="BI107" s="152">
        <f>IF(N107="nulová",J107,0)</f>
        <v>0</v>
      </c>
      <c r="BJ107" s="19" t="s">
        <v>85</v>
      </c>
      <c r="BK107" s="152">
        <f>ROUND(I107*H107,2)</f>
        <v>0</v>
      </c>
      <c r="BL107" s="19" t="s">
        <v>185</v>
      </c>
      <c r="BM107" s="151" t="s">
        <v>1722</v>
      </c>
    </row>
    <row r="108" spans="1:65" s="2" customFormat="1">
      <c r="A108" s="34"/>
      <c r="B108" s="35"/>
      <c r="C108" s="34"/>
      <c r="D108" s="153" t="s">
        <v>187</v>
      </c>
      <c r="E108" s="34"/>
      <c r="F108" s="154" t="s">
        <v>1723</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187</v>
      </c>
      <c r="AU108" s="19" t="s">
        <v>87</v>
      </c>
    </row>
    <row r="109" spans="1:65" s="2" customFormat="1">
      <c r="A109" s="34"/>
      <c r="B109" s="35"/>
      <c r="C109" s="34"/>
      <c r="D109" s="158" t="s">
        <v>189</v>
      </c>
      <c r="E109" s="34"/>
      <c r="F109" s="159" t="s">
        <v>1724</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189</v>
      </c>
      <c r="AU109" s="19" t="s">
        <v>87</v>
      </c>
    </row>
    <row r="110" spans="1:65" s="2" customFormat="1" ht="29.25">
      <c r="A110" s="34"/>
      <c r="B110" s="35"/>
      <c r="C110" s="34"/>
      <c r="D110" s="153" t="s">
        <v>191</v>
      </c>
      <c r="E110" s="34"/>
      <c r="F110" s="160" t="s">
        <v>1725</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191</v>
      </c>
      <c r="AU110" s="19" t="s">
        <v>87</v>
      </c>
    </row>
    <row r="111" spans="1:65" s="13" customFormat="1">
      <c r="B111" s="161"/>
      <c r="D111" s="153" t="s">
        <v>193</v>
      </c>
      <c r="E111" s="162" t="s">
        <v>3</v>
      </c>
      <c r="F111" s="163" t="s">
        <v>198</v>
      </c>
      <c r="H111" s="164">
        <v>3</v>
      </c>
      <c r="I111" s="165"/>
      <c r="L111" s="161"/>
      <c r="M111" s="166"/>
      <c r="N111" s="167"/>
      <c r="O111" s="167"/>
      <c r="P111" s="167"/>
      <c r="Q111" s="167"/>
      <c r="R111" s="167"/>
      <c r="S111" s="167"/>
      <c r="T111" s="168"/>
      <c r="AT111" s="162" t="s">
        <v>193</v>
      </c>
      <c r="AU111" s="162" t="s">
        <v>87</v>
      </c>
      <c r="AV111" s="13" t="s">
        <v>87</v>
      </c>
      <c r="AW111" s="13" t="s">
        <v>36</v>
      </c>
      <c r="AX111" s="13" t="s">
        <v>77</v>
      </c>
      <c r="AY111" s="162" t="s">
        <v>177</v>
      </c>
    </row>
    <row r="112" spans="1:65" s="13" customFormat="1">
      <c r="B112" s="161"/>
      <c r="D112" s="153" t="s">
        <v>193</v>
      </c>
      <c r="E112" s="162" t="s">
        <v>3</v>
      </c>
      <c r="F112" s="163" t="s">
        <v>1726</v>
      </c>
      <c r="H112" s="164">
        <v>10</v>
      </c>
      <c r="I112" s="165"/>
      <c r="L112" s="161"/>
      <c r="M112" s="166"/>
      <c r="N112" s="167"/>
      <c r="O112" s="167"/>
      <c r="P112" s="167"/>
      <c r="Q112" s="167"/>
      <c r="R112" s="167"/>
      <c r="S112" s="167"/>
      <c r="T112" s="168"/>
      <c r="AT112" s="162" t="s">
        <v>193</v>
      </c>
      <c r="AU112" s="162" t="s">
        <v>87</v>
      </c>
      <c r="AV112" s="13" t="s">
        <v>87</v>
      </c>
      <c r="AW112" s="13" t="s">
        <v>36</v>
      </c>
      <c r="AX112" s="13" t="s">
        <v>77</v>
      </c>
      <c r="AY112" s="162" t="s">
        <v>177</v>
      </c>
    </row>
    <row r="113" spans="1:65" s="16" customFormat="1">
      <c r="B113" s="184"/>
      <c r="D113" s="153" t="s">
        <v>193</v>
      </c>
      <c r="E113" s="185" t="s">
        <v>3</v>
      </c>
      <c r="F113" s="186" t="s">
        <v>201</v>
      </c>
      <c r="H113" s="187">
        <v>13</v>
      </c>
      <c r="I113" s="188"/>
      <c r="L113" s="184"/>
      <c r="M113" s="189"/>
      <c r="N113" s="190"/>
      <c r="O113" s="190"/>
      <c r="P113" s="190"/>
      <c r="Q113" s="190"/>
      <c r="R113" s="190"/>
      <c r="S113" s="190"/>
      <c r="T113" s="191"/>
      <c r="AT113" s="185" t="s">
        <v>193</v>
      </c>
      <c r="AU113" s="185" t="s">
        <v>87</v>
      </c>
      <c r="AV113" s="16" t="s">
        <v>185</v>
      </c>
      <c r="AW113" s="16" t="s">
        <v>36</v>
      </c>
      <c r="AX113" s="16" t="s">
        <v>85</v>
      </c>
      <c r="AY113" s="185" t="s">
        <v>177</v>
      </c>
    </row>
    <row r="114" spans="1:65" s="2" customFormat="1" ht="16.5" customHeight="1">
      <c r="A114" s="34"/>
      <c r="B114" s="139"/>
      <c r="C114" s="140" t="s">
        <v>233</v>
      </c>
      <c r="D114" s="140" t="s">
        <v>180</v>
      </c>
      <c r="E114" s="141" t="s">
        <v>1727</v>
      </c>
      <c r="F114" s="142" t="s">
        <v>1728</v>
      </c>
      <c r="G114" s="143" t="s">
        <v>332</v>
      </c>
      <c r="H114" s="144">
        <v>53.624000000000002</v>
      </c>
      <c r="I114" s="145"/>
      <c r="J114" s="146">
        <f>ROUND(I114*H114,2)</f>
        <v>0</v>
      </c>
      <c r="K114" s="142" t="s">
        <v>184</v>
      </c>
      <c r="L114" s="35"/>
      <c r="M114" s="147" t="s">
        <v>3</v>
      </c>
      <c r="N114" s="148" t="s">
        <v>48</v>
      </c>
      <c r="O114" s="55"/>
      <c r="P114" s="149">
        <f>O114*H114</f>
        <v>0</v>
      </c>
      <c r="Q114" s="149">
        <v>5.2499999999999998E-2</v>
      </c>
      <c r="R114" s="149">
        <f>Q114*H114</f>
        <v>2.8152599999999999</v>
      </c>
      <c r="S114" s="149">
        <v>0</v>
      </c>
      <c r="T114" s="150">
        <f>S114*H114</f>
        <v>0</v>
      </c>
      <c r="U114" s="34"/>
      <c r="V114" s="34"/>
      <c r="W114" s="34"/>
      <c r="X114" s="34"/>
      <c r="Y114" s="34"/>
      <c r="Z114" s="34"/>
      <c r="AA114" s="34"/>
      <c r="AB114" s="34"/>
      <c r="AC114" s="34"/>
      <c r="AD114" s="34"/>
      <c r="AE114" s="34"/>
      <c r="AR114" s="151" t="s">
        <v>185</v>
      </c>
      <c r="AT114" s="151" t="s">
        <v>180</v>
      </c>
      <c r="AU114" s="151" t="s">
        <v>87</v>
      </c>
      <c r="AY114" s="19" t="s">
        <v>177</v>
      </c>
      <c r="BE114" s="152">
        <f>IF(N114="základní",J114,0)</f>
        <v>0</v>
      </c>
      <c r="BF114" s="152">
        <f>IF(N114="snížená",J114,0)</f>
        <v>0</v>
      </c>
      <c r="BG114" s="152">
        <f>IF(N114="zákl. přenesená",J114,0)</f>
        <v>0</v>
      </c>
      <c r="BH114" s="152">
        <f>IF(N114="sníž. přenesená",J114,0)</f>
        <v>0</v>
      </c>
      <c r="BI114" s="152">
        <f>IF(N114="nulová",J114,0)</f>
        <v>0</v>
      </c>
      <c r="BJ114" s="19" t="s">
        <v>85</v>
      </c>
      <c r="BK114" s="152">
        <f>ROUND(I114*H114,2)</f>
        <v>0</v>
      </c>
      <c r="BL114" s="19" t="s">
        <v>185</v>
      </c>
      <c r="BM114" s="151" t="s">
        <v>1729</v>
      </c>
    </row>
    <row r="115" spans="1:65" s="2" customFormat="1">
      <c r="A115" s="34"/>
      <c r="B115" s="35"/>
      <c r="C115" s="34"/>
      <c r="D115" s="153" t="s">
        <v>187</v>
      </c>
      <c r="E115" s="34"/>
      <c r="F115" s="154" t="s">
        <v>1730</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187</v>
      </c>
      <c r="AU115" s="19" t="s">
        <v>87</v>
      </c>
    </row>
    <row r="116" spans="1:65" s="2" customFormat="1">
      <c r="A116" s="34"/>
      <c r="B116" s="35"/>
      <c r="C116" s="34"/>
      <c r="D116" s="158" t="s">
        <v>189</v>
      </c>
      <c r="E116" s="34"/>
      <c r="F116" s="159" t="s">
        <v>1731</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189</v>
      </c>
      <c r="AU116" s="19" t="s">
        <v>87</v>
      </c>
    </row>
    <row r="117" spans="1:65" s="13" customFormat="1">
      <c r="B117" s="161"/>
      <c r="D117" s="153" t="s">
        <v>193</v>
      </c>
      <c r="E117" s="162" t="s">
        <v>3</v>
      </c>
      <c r="F117" s="163" t="s">
        <v>1732</v>
      </c>
      <c r="H117" s="164">
        <v>62.292000000000002</v>
      </c>
      <c r="I117" s="165"/>
      <c r="L117" s="161"/>
      <c r="M117" s="166"/>
      <c r="N117" s="167"/>
      <c r="O117" s="167"/>
      <c r="P117" s="167"/>
      <c r="Q117" s="167"/>
      <c r="R117" s="167"/>
      <c r="S117" s="167"/>
      <c r="T117" s="168"/>
      <c r="AT117" s="162" t="s">
        <v>193</v>
      </c>
      <c r="AU117" s="162" t="s">
        <v>87</v>
      </c>
      <c r="AV117" s="13" t="s">
        <v>87</v>
      </c>
      <c r="AW117" s="13" t="s">
        <v>36</v>
      </c>
      <c r="AX117" s="13" t="s">
        <v>77</v>
      </c>
      <c r="AY117" s="162" t="s">
        <v>177</v>
      </c>
    </row>
    <row r="118" spans="1:65" s="13" customFormat="1">
      <c r="B118" s="161"/>
      <c r="D118" s="153" t="s">
        <v>193</v>
      </c>
      <c r="E118" s="162" t="s">
        <v>3</v>
      </c>
      <c r="F118" s="163" t="s">
        <v>1733</v>
      </c>
      <c r="H118" s="164">
        <v>-1.7729999999999999</v>
      </c>
      <c r="I118" s="165"/>
      <c r="L118" s="161"/>
      <c r="M118" s="166"/>
      <c r="N118" s="167"/>
      <c r="O118" s="167"/>
      <c r="P118" s="167"/>
      <c r="Q118" s="167"/>
      <c r="R118" s="167"/>
      <c r="S118" s="167"/>
      <c r="T118" s="168"/>
      <c r="AT118" s="162" t="s">
        <v>193</v>
      </c>
      <c r="AU118" s="162" t="s">
        <v>87</v>
      </c>
      <c r="AV118" s="13" t="s">
        <v>87</v>
      </c>
      <c r="AW118" s="13" t="s">
        <v>36</v>
      </c>
      <c r="AX118" s="13" t="s">
        <v>77</v>
      </c>
      <c r="AY118" s="162" t="s">
        <v>177</v>
      </c>
    </row>
    <row r="119" spans="1:65" s="13" customFormat="1">
      <c r="B119" s="161"/>
      <c r="D119" s="153" t="s">
        <v>193</v>
      </c>
      <c r="E119" s="162" t="s">
        <v>3</v>
      </c>
      <c r="F119" s="163" t="s">
        <v>1734</v>
      </c>
      <c r="H119" s="164">
        <v>-6.8949999999999996</v>
      </c>
      <c r="I119" s="165"/>
      <c r="L119" s="161"/>
      <c r="M119" s="166"/>
      <c r="N119" s="167"/>
      <c r="O119" s="167"/>
      <c r="P119" s="167"/>
      <c r="Q119" s="167"/>
      <c r="R119" s="167"/>
      <c r="S119" s="167"/>
      <c r="T119" s="168"/>
      <c r="AT119" s="162" t="s">
        <v>193</v>
      </c>
      <c r="AU119" s="162" t="s">
        <v>87</v>
      </c>
      <c r="AV119" s="13" t="s">
        <v>87</v>
      </c>
      <c r="AW119" s="13" t="s">
        <v>36</v>
      </c>
      <c r="AX119" s="13" t="s">
        <v>77</v>
      </c>
      <c r="AY119" s="162" t="s">
        <v>177</v>
      </c>
    </row>
    <row r="120" spans="1:65" s="16" customFormat="1">
      <c r="B120" s="184"/>
      <c r="D120" s="153" t="s">
        <v>193</v>
      </c>
      <c r="E120" s="185" t="s">
        <v>3</v>
      </c>
      <c r="F120" s="186" t="s">
        <v>201</v>
      </c>
      <c r="H120" s="187">
        <v>53.623999999999995</v>
      </c>
      <c r="I120" s="188"/>
      <c r="L120" s="184"/>
      <c r="M120" s="189"/>
      <c r="N120" s="190"/>
      <c r="O120" s="190"/>
      <c r="P120" s="190"/>
      <c r="Q120" s="190"/>
      <c r="R120" s="190"/>
      <c r="S120" s="190"/>
      <c r="T120" s="191"/>
      <c r="AT120" s="185" t="s">
        <v>193</v>
      </c>
      <c r="AU120" s="185" t="s">
        <v>87</v>
      </c>
      <c r="AV120" s="16" t="s">
        <v>185</v>
      </c>
      <c r="AW120" s="16" t="s">
        <v>36</v>
      </c>
      <c r="AX120" s="16" t="s">
        <v>85</v>
      </c>
      <c r="AY120" s="185" t="s">
        <v>177</v>
      </c>
    </row>
    <row r="121" spans="1:65" s="2" customFormat="1" ht="16.5" customHeight="1">
      <c r="A121" s="34"/>
      <c r="B121" s="139"/>
      <c r="C121" s="140" t="s">
        <v>241</v>
      </c>
      <c r="D121" s="140" t="s">
        <v>180</v>
      </c>
      <c r="E121" s="141" t="s">
        <v>1735</v>
      </c>
      <c r="F121" s="142" t="s">
        <v>1736</v>
      </c>
      <c r="G121" s="143" t="s">
        <v>332</v>
      </c>
      <c r="H121" s="144">
        <v>30.524999999999999</v>
      </c>
      <c r="I121" s="145"/>
      <c r="J121" s="146">
        <f>ROUND(I121*H121,2)</f>
        <v>0</v>
      </c>
      <c r="K121" s="142" t="s">
        <v>184</v>
      </c>
      <c r="L121" s="35"/>
      <c r="M121" s="147" t="s">
        <v>3</v>
      </c>
      <c r="N121" s="148" t="s">
        <v>48</v>
      </c>
      <c r="O121" s="55"/>
      <c r="P121" s="149">
        <f>O121*H121</f>
        <v>0</v>
      </c>
      <c r="Q121" s="149">
        <v>7.9210000000000003E-2</v>
      </c>
      <c r="R121" s="149">
        <f>Q121*H121</f>
        <v>2.4178852499999999</v>
      </c>
      <c r="S121" s="149">
        <v>0</v>
      </c>
      <c r="T121" s="150">
        <f>S121*H121</f>
        <v>0</v>
      </c>
      <c r="U121" s="34"/>
      <c r="V121" s="34"/>
      <c r="W121" s="34"/>
      <c r="X121" s="34"/>
      <c r="Y121" s="34"/>
      <c r="Z121" s="34"/>
      <c r="AA121" s="34"/>
      <c r="AB121" s="34"/>
      <c r="AC121" s="34"/>
      <c r="AD121" s="34"/>
      <c r="AE121" s="34"/>
      <c r="AR121" s="151" t="s">
        <v>185</v>
      </c>
      <c r="AT121" s="151" t="s">
        <v>180</v>
      </c>
      <c r="AU121" s="151" t="s">
        <v>87</v>
      </c>
      <c r="AY121" s="19" t="s">
        <v>177</v>
      </c>
      <c r="BE121" s="152">
        <f>IF(N121="základní",J121,0)</f>
        <v>0</v>
      </c>
      <c r="BF121" s="152">
        <f>IF(N121="snížená",J121,0)</f>
        <v>0</v>
      </c>
      <c r="BG121" s="152">
        <f>IF(N121="zákl. přenesená",J121,0)</f>
        <v>0</v>
      </c>
      <c r="BH121" s="152">
        <f>IF(N121="sníž. přenesená",J121,0)</f>
        <v>0</v>
      </c>
      <c r="BI121" s="152">
        <f>IF(N121="nulová",J121,0)</f>
        <v>0</v>
      </c>
      <c r="BJ121" s="19" t="s">
        <v>85</v>
      </c>
      <c r="BK121" s="152">
        <f>ROUND(I121*H121,2)</f>
        <v>0</v>
      </c>
      <c r="BL121" s="19" t="s">
        <v>185</v>
      </c>
      <c r="BM121" s="151" t="s">
        <v>1737</v>
      </c>
    </row>
    <row r="122" spans="1:65" s="2" customFormat="1">
      <c r="A122" s="34"/>
      <c r="B122" s="35"/>
      <c r="C122" s="34"/>
      <c r="D122" s="153" t="s">
        <v>187</v>
      </c>
      <c r="E122" s="34"/>
      <c r="F122" s="154" t="s">
        <v>1738</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187</v>
      </c>
      <c r="AU122" s="19" t="s">
        <v>87</v>
      </c>
    </row>
    <row r="123" spans="1:65" s="2" customFormat="1">
      <c r="A123" s="34"/>
      <c r="B123" s="35"/>
      <c r="C123" s="34"/>
      <c r="D123" s="158" t="s">
        <v>189</v>
      </c>
      <c r="E123" s="34"/>
      <c r="F123" s="159" t="s">
        <v>1739</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189</v>
      </c>
      <c r="AU123" s="19" t="s">
        <v>87</v>
      </c>
    </row>
    <row r="124" spans="1:65" s="13" customFormat="1">
      <c r="B124" s="161"/>
      <c r="D124" s="153" t="s">
        <v>193</v>
      </c>
      <c r="E124" s="162" t="s">
        <v>3</v>
      </c>
      <c r="F124" s="163" t="s">
        <v>1740</v>
      </c>
      <c r="H124" s="164">
        <v>35.055999999999997</v>
      </c>
      <c r="I124" s="165"/>
      <c r="L124" s="161"/>
      <c r="M124" s="166"/>
      <c r="N124" s="167"/>
      <c r="O124" s="167"/>
      <c r="P124" s="167"/>
      <c r="Q124" s="167"/>
      <c r="R124" s="167"/>
      <c r="S124" s="167"/>
      <c r="T124" s="168"/>
      <c r="AT124" s="162" t="s">
        <v>193</v>
      </c>
      <c r="AU124" s="162" t="s">
        <v>87</v>
      </c>
      <c r="AV124" s="13" t="s">
        <v>87</v>
      </c>
      <c r="AW124" s="13" t="s">
        <v>36</v>
      </c>
      <c r="AX124" s="13" t="s">
        <v>77</v>
      </c>
      <c r="AY124" s="162" t="s">
        <v>177</v>
      </c>
    </row>
    <row r="125" spans="1:65" s="13" customFormat="1">
      <c r="B125" s="161"/>
      <c r="D125" s="153" t="s">
        <v>193</v>
      </c>
      <c r="E125" s="162" t="s">
        <v>3</v>
      </c>
      <c r="F125" s="163" t="s">
        <v>1733</v>
      </c>
      <c r="H125" s="164">
        <v>-1.7729999999999999</v>
      </c>
      <c r="I125" s="165"/>
      <c r="L125" s="161"/>
      <c r="M125" s="166"/>
      <c r="N125" s="167"/>
      <c r="O125" s="167"/>
      <c r="P125" s="167"/>
      <c r="Q125" s="167"/>
      <c r="R125" s="167"/>
      <c r="S125" s="167"/>
      <c r="T125" s="168"/>
      <c r="AT125" s="162" t="s">
        <v>193</v>
      </c>
      <c r="AU125" s="162" t="s">
        <v>87</v>
      </c>
      <c r="AV125" s="13" t="s">
        <v>87</v>
      </c>
      <c r="AW125" s="13" t="s">
        <v>36</v>
      </c>
      <c r="AX125" s="13" t="s">
        <v>77</v>
      </c>
      <c r="AY125" s="162" t="s">
        <v>177</v>
      </c>
    </row>
    <row r="126" spans="1:65" s="13" customFormat="1">
      <c r="B126" s="161"/>
      <c r="D126" s="153" t="s">
        <v>193</v>
      </c>
      <c r="E126" s="162" t="s">
        <v>3</v>
      </c>
      <c r="F126" s="163" t="s">
        <v>1741</v>
      </c>
      <c r="H126" s="164">
        <v>-2.758</v>
      </c>
      <c r="I126" s="165"/>
      <c r="L126" s="161"/>
      <c r="M126" s="166"/>
      <c r="N126" s="167"/>
      <c r="O126" s="167"/>
      <c r="P126" s="167"/>
      <c r="Q126" s="167"/>
      <c r="R126" s="167"/>
      <c r="S126" s="167"/>
      <c r="T126" s="168"/>
      <c r="AT126" s="162" t="s">
        <v>193</v>
      </c>
      <c r="AU126" s="162" t="s">
        <v>87</v>
      </c>
      <c r="AV126" s="13" t="s">
        <v>87</v>
      </c>
      <c r="AW126" s="13" t="s">
        <v>36</v>
      </c>
      <c r="AX126" s="13" t="s">
        <v>77</v>
      </c>
      <c r="AY126" s="162" t="s">
        <v>177</v>
      </c>
    </row>
    <row r="127" spans="1:65" s="16" customFormat="1">
      <c r="B127" s="184"/>
      <c r="D127" s="153" t="s">
        <v>193</v>
      </c>
      <c r="E127" s="185" t="s">
        <v>3</v>
      </c>
      <c r="F127" s="186" t="s">
        <v>201</v>
      </c>
      <c r="H127" s="187">
        <v>30.524999999999995</v>
      </c>
      <c r="I127" s="188"/>
      <c r="L127" s="184"/>
      <c r="M127" s="189"/>
      <c r="N127" s="190"/>
      <c r="O127" s="190"/>
      <c r="P127" s="190"/>
      <c r="Q127" s="190"/>
      <c r="R127" s="190"/>
      <c r="S127" s="190"/>
      <c r="T127" s="191"/>
      <c r="AT127" s="185" t="s">
        <v>193</v>
      </c>
      <c r="AU127" s="185" t="s">
        <v>87</v>
      </c>
      <c r="AV127" s="16" t="s">
        <v>185</v>
      </c>
      <c r="AW127" s="16" t="s">
        <v>36</v>
      </c>
      <c r="AX127" s="16" t="s">
        <v>85</v>
      </c>
      <c r="AY127" s="185" t="s">
        <v>177</v>
      </c>
    </row>
    <row r="128" spans="1:65" s="2" customFormat="1" ht="16.5" customHeight="1">
      <c r="A128" s="34"/>
      <c r="B128" s="139"/>
      <c r="C128" s="140" t="s">
        <v>248</v>
      </c>
      <c r="D128" s="140" t="s">
        <v>180</v>
      </c>
      <c r="E128" s="141" t="s">
        <v>613</v>
      </c>
      <c r="F128" s="142" t="s">
        <v>961</v>
      </c>
      <c r="G128" s="143" t="s">
        <v>476</v>
      </c>
      <c r="H128" s="144">
        <v>126.4</v>
      </c>
      <c r="I128" s="145"/>
      <c r="J128" s="146">
        <f>ROUND(I128*H128,2)</f>
        <v>0</v>
      </c>
      <c r="K128" s="142" t="s">
        <v>244</v>
      </c>
      <c r="L128" s="35"/>
      <c r="M128" s="147" t="s">
        <v>3</v>
      </c>
      <c r="N128" s="148" t="s">
        <v>48</v>
      </c>
      <c r="O128" s="55"/>
      <c r="P128" s="149">
        <f>O128*H128</f>
        <v>0</v>
      </c>
      <c r="Q128" s="149">
        <v>2.0000000000000001E-4</v>
      </c>
      <c r="R128" s="149">
        <f>Q128*H128</f>
        <v>2.5280000000000004E-2</v>
      </c>
      <c r="S128" s="149">
        <v>0</v>
      </c>
      <c r="T128" s="150">
        <f>S128*H128</f>
        <v>0</v>
      </c>
      <c r="U128" s="34"/>
      <c r="V128" s="34"/>
      <c r="W128" s="34"/>
      <c r="X128" s="34"/>
      <c r="Y128" s="34"/>
      <c r="Z128" s="34"/>
      <c r="AA128" s="34"/>
      <c r="AB128" s="34"/>
      <c r="AC128" s="34"/>
      <c r="AD128" s="34"/>
      <c r="AE128" s="34"/>
      <c r="AR128" s="151" t="s">
        <v>185</v>
      </c>
      <c r="AT128" s="151" t="s">
        <v>180</v>
      </c>
      <c r="AU128" s="151" t="s">
        <v>87</v>
      </c>
      <c r="AY128" s="19" t="s">
        <v>177</v>
      </c>
      <c r="BE128" s="152">
        <f>IF(N128="základní",J128,0)</f>
        <v>0</v>
      </c>
      <c r="BF128" s="152">
        <f>IF(N128="snížená",J128,0)</f>
        <v>0</v>
      </c>
      <c r="BG128" s="152">
        <f>IF(N128="zákl. přenesená",J128,0)</f>
        <v>0</v>
      </c>
      <c r="BH128" s="152">
        <f>IF(N128="sníž. přenesená",J128,0)</f>
        <v>0</v>
      </c>
      <c r="BI128" s="152">
        <f>IF(N128="nulová",J128,0)</f>
        <v>0</v>
      </c>
      <c r="BJ128" s="19" t="s">
        <v>85</v>
      </c>
      <c r="BK128" s="152">
        <f>ROUND(I128*H128,2)</f>
        <v>0</v>
      </c>
      <c r="BL128" s="19" t="s">
        <v>185</v>
      </c>
      <c r="BM128" s="151" t="s">
        <v>1742</v>
      </c>
    </row>
    <row r="129" spans="1:65" s="2" customFormat="1">
      <c r="A129" s="34"/>
      <c r="B129" s="35"/>
      <c r="C129" s="34"/>
      <c r="D129" s="153" t="s">
        <v>187</v>
      </c>
      <c r="E129" s="34"/>
      <c r="F129" s="154" t="s">
        <v>616</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187</v>
      </c>
      <c r="AU129" s="19" t="s">
        <v>87</v>
      </c>
    </row>
    <row r="130" spans="1:65" s="2" customFormat="1" ht="68.25">
      <c r="A130" s="34"/>
      <c r="B130" s="35"/>
      <c r="C130" s="34"/>
      <c r="D130" s="153" t="s">
        <v>191</v>
      </c>
      <c r="E130" s="34"/>
      <c r="F130" s="160" t="s">
        <v>604</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191</v>
      </c>
      <c r="AU130" s="19" t="s">
        <v>87</v>
      </c>
    </row>
    <row r="131" spans="1:65" s="13" customFormat="1">
      <c r="B131" s="161"/>
      <c r="D131" s="153" t="s">
        <v>193</v>
      </c>
      <c r="E131" s="162" t="s">
        <v>3</v>
      </c>
      <c r="F131" s="163" t="s">
        <v>1743</v>
      </c>
      <c r="H131" s="164">
        <v>110.6</v>
      </c>
      <c r="I131" s="165"/>
      <c r="L131" s="161"/>
      <c r="M131" s="166"/>
      <c r="N131" s="167"/>
      <c r="O131" s="167"/>
      <c r="P131" s="167"/>
      <c r="Q131" s="167"/>
      <c r="R131" s="167"/>
      <c r="S131" s="167"/>
      <c r="T131" s="168"/>
      <c r="AT131" s="162" t="s">
        <v>193</v>
      </c>
      <c r="AU131" s="162" t="s">
        <v>87</v>
      </c>
      <c r="AV131" s="13" t="s">
        <v>87</v>
      </c>
      <c r="AW131" s="13" t="s">
        <v>36</v>
      </c>
      <c r="AX131" s="13" t="s">
        <v>77</v>
      </c>
      <c r="AY131" s="162" t="s">
        <v>177</v>
      </c>
    </row>
    <row r="132" spans="1:65" s="13" customFormat="1">
      <c r="B132" s="161"/>
      <c r="D132" s="153" t="s">
        <v>193</v>
      </c>
      <c r="E132" s="162" t="s">
        <v>3</v>
      </c>
      <c r="F132" s="163" t="s">
        <v>1744</v>
      </c>
      <c r="H132" s="164">
        <v>15.8</v>
      </c>
      <c r="I132" s="165"/>
      <c r="L132" s="161"/>
      <c r="M132" s="166"/>
      <c r="N132" s="167"/>
      <c r="O132" s="167"/>
      <c r="P132" s="167"/>
      <c r="Q132" s="167"/>
      <c r="R132" s="167"/>
      <c r="S132" s="167"/>
      <c r="T132" s="168"/>
      <c r="AT132" s="162" t="s">
        <v>193</v>
      </c>
      <c r="AU132" s="162" t="s">
        <v>87</v>
      </c>
      <c r="AV132" s="13" t="s">
        <v>87</v>
      </c>
      <c r="AW132" s="13" t="s">
        <v>36</v>
      </c>
      <c r="AX132" s="13" t="s">
        <v>77</v>
      </c>
      <c r="AY132" s="162" t="s">
        <v>177</v>
      </c>
    </row>
    <row r="133" spans="1:65" s="16" customFormat="1">
      <c r="B133" s="184"/>
      <c r="D133" s="153" t="s">
        <v>193</v>
      </c>
      <c r="E133" s="185" t="s">
        <v>3</v>
      </c>
      <c r="F133" s="186" t="s">
        <v>201</v>
      </c>
      <c r="H133" s="187">
        <v>126.39999999999999</v>
      </c>
      <c r="I133" s="188"/>
      <c r="L133" s="184"/>
      <c r="M133" s="189"/>
      <c r="N133" s="190"/>
      <c r="O133" s="190"/>
      <c r="P133" s="190"/>
      <c r="Q133" s="190"/>
      <c r="R133" s="190"/>
      <c r="S133" s="190"/>
      <c r="T133" s="191"/>
      <c r="AT133" s="185" t="s">
        <v>193</v>
      </c>
      <c r="AU133" s="185" t="s">
        <v>87</v>
      </c>
      <c r="AV133" s="16" t="s">
        <v>185</v>
      </c>
      <c r="AW133" s="16" t="s">
        <v>36</v>
      </c>
      <c r="AX133" s="16" t="s">
        <v>85</v>
      </c>
      <c r="AY133" s="185" t="s">
        <v>177</v>
      </c>
    </row>
    <row r="134" spans="1:65" s="12" customFormat="1" ht="22.9" customHeight="1">
      <c r="B134" s="126"/>
      <c r="D134" s="127" t="s">
        <v>76</v>
      </c>
      <c r="E134" s="137" t="s">
        <v>233</v>
      </c>
      <c r="F134" s="137" t="s">
        <v>626</v>
      </c>
      <c r="I134" s="129"/>
      <c r="J134" s="138">
        <f>BK134</f>
        <v>0</v>
      </c>
      <c r="L134" s="126"/>
      <c r="M134" s="131"/>
      <c r="N134" s="132"/>
      <c r="O134" s="132"/>
      <c r="P134" s="133">
        <f>SUM(P135:P170)</f>
        <v>0</v>
      </c>
      <c r="Q134" s="132"/>
      <c r="R134" s="133">
        <f>SUM(R135:R170)</f>
        <v>15.637023343499999</v>
      </c>
      <c r="S134" s="132"/>
      <c r="T134" s="134">
        <f>SUM(T135:T170)</f>
        <v>0</v>
      </c>
      <c r="AR134" s="127" t="s">
        <v>85</v>
      </c>
      <c r="AT134" s="135" t="s">
        <v>76</v>
      </c>
      <c r="AU134" s="135" t="s">
        <v>85</v>
      </c>
      <c r="AY134" s="127" t="s">
        <v>177</v>
      </c>
      <c r="BK134" s="136">
        <f>SUM(BK135:BK170)</f>
        <v>0</v>
      </c>
    </row>
    <row r="135" spans="1:65" s="2" customFormat="1" ht="16.5" customHeight="1">
      <c r="A135" s="34"/>
      <c r="B135" s="139"/>
      <c r="C135" s="140" t="s">
        <v>252</v>
      </c>
      <c r="D135" s="140" t="s">
        <v>180</v>
      </c>
      <c r="E135" s="141" t="s">
        <v>1745</v>
      </c>
      <c r="F135" s="142" t="s">
        <v>1746</v>
      </c>
      <c r="G135" s="143" t="s">
        <v>808</v>
      </c>
      <c r="H135" s="144">
        <v>5.8239999999999998</v>
      </c>
      <c r="I135" s="145"/>
      <c r="J135" s="146">
        <f>ROUND(I135*H135,2)</f>
        <v>0</v>
      </c>
      <c r="K135" s="142" t="s">
        <v>184</v>
      </c>
      <c r="L135" s="35"/>
      <c r="M135" s="147" t="s">
        <v>3</v>
      </c>
      <c r="N135" s="148" t="s">
        <v>48</v>
      </c>
      <c r="O135" s="55"/>
      <c r="P135" s="149">
        <f>O135*H135</f>
        <v>0</v>
      </c>
      <c r="Q135" s="149">
        <v>2.5249999999999999E-3</v>
      </c>
      <c r="R135" s="149">
        <f>Q135*H135</f>
        <v>1.4705599999999999E-2</v>
      </c>
      <c r="S135" s="149">
        <v>0</v>
      </c>
      <c r="T135" s="150">
        <f>S135*H135</f>
        <v>0</v>
      </c>
      <c r="U135" s="34"/>
      <c r="V135" s="34"/>
      <c r="W135" s="34"/>
      <c r="X135" s="34"/>
      <c r="Y135" s="34"/>
      <c r="Z135" s="34"/>
      <c r="AA135" s="34"/>
      <c r="AB135" s="34"/>
      <c r="AC135" s="34"/>
      <c r="AD135" s="34"/>
      <c r="AE135" s="34"/>
      <c r="AR135" s="151" t="s">
        <v>185</v>
      </c>
      <c r="AT135" s="151" t="s">
        <v>180</v>
      </c>
      <c r="AU135" s="151" t="s">
        <v>87</v>
      </c>
      <c r="AY135" s="19" t="s">
        <v>177</v>
      </c>
      <c r="BE135" s="152">
        <f>IF(N135="základní",J135,0)</f>
        <v>0</v>
      </c>
      <c r="BF135" s="152">
        <f>IF(N135="snížená",J135,0)</f>
        <v>0</v>
      </c>
      <c r="BG135" s="152">
        <f>IF(N135="zákl. přenesená",J135,0)</f>
        <v>0</v>
      </c>
      <c r="BH135" s="152">
        <f>IF(N135="sníž. přenesená",J135,0)</f>
        <v>0</v>
      </c>
      <c r="BI135" s="152">
        <f>IF(N135="nulová",J135,0)</f>
        <v>0</v>
      </c>
      <c r="BJ135" s="19" t="s">
        <v>85</v>
      </c>
      <c r="BK135" s="152">
        <f>ROUND(I135*H135,2)</f>
        <v>0</v>
      </c>
      <c r="BL135" s="19" t="s">
        <v>185</v>
      </c>
      <c r="BM135" s="151" t="s">
        <v>1747</v>
      </c>
    </row>
    <row r="136" spans="1:65" s="2" customFormat="1">
      <c r="A136" s="34"/>
      <c r="B136" s="35"/>
      <c r="C136" s="34"/>
      <c r="D136" s="153" t="s">
        <v>187</v>
      </c>
      <c r="E136" s="34"/>
      <c r="F136" s="154" t="s">
        <v>1748</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187</v>
      </c>
      <c r="AU136" s="19" t="s">
        <v>87</v>
      </c>
    </row>
    <row r="137" spans="1:65" s="2" customFormat="1">
      <c r="A137" s="34"/>
      <c r="B137" s="35"/>
      <c r="C137" s="34"/>
      <c r="D137" s="158" t="s">
        <v>189</v>
      </c>
      <c r="E137" s="34"/>
      <c r="F137" s="159" t="s">
        <v>1749</v>
      </c>
      <c r="G137" s="34"/>
      <c r="H137" s="34"/>
      <c r="I137" s="155"/>
      <c r="J137" s="34"/>
      <c r="K137" s="34"/>
      <c r="L137" s="35"/>
      <c r="M137" s="156"/>
      <c r="N137" s="157"/>
      <c r="O137" s="55"/>
      <c r="P137" s="55"/>
      <c r="Q137" s="55"/>
      <c r="R137" s="55"/>
      <c r="S137" s="55"/>
      <c r="T137" s="56"/>
      <c r="U137" s="34"/>
      <c r="V137" s="34"/>
      <c r="W137" s="34"/>
      <c r="X137" s="34"/>
      <c r="Y137" s="34"/>
      <c r="Z137" s="34"/>
      <c r="AA137" s="34"/>
      <c r="AB137" s="34"/>
      <c r="AC137" s="34"/>
      <c r="AD137" s="34"/>
      <c r="AE137" s="34"/>
      <c r="AT137" s="19" t="s">
        <v>189</v>
      </c>
      <c r="AU137" s="19" t="s">
        <v>87</v>
      </c>
    </row>
    <row r="138" spans="1:65" s="13" customFormat="1">
      <c r="B138" s="161"/>
      <c r="D138" s="153" t="s">
        <v>193</v>
      </c>
      <c r="E138" s="162" t="s">
        <v>3</v>
      </c>
      <c r="F138" s="163" t="s">
        <v>1750</v>
      </c>
      <c r="H138" s="164">
        <v>5.8239999999999998</v>
      </c>
      <c r="I138" s="165"/>
      <c r="L138" s="161"/>
      <c r="M138" s="166"/>
      <c r="N138" s="167"/>
      <c r="O138" s="167"/>
      <c r="P138" s="167"/>
      <c r="Q138" s="167"/>
      <c r="R138" s="167"/>
      <c r="S138" s="167"/>
      <c r="T138" s="168"/>
      <c r="AT138" s="162" t="s">
        <v>193</v>
      </c>
      <c r="AU138" s="162" t="s">
        <v>87</v>
      </c>
      <c r="AV138" s="13" t="s">
        <v>87</v>
      </c>
      <c r="AW138" s="13" t="s">
        <v>36</v>
      </c>
      <c r="AX138" s="13" t="s">
        <v>85</v>
      </c>
      <c r="AY138" s="162" t="s">
        <v>177</v>
      </c>
    </row>
    <row r="139" spans="1:65" s="2" customFormat="1" ht="16.5" customHeight="1">
      <c r="A139" s="34"/>
      <c r="B139" s="139"/>
      <c r="C139" s="140" t="s">
        <v>258</v>
      </c>
      <c r="D139" s="140" t="s">
        <v>180</v>
      </c>
      <c r="E139" s="141" t="s">
        <v>1751</v>
      </c>
      <c r="F139" s="142" t="s">
        <v>1752</v>
      </c>
      <c r="G139" s="143" t="s">
        <v>332</v>
      </c>
      <c r="H139" s="144">
        <v>291.2</v>
      </c>
      <c r="I139" s="145"/>
      <c r="J139" s="146">
        <f>ROUND(I139*H139,2)</f>
        <v>0</v>
      </c>
      <c r="K139" s="142" t="s">
        <v>184</v>
      </c>
      <c r="L139" s="35"/>
      <c r="M139" s="147" t="s">
        <v>3</v>
      </c>
      <c r="N139" s="148" t="s">
        <v>48</v>
      </c>
      <c r="O139" s="55"/>
      <c r="P139" s="149">
        <f>O139*H139</f>
        <v>0</v>
      </c>
      <c r="Q139" s="149">
        <v>4.0800000000000003E-2</v>
      </c>
      <c r="R139" s="149">
        <f>Q139*H139</f>
        <v>11.88096</v>
      </c>
      <c r="S139" s="149">
        <v>0</v>
      </c>
      <c r="T139" s="150">
        <f>S139*H139</f>
        <v>0</v>
      </c>
      <c r="U139" s="34"/>
      <c r="V139" s="34"/>
      <c r="W139" s="34"/>
      <c r="X139" s="34"/>
      <c r="Y139" s="34"/>
      <c r="Z139" s="34"/>
      <c r="AA139" s="34"/>
      <c r="AB139" s="34"/>
      <c r="AC139" s="34"/>
      <c r="AD139" s="34"/>
      <c r="AE139" s="34"/>
      <c r="AR139" s="151" t="s">
        <v>185</v>
      </c>
      <c r="AT139" s="151" t="s">
        <v>180</v>
      </c>
      <c r="AU139" s="151" t="s">
        <v>87</v>
      </c>
      <c r="AY139" s="19" t="s">
        <v>177</v>
      </c>
      <c r="BE139" s="152">
        <f>IF(N139="základní",J139,0)</f>
        <v>0</v>
      </c>
      <c r="BF139" s="152">
        <f>IF(N139="snížená",J139,0)</f>
        <v>0</v>
      </c>
      <c r="BG139" s="152">
        <f>IF(N139="zákl. přenesená",J139,0)</f>
        <v>0</v>
      </c>
      <c r="BH139" s="152">
        <f>IF(N139="sníž. přenesená",J139,0)</f>
        <v>0</v>
      </c>
      <c r="BI139" s="152">
        <f>IF(N139="nulová",J139,0)</f>
        <v>0</v>
      </c>
      <c r="BJ139" s="19" t="s">
        <v>85</v>
      </c>
      <c r="BK139" s="152">
        <f>ROUND(I139*H139,2)</f>
        <v>0</v>
      </c>
      <c r="BL139" s="19" t="s">
        <v>185</v>
      </c>
      <c r="BM139" s="151" t="s">
        <v>1753</v>
      </c>
    </row>
    <row r="140" spans="1:65" s="2" customFormat="1">
      <c r="A140" s="34"/>
      <c r="B140" s="35"/>
      <c r="C140" s="34"/>
      <c r="D140" s="153" t="s">
        <v>187</v>
      </c>
      <c r="E140" s="34"/>
      <c r="F140" s="154" t="s">
        <v>1754</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187</v>
      </c>
      <c r="AU140" s="19" t="s">
        <v>87</v>
      </c>
    </row>
    <row r="141" spans="1:65" s="2" customFormat="1">
      <c r="A141" s="34"/>
      <c r="B141" s="35"/>
      <c r="C141" s="34"/>
      <c r="D141" s="158" t="s">
        <v>189</v>
      </c>
      <c r="E141" s="34"/>
      <c r="F141" s="159" t="s">
        <v>1755</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189</v>
      </c>
      <c r="AU141" s="19" t="s">
        <v>87</v>
      </c>
    </row>
    <row r="142" spans="1:65" s="13" customFormat="1">
      <c r="B142" s="161"/>
      <c r="D142" s="153" t="s">
        <v>193</v>
      </c>
      <c r="E142" s="162" t="s">
        <v>3</v>
      </c>
      <c r="F142" s="163" t="s">
        <v>1756</v>
      </c>
      <c r="H142" s="164">
        <v>291.2</v>
      </c>
      <c r="I142" s="165"/>
      <c r="L142" s="161"/>
      <c r="M142" s="166"/>
      <c r="N142" s="167"/>
      <c r="O142" s="167"/>
      <c r="P142" s="167"/>
      <c r="Q142" s="167"/>
      <c r="R142" s="167"/>
      <c r="S142" s="167"/>
      <c r="T142" s="168"/>
      <c r="AT142" s="162" t="s">
        <v>193</v>
      </c>
      <c r="AU142" s="162" t="s">
        <v>87</v>
      </c>
      <c r="AV142" s="13" t="s">
        <v>87</v>
      </c>
      <c r="AW142" s="13" t="s">
        <v>36</v>
      </c>
      <c r="AX142" s="13" t="s">
        <v>85</v>
      </c>
      <c r="AY142" s="162" t="s">
        <v>177</v>
      </c>
    </row>
    <row r="143" spans="1:65" s="2" customFormat="1" ht="21.75" customHeight="1">
      <c r="A143" s="34"/>
      <c r="B143" s="139"/>
      <c r="C143" s="140" t="s">
        <v>265</v>
      </c>
      <c r="D143" s="140" t="s">
        <v>180</v>
      </c>
      <c r="E143" s="141" t="s">
        <v>1757</v>
      </c>
      <c r="F143" s="142" t="s">
        <v>1758</v>
      </c>
      <c r="G143" s="143" t="s">
        <v>476</v>
      </c>
      <c r="H143" s="144">
        <v>158.405</v>
      </c>
      <c r="I143" s="145"/>
      <c r="J143" s="146">
        <f>ROUND(I143*H143,2)</f>
        <v>0</v>
      </c>
      <c r="K143" s="142" t="s">
        <v>184</v>
      </c>
      <c r="L143" s="35"/>
      <c r="M143" s="147" t="s">
        <v>3</v>
      </c>
      <c r="N143" s="148" t="s">
        <v>48</v>
      </c>
      <c r="O143" s="55"/>
      <c r="P143" s="149">
        <f>O143*H143</f>
        <v>0</v>
      </c>
      <c r="Q143" s="149">
        <v>2.0999999999999999E-5</v>
      </c>
      <c r="R143" s="149">
        <f>Q143*H143</f>
        <v>3.326505E-3</v>
      </c>
      <c r="S143" s="149">
        <v>0</v>
      </c>
      <c r="T143" s="150">
        <f>S143*H143</f>
        <v>0</v>
      </c>
      <c r="U143" s="34"/>
      <c r="V143" s="34"/>
      <c r="W143" s="34"/>
      <c r="X143" s="34"/>
      <c r="Y143" s="34"/>
      <c r="Z143" s="34"/>
      <c r="AA143" s="34"/>
      <c r="AB143" s="34"/>
      <c r="AC143" s="34"/>
      <c r="AD143" s="34"/>
      <c r="AE143" s="34"/>
      <c r="AR143" s="151" t="s">
        <v>185</v>
      </c>
      <c r="AT143" s="151" t="s">
        <v>180</v>
      </c>
      <c r="AU143" s="151" t="s">
        <v>87</v>
      </c>
      <c r="AY143" s="19" t="s">
        <v>177</v>
      </c>
      <c r="BE143" s="152">
        <f>IF(N143="základní",J143,0)</f>
        <v>0</v>
      </c>
      <c r="BF143" s="152">
        <f>IF(N143="snížená",J143,0)</f>
        <v>0</v>
      </c>
      <c r="BG143" s="152">
        <f>IF(N143="zákl. přenesená",J143,0)</f>
        <v>0</v>
      </c>
      <c r="BH143" s="152">
        <f>IF(N143="sníž. přenesená",J143,0)</f>
        <v>0</v>
      </c>
      <c r="BI143" s="152">
        <f>IF(N143="nulová",J143,0)</f>
        <v>0</v>
      </c>
      <c r="BJ143" s="19" t="s">
        <v>85</v>
      </c>
      <c r="BK143" s="152">
        <f>ROUND(I143*H143,2)</f>
        <v>0</v>
      </c>
      <c r="BL143" s="19" t="s">
        <v>185</v>
      </c>
      <c r="BM143" s="151" t="s">
        <v>1759</v>
      </c>
    </row>
    <row r="144" spans="1:65" s="2" customFormat="1">
      <c r="A144" s="34"/>
      <c r="B144" s="35"/>
      <c r="C144" s="34"/>
      <c r="D144" s="153" t="s">
        <v>187</v>
      </c>
      <c r="E144" s="34"/>
      <c r="F144" s="154" t="s">
        <v>1760</v>
      </c>
      <c r="G144" s="34"/>
      <c r="H144" s="34"/>
      <c r="I144" s="155"/>
      <c r="J144" s="34"/>
      <c r="K144" s="34"/>
      <c r="L144" s="35"/>
      <c r="M144" s="156"/>
      <c r="N144" s="157"/>
      <c r="O144" s="55"/>
      <c r="P144" s="55"/>
      <c r="Q144" s="55"/>
      <c r="R144" s="55"/>
      <c r="S144" s="55"/>
      <c r="T144" s="56"/>
      <c r="U144" s="34"/>
      <c r="V144" s="34"/>
      <c r="W144" s="34"/>
      <c r="X144" s="34"/>
      <c r="Y144" s="34"/>
      <c r="Z144" s="34"/>
      <c r="AA144" s="34"/>
      <c r="AB144" s="34"/>
      <c r="AC144" s="34"/>
      <c r="AD144" s="34"/>
      <c r="AE144" s="34"/>
      <c r="AT144" s="19" t="s">
        <v>187</v>
      </c>
      <c r="AU144" s="19" t="s">
        <v>87</v>
      </c>
    </row>
    <row r="145" spans="1:65" s="2" customFormat="1">
      <c r="A145" s="34"/>
      <c r="B145" s="35"/>
      <c r="C145" s="34"/>
      <c r="D145" s="158" t="s">
        <v>189</v>
      </c>
      <c r="E145" s="34"/>
      <c r="F145" s="159" t="s">
        <v>1761</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189</v>
      </c>
      <c r="AU145" s="19" t="s">
        <v>87</v>
      </c>
    </row>
    <row r="146" spans="1:65" s="13" customFormat="1">
      <c r="B146" s="161"/>
      <c r="D146" s="153" t="s">
        <v>193</v>
      </c>
      <c r="E146" s="162" t="s">
        <v>3</v>
      </c>
      <c r="F146" s="163" t="s">
        <v>1762</v>
      </c>
      <c r="H146" s="164">
        <v>39.18</v>
      </c>
      <c r="I146" s="165"/>
      <c r="L146" s="161"/>
      <c r="M146" s="166"/>
      <c r="N146" s="167"/>
      <c r="O146" s="167"/>
      <c r="P146" s="167"/>
      <c r="Q146" s="167"/>
      <c r="R146" s="167"/>
      <c r="S146" s="167"/>
      <c r="T146" s="168"/>
      <c r="AT146" s="162" t="s">
        <v>193</v>
      </c>
      <c r="AU146" s="162" t="s">
        <v>87</v>
      </c>
      <c r="AV146" s="13" t="s">
        <v>87</v>
      </c>
      <c r="AW146" s="13" t="s">
        <v>36</v>
      </c>
      <c r="AX146" s="13" t="s">
        <v>77</v>
      </c>
      <c r="AY146" s="162" t="s">
        <v>177</v>
      </c>
    </row>
    <row r="147" spans="1:65" s="13" customFormat="1">
      <c r="B147" s="161"/>
      <c r="D147" s="153" t="s">
        <v>193</v>
      </c>
      <c r="E147" s="162" t="s">
        <v>3</v>
      </c>
      <c r="F147" s="163" t="s">
        <v>1763</v>
      </c>
      <c r="H147" s="164">
        <v>45.91</v>
      </c>
      <c r="I147" s="165"/>
      <c r="L147" s="161"/>
      <c r="M147" s="166"/>
      <c r="N147" s="167"/>
      <c r="O147" s="167"/>
      <c r="P147" s="167"/>
      <c r="Q147" s="167"/>
      <c r="R147" s="167"/>
      <c r="S147" s="167"/>
      <c r="T147" s="168"/>
      <c r="AT147" s="162" t="s">
        <v>193</v>
      </c>
      <c r="AU147" s="162" t="s">
        <v>87</v>
      </c>
      <c r="AV147" s="13" t="s">
        <v>87</v>
      </c>
      <c r="AW147" s="13" t="s">
        <v>36</v>
      </c>
      <c r="AX147" s="13" t="s">
        <v>77</v>
      </c>
      <c r="AY147" s="162" t="s">
        <v>177</v>
      </c>
    </row>
    <row r="148" spans="1:65" s="13" customFormat="1">
      <c r="B148" s="161"/>
      <c r="D148" s="153" t="s">
        <v>193</v>
      </c>
      <c r="E148" s="162" t="s">
        <v>3</v>
      </c>
      <c r="F148" s="163" t="s">
        <v>1764</v>
      </c>
      <c r="H148" s="164">
        <v>43.844999999999999</v>
      </c>
      <c r="I148" s="165"/>
      <c r="L148" s="161"/>
      <c r="M148" s="166"/>
      <c r="N148" s="167"/>
      <c r="O148" s="167"/>
      <c r="P148" s="167"/>
      <c r="Q148" s="167"/>
      <c r="R148" s="167"/>
      <c r="S148" s="167"/>
      <c r="T148" s="168"/>
      <c r="AT148" s="162" t="s">
        <v>193</v>
      </c>
      <c r="AU148" s="162" t="s">
        <v>87</v>
      </c>
      <c r="AV148" s="13" t="s">
        <v>87</v>
      </c>
      <c r="AW148" s="13" t="s">
        <v>36</v>
      </c>
      <c r="AX148" s="13" t="s">
        <v>77</v>
      </c>
      <c r="AY148" s="162" t="s">
        <v>177</v>
      </c>
    </row>
    <row r="149" spans="1:65" s="13" customFormat="1">
      <c r="B149" s="161"/>
      <c r="D149" s="153" t="s">
        <v>193</v>
      </c>
      <c r="E149" s="162" t="s">
        <v>3</v>
      </c>
      <c r="F149" s="163" t="s">
        <v>1765</v>
      </c>
      <c r="H149" s="164">
        <v>29.47</v>
      </c>
      <c r="I149" s="165"/>
      <c r="L149" s="161"/>
      <c r="M149" s="166"/>
      <c r="N149" s="167"/>
      <c r="O149" s="167"/>
      <c r="P149" s="167"/>
      <c r="Q149" s="167"/>
      <c r="R149" s="167"/>
      <c r="S149" s="167"/>
      <c r="T149" s="168"/>
      <c r="AT149" s="162" t="s">
        <v>193</v>
      </c>
      <c r="AU149" s="162" t="s">
        <v>87</v>
      </c>
      <c r="AV149" s="13" t="s">
        <v>87</v>
      </c>
      <c r="AW149" s="13" t="s">
        <v>36</v>
      </c>
      <c r="AX149" s="13" t="s">
        <v>77</v>
      </c>
      <c r="AY149" s="162" t="s">
        <v>177</v>
      </c>
    </row>
    <row r="150" spans="1:65" s="16" customFormat="1">
      <c r="B150" s="184"/>
      <c r="D150" s="153" t="s">
        <v>193</v>
      </c>
      <c r="E150" s="185" t="s">
        <v>3</v>
      </c>
      <c r="F150" s="186" t="s">
        <v>201</v>
      </c>
      <c r="H150" s="187">
        <v>158.405</v>
      </c>
      <c r="I150" s="188"/>
      <c r="L150" s="184"/>
      <c r="M150" s="189"/>
      <c r="N150" s="190"/>
      <c r="O150" s="190"/>
      <c r="P150" s="190"/>
      <c r="Q150" s="190"/>
      <c r="R150" s="190"/>
      <c r="S150" s="190"/>
      <c r="T150" s="191"/>
      <c r="AT150" s="185" t="s">
        <v>193</v>
      </c>
      <c r="AU150" s="185" t="s">
        <v>87</v>
      </c>
      <c r="AV150" s="16" t="s">
        <v>185</v>
      </c>
      <c r="AW150" s="16" t="s">
        <v>36</v>
      </c>
      <c r="AX150" s="16" t="s">
        <v>85</v>
      </c>
      <c r="AY150" s="185" t="s">
        <v>177</v>
      </c>
    </row>
    <row r="151" spans="1:65" s="2" customFormat="1" ht="16.5" customHeight="1">
      <c r="A151" s="34"/>
      <c r="B151" s="139"/>
      <c r="C151" s="140" t="s">
        <v>271</v>
      </c>
      <c r="D151" s="140" t="s">
        <v>180</v>
      </c>
      <c r="E151" s="141" t="s">
        <v>1766</v>
      </c>
      <c r="F151" s="142" t="s">
        <v>1767</v>
      </c>
      <c r="G151" s="143" t="s">
        <v>236</v>
      </c>
      <c r="H151" s="144">
        <v>5</v>
      </c>
      <c r="I151" s="145"/>
      <c r="J151" s="146">
        <f>ROUND(I151*H151,2)</f>
        <v>0</v>
      </c>
      <c r="K151" s="142" t="s">
        <v>184</v>
      </c>
      <c r="L151" s="35"/>
      <c r="M151" s="147" t="s">
        <v>3</v>
      </c>
      <c r="N151" s="148" t="s">
        <v>48</v>
      </c>
      <c r="O151" s="55"/>
      <c r="P151" s="149">
        <f>O151*H151</f>
        <v>0</v>
      </c>
      <c r="Q151" s="149">
        <v>4.8161770000000002E-4</v>
      </c>
      <c r="R151" s="149">
        <f>Q151*H151</f>
        <v>2.4080885000000002E-3</v>
      </c>
      <c r="S151" s="149">
        <v>0</v>
      </c>
      <c r="T151" s="150">
        <f>S151*H151</f>
        <v>0</v>
      </c>
      <c r="U151" s="34"/>
      <c r="V151" s="34"/>
      <c r="W151" s="34"/>
      <c r="X151" s="34"/>
      <c r="Y151" s="34"/>
      <c r="Z151" s="34"/>
      <c r="AA151" s="34"/>
      <c r="AB151" s="34"/>
      <c r="AC151" s="34"/>
      <c r="AD151" s="34"/>
      <c r="AE151" s="34"/>
      <c r="AR151" s="151" t="s">
        <v>185</v>
      </c>
      <c r="AT151" s="151" t="s">
        <v>180</v>
      </c>
      <c r="AU151" s="151" t="s">
        <v>87</v>
      </c>
      <c r="AY151" s="19" t="s">
        <v>177</v>
      </c>
      <c r="BE151" s="152">
        <f>IF(N151="základní",J151,0)</f>
        <v>0</v>
      </c>
      <c r="BF151" s="152">
        <f>IF(N151="snížená",J151,0)</f>
        <v>0</v>
      </c>
      <c r="BG151" s="152">
        <f>IF(N151="zákl. přenesená",J151,0)</f>
        <v>0</v>
      </c>
      <c r="BH151" s="152">
        <f>IF(N151="sníž. přenesená",J151,0)</f>
        <v>0</v>
      </c>
      <c r="BI151" s="152">
        <f>IF(N151="nulová",J151,0)</f>
        <v>0</v>
      </c>
      <c r="BJ151" s="19" t="s">
        <v>85</v>
      </c>
      <c r="BK151" s="152">
        <f>ROUND(I151*H151,2)</f>
        <v>0</v>
      </c>
      <c r="BL151" s="19" t="s">
        <v>185</v>
      </c>
      <c r="BM151" s="151" t="s">
        <v>1768</v>
      </c>
    </row>
    <row r="152" spans="1:65" s="2" customFormat="1" ht="19.5">
      <c r="A152" s="34"/>
      <c r="B152" s="35"/>
      <c r="C152" s="34"/>
      <c r="D152" s="153" t="s">
        <v>187</v>
      </c>
      <c r="E152" s="34"/>
      <c r="F152" s="154" t="s">
        <v>1769</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187</v>
      </c>
      <c r="AU152" s="19" t="s">
        <v>87</v>
      </c>
    </row>
    <row r="153" spans="1:65" s="2" customFormat="1">
      <c r="A153" s="34"/>
      <c r="B153" s="35"/>
      <c r="C153" s="34"/>
      <c r="D153" s="158" t="s">
        <v>189</v>
      </c>
      <c r="E153" s="34"/>
      <c r="F153" s="159" t="s">
        <v>1770</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189</v>
      </c>
      <c r="AU153" s="19" t="s">
        <v>87</v>
      </c>
    </row>
    <row r="154" spans="1:65" s="2" customFormat="1" ht="126.75">
      <c r="A154" s="34"/>
      <c r="B154" s="35"/>
      <c r="C154" s="34"/>
      <c r="D154" s="153" t="s">
        <v>191</v>
      </c>
      <c r="E154" s="34"/>
      <c r="F154" s="160" t="s">
        <v>1771</v>
      </c>
      <c r="G154" s="34"/>
      <c r="H154" s="34"/>
      <c r="I154" s="155"/>
      <c r="J154" s="34"/>
      <c r="K154" s="34"/>
      <c r="L154" s="35"/>
      <c r="M154" s="156"/>
      <c r="N154" s="157"/>
      <c r="O154" s="55"/>
      <c r="P154" s="55"/>
      <c r="Q154" s="55"/>
      <c r="R154" s="55"/>
      <c r="S154" s="55"/>
      <c r="T154" s="56"/>
      <c r="U154" s="34"/>
      <c r="V154" s="34"/>
      <c r="W154" s="34"/>
      <c r="X154" s="34"/>
      <c r="Y154" s="34"/>
      <c r="Z154" s="34"/>
      <c r="AA154" s="34"/>
      <c r="AB154" s="34"/>
      <c r="AC154" s="34"/>
      <c r="AD154" s="34"/>
      <c r="AE154" s="34"/>
      <c r="AT154" s="19" t="s">
        <v>191</v>
      </c>
      <c r="AU154" s="19" t="s">
        <v>87</v>
      </c>
    </row>
    <row r="155" spans="1:65" s="2" customFormat="1" ht="16.5" customHeight="1">
      <c r="A155" s="34"/>
      <c r="B155" s="139"/>
      <c r="C155" s="195" t="s">
        <v>277</v>
      </c>
      <c r="D155" s="195" t="s">
        <v>484</v>
      </c>
      <c r="E155" s="196" t="s">
        <v>1772</v>
      </c>
      <c r="F155" s="197" t="s">
        <v>1773</v>
      </c>
      <c r="G155" s="198" t="s">
        <v>236</v>
      </c>
      <c r="H155" s="199">
        <v>5</v>
      </c>
      <c r="I155" s="200"/>
      <c r="J155" s="201">
        <f>ROUND(I155*H155,2)</f>
        <v>0</v>
      </c>
      <c r="K155" s="197" t="s">
        <v>184</v>
      </c>
      <c r="L155" s="202"/>
      <c r="M155" s="203" t="s">
        <v>3</v>
      </c>
      <c r="N155" s="204" t="s">
        <v>48</v>
      </c>
      <c r="O155" s="55"/>
      <c r="P155" s="149">
        <f>O155*H155</f>
        <v>0</v>
      </c>
      <c r="Q155" s="149">
        <v>1.225E-2</v>
      </c>
      <c r="R155" s="149">
        <f>Q155*H155</f>
        <v>6.1249999999999999E-2</v>
      </c>
      <c r="S155" s="149">
        <v>0</v>
      </c>
      <c r="T155" s="150">
        <f>S155*H155</f>
        <v>0</v>
      </c>
      <c r="U155" s="34"/>
      <c r="V155" s="34"/>
      <c r="W155" s="34"/>
      <c r="X155" s="34"/>
      <c r="Y155" s="34"/>
      <c r="Z155" s="34"/>
      <c r="AA155" s="34"/>
      <c r="AB155" s="34"/>
      <c r="AC155" s="34"/>
      <c r="AD155" s="34"/>
      <c r="AE155" s="34"/>
      <c r="AR155" s="151" t="s">
        <v>248</v>
      </c>
      <c r="AT155" s="151" t="s">
        <v>484</v>
      </c>
      <c r="AU155" s="151" t="s">
        <v>87</v>
      </c>
      <c r="AY155" s="19" t="s">
        <v>177</v>
      </c>
      <c r="BE155" s="152">
        <f>IF(N155="základní",J155,0)</f>
        <v>0</v>
      </c>
      <c r="BF155" s="152">
        <f>IF(N155="snížená",J155,0)</f>
        <v>0</v>
      </c>
      <c r="BG155" s="152">
        <f>IF(N155="zákl. přenesená",J155,0)</f>
        <v>0</v>
      </c>
      <c r="BH155" s="152">
        <f>IF(N155="sníž. přenesená",J155,0)</f>
        <v>0</v>
      </c>
      <c r="BI155" s="152">
        <f>IF(N155="nulová",J155,0)</f>
        <v>0</v>
      </c>
      <c r="BJ155" s="19" t="s">
        <v>85</v>
      </c>
      <c r="BK155" s="152">
        <f>ROUND(I155*H155,2)</f>
        <v>0</v>
      </c>
      <c r="BL155" s="19" t="s">
        <v>185</v>
      </c>
      <c r="BM155" s="151" t="s">
        <v>1774</v>
      </c>
    </row>
    <row r="156" spans="1:65" s="2" customFormat="1">
      <c r="A156" s="34"/>
      <c r="B156" s="35"/>
      <c r="C156" s="34"/>
      <c r="D156" s="153" t="s">
        <v>187</v>
      </c>
      <c r="E156" s="34"/>
      <c r="F156" s="154" t="s">
        <v>1773</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187</v>
      </c>
      <c r="AU156" s="19" t="s">
        <v>87</v>
      </c>
    </row>
    <row r="157" spans="1:65" s="2" customFormat="1" ht="16.5" customHeight="1">
      <c r="A157" s="34"/>
      <c r="B157" s="139"/>
      <c r="C157" s="140" t="s">
        <v>283</v>
      </c>
      <c r="D157" s="140" t="s">
        <v>180</v>
      </c>
      <c r="E157" s="141" t="s">
        <v>1775</v>
      </c>
      <c r="F157" s="142" t="s">
        <v>1776</v>
      </c>
      <c r="G157" s="143" t="s">
        <v>236</v>
      </c>
      <c r="H157" s="144">
        <v>3</v>
      </c>
      <c r="I157" s="145"/>
      <c r="J157" s="146">
        <f>ROUND(I157*H157,2)</f>
        <v>0</v>
      </c>
      <c r="K157" s="142" t="s">
        <v>184</v>
      </c>
      <c r="L157" s="35"/>
      <c r="M157" s="147" t="s">
        <v>3</v>
      </c>
      <c r="N157" s="148" t="s">
        <v>48</v>
      </c>
      <c r="O157" s="55"/>
      <c r="P157" s="149">
        <f>O157*H157</f>
        <v>0</v>
      </c>
      <c r="Q157" s="149">
        <v>0.44170336999999998</v>
      </c>
      <c r="R157" s="149">
        <f>Q157*H157</f>
        <v>1.32511011</v>
      </c>
      <c r="S157" s="149">
        <v>0</v>
      </c>
      <c r="T157" s="150">
        <f>S157*H157</f>
        <v>0</v>
      </c>
      <c r="U157" s="34"/>
      <c r="V157" s="34"/>
      <c r="W157" s="34"/>
      <c r="X157" s="34"/>
      <c r="Y157" s="34"/>
      <c r="Z157" s="34"/>
      <c r="AA157" s="34"/>
      <c r="AB157" s="34"/>
      <c r="AC157" s="34"/>
      <c r="AD157" s="34"/>
      <c r="AE157" s="34"/>
      <c r="AR157" s="151" t="s">
        <v>185</v>
      </c>
      <c r="AT157" s="151" t="s">
        <v>180</v>
      </c>
      <c r="AU157" s="151" t="s">
        <v>87</v>
      </c>
      <c r="AY157" s="19" t="s">
        <v>177</v>
      </c>
      <c r="BE157" s="152">
        <f>IF(N157="základní",J157,0)</f>
        <v>0</v>
      </c>
      <c r="BF157" s="152">
        <f>IF(N157="snížená",J157,0)</f>
        <v>0</v>
      </c>
      <c r="BG157" s="152">
        <f>IF(N157="zákl. přenesená",J157,0)</f>
        <v>0</v>
      </c>
      <c r="BH157" s="152">
        <f>IF(N157="sníž. přenesená",J157,0)</f>
        <v>0</v>
      </c>
      <c r="BI157" s="152">
        <f>IF(N157="nulová",J157,0)</f>
        <v>0</v>
      </c>
      <c r="BJ157" s="19" t="s">
        <v>85</v>
      </c>
      <c r="BK157" s="152">
        <f>ROUND(I157*H157,2)</f>
        <v>0</v>
      </c>
      <c r="BL157" s="19" t="s">
        <v>185</v>
      </c>
      <c r="BM157" s="151" t="s">
        <v>1777</v>
      </c>
    </row>
    <row r="158" spans="1:65" s="2" customFormat="1" ht="19.5">
      <c r="A158" s="34"/>
      <c r="B158" s="35"/>
      <c r="C158" s="34"/>
      <c r="D158" s="153" t="s">
        <v>187</v>
      </c>
      <c r="E158" s="34"/>
      <c r="F158" s="154" t="s">
        <v>1778</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187</v>
      </c>
      <c r="AU158" s="19" t="s">
        <v>87</v>
      </c>
    </row>
    <row r="159" spans="1:65" s="2" customFormat="1">
      <c r="A159" s="34"/>
      <c r="B159" s="35"/>
      <c r="C159" s="34"/>
      <c r="D159" s="158" t="s">
        <v>189</v>
      </c>
      <c r="E159" s="34"/>
      <c r="F159" s="159" t="s">
        <v>1779</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189</v>
      </c>
      <c r="AU159" s="19" t="s">
        <v>87</v>
      </c>
    </row>
    <row r="160" spans="1:65" s="2" customFormat="1" ht="87.75">
      <c r="A160" s="34"/>
      <c r="B160" s="35"/>
      <c r="C160" s="34"/>
      <c r="D160" s="153" t="s">
        <v>191</v>
      </c>
      <c r="E160" s="34"/>
      <c r="F160" s="160" t="s">
        <v>1780</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191</v>
      </c>
      <c r="AU160" s="19" t="s">
        <v>87</v>
      </c>
    </row>
    <row r="161" spans="1:65" s="2" customFormat="1" ht="21.75" customHeight="1">
      <c r="A161" s="34"/>
      <c r="B161" s="139"/>
      <c r="C161" s="195" t="s">
        <v>9</v>
      </c>
      <c r="D161" s="195" t="s">
        <v>484</v>
      </c>
      <c r="E161" s="196" t="s">
        <v>1781</v>
      </c>
      <c r="F161" s="197" t="s">
        <v>1782</v>
      </c>
      <c r="G161" s="198" t="s">
        <v>236</v>
      </c>
      <c r="H161" s="199">
        <v>2</v>
      </c>
      <c r="I161" s="200"/>
      <c r="J161" s="201">
        <f>ROUND(I161*H161,2)</f>
        <v>0</v>
      </c>
      <c r="K161" s="197" t="s">
        <v>184</v>
      </c>
      <c r="L161" s="202"/>
      <c r="M161" s="203" t="s">
        <v>3</v>
      </c>
      <c r="N161" s="204" t="s">
        <v>48</v>
      </c>
      <c r="O161" s="55"/>
      <c r="P161" s="149">
        <f>O161*H161</f>
        <v>0</v>
      </c>
      <c r="Q161" s="149">
        <v>1.489E-2</v>
      </c>
      <c r="R161" s="149">
        <f>Q161*H161</f>
        <v>2.9780000000000001E-2</v>
      </c>
      <c r="S161" s="149">
        <v>0</v>
      </c>
      <c r="T161" s="150">
        <f>S161*H161</f>
        <v>0</v>
      </c>
      <c r="U161" s="34"/>
      <c r="V161" s="34"/>
      <c r="W161" s="34"/>
      <c r="X161" s="34"/>
      <c r="Y161" s="34"/>
      <c r="Z161" s="34"/>
      <c r="AA161" s="34"/>
      <c r="AB161" s="34"/>
      <c r="AC161" s="34"/>
      <c r="AD161" s="34"/>
      <c r="AE161" s="34"/>
      <c r="AR161" s="151" t="s">
        <v>248</v>
      </c>
      <c r="AT161" s="151" t="s">
        <v>484</v>
      </c>
      <c r="AU161" s="151" t="s">
        <v>87</v>
      </c>
      <c r="AY161" s="19" t="s">
        <v>177</v>
      </c>
      <c r="BE161" s="152">
        <f>IF(N161="základní",J161,0)</f>
        <v>0</v>
      </c>
      <c r="BF161" s="152">
        <f>IF(N161="snížená",J161,0)</f>
        <v>0</v>
      </c>
      <c r="BG161" s="152">
        <f>IF(N161="zákl. přenesená",J161,0)</f>
        <v>0</v>
      </c>
      <c r="BH161" s="152">
        <f>IF(N161="sníž. přenesená",J161,0)</f>
        <v>0</v>
      </c>
      <c r="BI161" s="152">
        <f>IF(N161="nulová",J161,0)</f>
        <v>0</v>
      </c>
      <c r="BJ161" s="19" t="s">
        <v>85</v>
      </c>
      <c r="BK161" s="152">
        <f>ROUND(I161*H161,2)</f>
        <v>0</v>
      </c>
      <c r="BL161" s="19" t="s">
        <v>185</v>
      </c>
      <c r="BM161" s="151" t="s">
        <v>1783</v>
      </c>
    </row>
    <row r="162" spans="1:65" s="2" customFormat="1">
      <c r="A162" s="34"/>
      <c r="B162" s="35"/>
      <c r="C162" s="34"/>
      <c r="D162" s="153" t="s">
        <v>187</v>
      </c>
      <c r="E162" s="34"/>
      <c r="F162" s="154" t="s">
        <v>1782</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187</v>
      </c>
      <c r="AU162" s="19" t="s">
        <v>87</v>
      </c>
    </row>
    <row r="163" spans="1:65" s="2" customFormat="1" ht="21.75" customHeight="1">
      <c r="A163" s="34"/>
      <c r="B163" s="139"/>
      <c r="C163" s="195" t="s">
        <v>237</v>
      </c>
      <c r="D163" s="195" t="s">
        <v>484</v>
      </c>
      <c r="E163" s="196" t="s">
        <v>1784</v>
      </c>
      <c r="F163" s="197" t="s">
        <v>1785</v>
      </c>
      <c r="G163" s="198" t="s">
        <v>236</v>
      </c>
      <c r="H163" s="199">
        <v>1</v>
      </c>
      <c r="I163" s="200"/>
      <c r="J163" s="201">
        <f>ROUND(I163*H163,2)</f>
        <v>0</v>
      </c>
      <c r="K163" s="197" t="s">
        <v>184</v>
      </c>
      <c r="L163" s="202"/>
      <c r="M163" s="203" t="s">
        <v>3</v>
      </c>
      <c r="N163" s="204" t="s">
        <v>48</v>
      </c>
      <c r="O163" s="55"/>
      <c r="P163" s="149">
        <f>O163*H163</f>
        <v>0</v>
      </c>
      <c r="Q163" s="149">
        <v>1.272E-2</v>
      </c>
      <c r="R163" s="149">
        <f>Q163*H163</f>
        <v>1.272E-2</v>
      </c>
      <c r="S163" s="149">
        <v>0</v>
      </c>
      <c r="T163" s="150">
        <f>S163*H163</f>
        <v>0</v>
      </c>
      <c r="U163" s="34"/>
      <c r="V163" s="34"/>
      <c r="W163" s="34"/>
      <c r="X163" s="34"/>
      <c r="Y163" s="34"/>
      <c r="Z163" s="34"/>
      <c r="AA163" s="34"/>
      <c r="AB163" s="34"/>
      <c r="AC163" s="34"/>
      <c r="AD163" s="34"/>
      <c r="AE163" s="34"/>
      <c r="AR163" s="151" t="s">
        <v>248</v>
      </c>
      <c r="AT163" s="151" t="s">
        <v>484</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1786</v>
      </c>
    </row>
    <row r="164" spans="1:65" s="2" customFormat="1">
      <c r="A164" s="34"/>
      <c r="B164" s="35"/>
      <c r="C164" s="34"/>
      <c r="D164" s="153" t="s">
        <v>187</v>
      </c>
      <c r="E164" s="34"/>
      <c r="F164" s="154" t="s">
        <v>1785</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ht="16.5" customHeight="1">
      <c r="A165" s="34"/>
      <c r="B165" s="139"/>
      <c r="C165" s="140" t="s">
        <v>302</v>
      </c>
      <c r="D165" s="140" t="s">
        <v>180</v>
      </c>
      <c r="E165" s="141" t="s">
        <v>1787</v>
      </c>
      <c r="F165" s="142" t="s">
        <v>1788</v>
      </c>
      <c r="G165" s="143" t="s">
        <v>236</v>
      </c>
      <c r="H165" s="144">
        <v>4</v>
      </c>
      <c r="I165" s="145"/>
      <c r="J165" s="146">
        <f>ROUND(I165*H165,2)</f>
        <v>0</v>
      </c>
      <c r="K165" s="142" t="s">
        <v>184</v>
      </c>
      <c r="L165" s="35"/>
      <c r="M165" s="147" t="s">
        <v>3</v>
      </c>
      <c r="N165" s="148" t="s">
        <v>48</v>
      </c>
      <c r="O165" s="55"/>
      <c r="P165" s="149">
        <f>O165*H165</f>
        <v>0</v>
      </c>
      <c r="Q165" s="149">
        <v>0.54769076000000005</v>
      </c>
      <c r="R165" s="149">
        <f>Q165*H165</f>
        <v>2.1907630400000002</v>
      </c>
      <c r="S165" s="149">
        <v>0</v>
      </c>
      <c r="T165" s="150">
        <f>S165*H165</f>
        <v>0</v>
      </c>
      <c r="U165" s="34"/>
      <c r="V165" s="34"/>
      <c r="W165" s="34"/>
      <c r="X165" s="34"/>
      <c r="Y165" s="34"/>
      <c r="Z165" s="34"/>
      <c r="AA165" s="34"/>
      <c r="AB165" s="34"/>
      <c r="AC165" s="34"/>
      <c r="AD165" s="34"/>
      <c r="AE165" s="34"/>
      <c r="AR165" s="151" t="s">
        <v>185</v>
      </c>
      <c r="AT165" s="151" t="s">
        <v>180</v>
      </c>
      <c r="AU165" s="151" t="s">
        <v>87</v>
      </c>
      <c r="AY165" s="19" t="s">
        <v>177</v>
      </c>
      <c r="BE165" s="152">
        <f>IF(N165="základní",J165,0)</f>
        <v>0</v>
      </c>
      <c r="BF165" s="152">
        <f>IF(N165="snížená",J165,0)</f>
        <v>0</v>
      </c>
      <c r="BG165" s="152">
        <f>IF(N165="zákl. přenesená",J165,0)</f>
        <v>0</v>
      </c>
      <c r="BH165" s="152">
        <f>IF(N165="sníž. přenesená",J165,0)</f>
        <v>0</v>
      </c>
      <c r="BI165" s="152">
        <f>IF(N165="nulová",J165,0)</f>
        <v>0</v>
      </c>
      <c r="BJ165" s="19" t="s">
        <v>85</v>
      </c>
      <c r="BK165" s="152">
        <f>ROUND(I165*H165,2)</f>
        <v>0</v>
      </c>
      <c r="BL165" s="19" t="s">
        <v>185</v>
      </c>
      <c r="BM165" s="151" t="s">
        <v>1789</v>
      </c>
    </row>
    <row r="166" spans="1:65" s="2" customFormat="1" ht="19.5">
      <c r="A166" s="34"/>
      <c r="B166" s="35"/>
      <c r="C166" s="34"/>
      <c r="D166" s="153" t="s">
        <v>187</v>
      </c>
      <c r="E166" s="34"/>
      <c r="F166" s="154" t="s">
        <v>1790</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187</v>
      </c>
      <c r="AU166" s="19" t="s">
        <v>87</v>
      </c>
    </row>
    <row r="167" spans="1:65" s="2" customFormat="1">
      <c r="A167" s="34"/>
      <c r="B167" s="35"/>
      <c r="C167" s="34"/>
      <c r="D167" s="158" t="s">
        <v>189</v>
      </c>
      <c r="E167" s="34"/>
      <c r="F167" s="159" t="s">
        <v>1791</v>
      </c>
      <c r="G167" s="34"/>
      <c r="H167" s="34"/>
      <c r="I167" s="155"/>
      <c r="J167" s="34"/>
      <c r="K167" s="34"/>
      <c r="L167" s="35"/>
      <c r="M167" s="156"/>
      <c r="N167" s="157"/>
      <c r="O167" s="55"/>
      <c r="P167" s="55"/>
      <c r="Q167" s="55"/>
      <c r="R167" s="55"/>
      <c r="S167" s="55"/>
      <c r="T167" s="56"/>
      <c r="U167" s="34"/>
      <c r="V167" s="34"/>
      <c r="W167" s="34"/>
      <c r="X167" s="34"/>
      <c r="Y167" s="34"/>
      <c r="Z167" s="34"/>
      <c r="AA167" s="34"/>
      <c r="AB167" s="34"/>
      <c r="AC167" s="34"/>
      <c r="AD167" s="34"/>
      <c r="AE167" s="34"/>
      <c r="AT167" s="19" t="s">
        <v>189</v>
      </c>
      <c r="AU167" s="19" t="s">
        <v>87</v>
      </c>
    </row>
    <row r="168" spans="1:65" s="2" customFormat="1" ht="87.75">
      <c r="A168" s="34"/>
      <c r="B168" s="35"/>
      <c r="C168" s="34"/>
      <c r="D168" s="153" t="s">
        <v>191</v>
      </c>
      <c r="E168" s="34"/>
      <c r="F168" s="160" t="s">
        <v>1780</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191</v>
      </c>
      <c r="AU168" s="19" t="s">
        <v>87</v>
      </c>
    </row>
    <row r="169" spans="1:65" s="2" customFormat="1" ht="24.2" customHeight="1">
      <c r="A169" s="34"/>
      <c r="B169" s="139"/>
      <c r="C169" s="195" t="s">
        <v>315</v>
      </c>
      <c r="D169" s="195" t="s">
        <v>484</v>
      </c>
      <c r="E169" s="196" t="s">
        <v>1792</v>
      </c>
      <c r="F169" s="197" t="s">
        <v>1793</v>
      </c>
      <c r="G169" s="198" t="s">
        <v>236</v>
      </c>
      <c r="H169" s="199">
        <v>4</v>
      </c>
      <c r="I169" s="200"/>
      <c r="J169" s="201">
        <f>ROUND(I169*H169,2)</f>
        <v>0</v>
      </c>
      <c r="K169" s="197" t="s">
        <v>244</v>
      </c>
      <c r="L169" s="202"/>
      <c r="M169" s="203" t="s">
        <v>3</v>
      </c>
      <c r="N169" s="204" t="s">
        <v>48</v>
      </c>
      <c r="O169" s="55"/>
      <c r="P169" s="149">
        <f>O169*H169</f>
        <v>0</v>
      </c>
      <c r="Q169" s="149">
        <v>2.9000000000000001E-2</v>
      </c>
      <c r="R169" s="149">
        <f>Q169*H169</f>
        <v>0.11600000000000001</v>
      </c>
      <c r="S169" s="149">
        <v>0</v>
      </c>
      <c r="T169" s="150">
        <f>S169*H169</f>
        <v>0</v>
      </c>
      <c r="U169" s="34"/>
      <c r="V169" s="34"/>
      <c r="W169" s="34"/>
      <c r="X169" s="34"/>
      <c r="Y169" s="34"/>
      <c r="Z169" s="34"/>
      <c r="AA169" s="34"/>
      <c r="AB169" s="34"/>
      <c r="AC169" s="34"/>
      <c r="AD169" s="34"/>
      <c r="AE169" s="34"/>
      <c r="AR169" s="151" t="s">
        <v>248</v>
      </c>
      <c r="AT169" s="151" t="s">
        <v>484</v>
      </c>
      <c r="AU169" s="151" t="s">
        <v>87</v>
      </c>
      <c r="AY169" s="19" t="s">
        <v>177</v>
      </c>
      <c r="BE169" s="152">
        <f>IF(N169="základní",J169,0)</f>
        <v>0</v>
      </c>
      <c r="BF169" s="152">
        <f>IF(N169="snížená",J169,0)</f>
        <v>0</v>
      </c>
      <c r="BG169" s="152">
        <f>IF(N169="zákl. přenesená",J169,0)</f>
        <v>0</v>
      </c>
      <c r="BH169" s="152">
        <f>IF(N169="sníž. přenesená",J169,0)</f>
        <v>0</v>
      </c>
      <c r="BI169" s="152">
        <f>IF(N169="nulová",J169,0)</f>
        <v>0</v>
      </c>
      <c r="BJ169" s="19" t="s">
        <v>85</v>
      </c>
      <c r="BK169" s="152">
        <f>ROUND(I169*H169,2)</f>
        <v>0</v>
      </c>
      <c r="BL169" s="19" t="s">
        <v>185</v>
      </c>
      <c r="BM169" s="151" t="s">
        <v>1794</v>
      </c>
    </row>
    <row r="170" spans="1:65" s="2" customFormat="1">
      <c r="A170" s="34"/>
      <c r="B170" s="35"/>
      <c r="C170" s="34"/>
      <c r="D170" s="153" t="s">
        <v>187</v>
      </c>
      <c r="E170" s="34"/>
      <c r="F170" s="154" t="s">
        <v>1793</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187</v>
      </c>
      <c r="AU170" s="19" t="s">
        <v>87</v>
      </c>
    </row>
    <row r="171" spans="1:65" s="12" customFormat="1" ht="22.9" customHeight="1">
      <c r="B171" s="126"/>
      <c r="D171" s="127" t="s">
        <v>76</v>
      </c>
      <c r="E171" s="137" t="s">
        <v>252</v>
      </c>
      <c r="F171" s="137" t="s">
        <v>329</v>
      </c>
      <c r="I171" s="129"/>
      <c r="J171" s="138">
        <f>BK171</f>
        <v>0</v>
      </c>
      <c r="L171" s="126"/>
      <c r="M171" s="131"/>
      <c r="N171" s="132"/>
      <c r="O171" s="132"/>
      <c r="P171" s="133">
        <f>SUM(P172:P181)</f>
        <v>0</v>
      </c>
      <c r="Q171" s="132"/>
      <c r="R171" s="133">
        <f>SUM(R172:R181)</f>
        <v>5.4251999999999995E-2</v>
      </c>
      <c r="S171" s="132"/>
      <c r="T171" s="134">
        <f>SUM(T172:T181)</f>
        <v>0</v>
      </c>
      <c r="AR171" s="127" t="s">
        <v>85</v>
      </c>
      <c r="AT171" s="135" t="s">
        <v>76</v>
      </c>
      <c r="AU171" s="135" t="s">
        <v>85</v>
      </c>
      <c r="AY171" s="127" t="s">
        <v>177</v>
      </c>
      <c r="BK171" s="136">
        <f>SUM(BK172:BK181)</f>
        <v>0</v>
      </c>
    </row>
    <row r="172" spans="1:65" s="2" customFormat="1" ht="21.75" customHeight="1">
      <c r="A172" s="34"/>
      <c r="B172" s="139"/>
      <c r="C172" s="140" t="s">
        <v>461</v>
      </c>
      <c r="D172" s="140" t="s">
        <v>180</v>
      </c>
      <c r="E172" s="141" t="s">
        <v>682</v>
      </c>
      <c r="F172" s="142" t="s">
        <v>683</v>
      </c>
      <c r="G172" s="143" t="s">
        <v>332</v>
      </c>
      <c r="H172" s="144">
        <v>328.8</v>
      </c>
      <c r="I172" s="145"/>
      <c r="J172" s="146">
        <f>ROUND(I172*H172,2)</f>
        <v>0</v>
      </c>
      <c r="K172" s="142" t="s">
        <v>184</v>
      </c>
      <c r="L172" s="35"/>
      <c r="M172" s="147" t="s">
        <v>3</v>
      </c>
      <c r="N172" s="148" t="s">
        <v>48</v>
      </c>
      <c r="O172" s="55"/>
      <c r="P172" s="149">
        <f>O172*H172</f>
        <v>0</v>
      </c>
      <c r="Q172" s="149">
        <v>1.2999999999999999E-4</v>
      </c>
      <c r="R172" s="149">
        <f>Q172*H172</f>
        <v>4.2743999999999997E-2</v>
      </c>
      <c r="S172" s="149">
        <v>0</v>
      </c>
      <c r="T172" s="150">
        <f>S172*H172</f>
        <v>0</v>
      </c>
      <c r="U172" s="34"/>
      <c r="V172" s="34"/>
      <c r="W172" s="34"/>
      <c r="X172" s="34"/>
      <c r="Y172" s="34"/>
      <c r="Z172" s="34"/>
      <c r="AA172" s="34"/>
      <c r="AB172" s="34"/>
      <c r="AC172" s="34"/>
      <c r="AD172" s="34"/>
      <c r="AE172" s="34"/>
      <c r="AR172" s="151" t="s">
        <v>185</v>
      </c>
      <c r="AT172" s="151" t="s">
        <v>180</v>
      </c>
      <c r="AU172" s="151" t="s">
        <v>87</v>
      </c>
      <c r="AY172" s="19" t="s">
        <v>177</v>
      </c>
      <c r="BE172" s="152">
        <f>IF(N172="základní",J172,0)</f>
        <v>0</v>
      </c>
      <c r="BF172" s="152">
        <f>IF(N172="snížená",J172,0)</f>
        <v>0</v>
      </c>
      <c r="BG172" s="152">
        <f>IF(N172="zákl. přenesená",J172,0)</f>
        <v>0</v>
      </c>
      <c r="BH172" s="152">
        <f>IF(N172="sníž. přenesená",J172,0)</f>
        <v>0</v>
      </c>
      <c r="BI172" s="152">
        <f>IF(N172="nulová",J172,0)</f>
        <v>0</v>
      </c>
      <c r="BJ172" s="19" t="s">
        <v>85</v>
      </c>
      <c r="BK172" s="152">
        <f>ROUND(I172*H172,2)</f>
        <v>0</v>
      </c>
      <c r="BL172" s="19" t="s">
        <v>185</v>
      </c>
      <c r="BM172" s="151" t="s">
        <v>1795</v>
      </c>
    </row>
    <row r="173" spans="1:65" s="2" customFormat="1">
      <c r="A173" s="34"/>
      <c r="B173" s="35"/>
      <c r="C173" s="34"/>
      <c r="D173" s="153" t="s">
        <v>187</v>
      </c>
      <c r="E173" s="34"/>
      <c r="F173" s="154" t="s">
        <v>685</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187</v>
      </c>
      <c r="AU173" s="19" t="s">
        <v>87</v>
      </c>
    </row>
    <row r="174" spans="1:65" s="2" customFormat="1">
      <c r="A174" s="34"/>
      <c r="B174" s="35"/>
      <c r="C174" s="34"/>
      <c r="D174" s="158" t="s">
        <v>189</v>
      </c>
      <c r="E174" s="34"/>
      <c r="F174" s="159" t="s">
        <v>686</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189</v>
      </c>
      <c r="AU174" s="19" t="s">
        <v>87</v>
      </c>
    </row>
    <row r="175" spans="1:65" s="2" customFormat="1" ht="48.75">
      <c r="A175" s="34"/>
      <c r="B175" s="35"/>
      <c r="C175" s="34"/>
      <c r="D175" s="153" t="s">
        <v>191</v>
      </c>
      <c r="E175" s="34"/>
      <c r="F175" s="160" t="s">
        <v>336</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191</v>
      </c>
      <c r="AU175" s="19" t="s">
        <v>87</v>
      </c>
    </row>
    <row r="176" spans="1:65" s="13" customFormat="1">
      <c r="B176" s="161"/>
      <c r="D176" s="153" t="s">
        <v>193</v>
      </c>
      <c r="E176" s="162" t="s">
        <v>3</v>
      </c>
      <c r="F176" s="163" t="s">
        <v>995</v>
      </c>
      <c r="H176" s="164">
        <v>328.8</v>
      </c>
      <c r="I176" s="165"/>
      <c r="L176" s="161"/>
      <c r="M176" s="166"/>
      <c r="N176" s="167"/>
      <c r="O176" s="167"/>
      <c r="P176" s="167"/>
      <c r="Q176" s="167"/>
      <c r="R176" s="167"/>
      <c r="S176" s="167"/>
      <c r="T176" s="168"/>
      <c r="AT176" s="162" t="s">
        <v>193</v>
      </c>
      <c r="AU176" s="162" t="s">
        <v>87</v>
      </c>
      <c r="AV176" s="13" t="s">
        <v>87</v>
      </c>
      <c r="AW176" s="13" t="s">
        <v>36</v>
      </c>
      <c r="AX176" s="13" t="s">
        <v>77</v>
      </c>
      <c r="AY176" s="162" t="s">
        <v>177</v>
      </c>
    </row>
    <row r="177" spans="1:65" s="16" customFormat="1">
      <c r="B177" s="184"/>
      <c r="D177" s="153" t="s">
        <v>193</v>
      </c>
      <c r="E177" s="185" t="s">
        <v>3</v>
      </c>
      <c r="F177" s="186" t="s">
        <v>201</v>
      </c>
      <c r="H177" s="187">
        <v>328.8</v>
      </c>
      <c r="I177" s="188"/>
      <c r="L177" s="184"/>
      <c r="M177" s="189"/>
      <c r="N177" s="190"/>
      <c r="O177" s="190"/>
      <c r="P177" s="190"/>
      <c r="Q177" s="190"/>
      <c r="R177" s="190"/>
      <c r="S177" s="190"/>
      <c r="T177" s="191"/>
      <c r="AT177" s="185" t="s">
        <v>193</v>
      </c>
      <c r="AU177" s="185" t="s">
        <v>87</v>
      </c>
      <c r="AV177" s="16" t="s">
        <v>185</v>
      </c>
      <c r="AW177" s="16" t="s">
        <v>36</v>
      </c>
      <c r="AX177" s="16" t="s">
        <v>85</v>
      </c>
      <c r="AY177" s="185" t="s">
        <v>177</v>
      </c>
    </row>
    <row r="178" spans="1:65" s="2" customFormat="1" ht="16.5" customHeight="1">
      <c r="A178" s="34"/>
      <c r="B178" s="139"/>
      <c r="C178" s="140" t="s">
        <v>467</v>
      </c>
      <c r="D178" s="140" t="s">
        <v>180</v>
      </c>
      <c r="E178" s="141" t="s">
        <v>339</v>
      </c>
      <c r="F178" s="142" t="s">
        <v>340</v>
      </c>
      <c r="G178" s="143" t="s">
        <v>332</v>
      </c>
      <c r="H178" s="144">
        <v>328.8</v>
      </c>
      <c r="I178" s="145"/>
      <c r="J178" s="146">
        <f>ROUND(I178*H178,2)</f>
        <v>0</v>
      </c>
      <c r="K178" s="142" t="s">
        <v>184</v>
      </c>
      <c r="L178" s="35"/>
      <c r="M178" s="147" t="s">
        <v>3</v>
      </c>
      <c r="N178" s="148" t="s">
        <v>48</v>
      </c>
      <c r="O178" s="55"/>
      <c r="P178" s="149">
        <f>O178*H178</f>
        <v>0</v>
      </c>
      <c r="Q178" s="149">
        <v>3.4999999999999997E-5</v>
      </c>
      <c r="R178" s="149">
        <f>Q178*H178</f>
        <v>1.1507999999999999E-2</v>
      </c>
      <c r="S178" s="149">
        <v>0</v>
      </c>
      <c r="T178" s="150">
        <f>S178*H178</f>
        <v>0</v>
      </c>
      <c r="U178" s="34"/>
      <c r="V178" s="34"/>
      <c r="W178" s="34"/>
      <c r="X178" s="34"/>
      <c r="Y178" s="34"/>
      <c r="Z178" s="34"/>
      <c r="AA178" s="34"/>
      <c r="AB178" s="34"/>
      <c r="AC178" s="34"/>
      <c r="AD178" s="34"/>
      <c r="AE178" s="34"/>
      <c r="AR178" s="151" t="s">
        <v>185</v>
      </c>
      <c r="AT178" s="151" t="s">
        <v>180</v>
      </c>
      <c r="AU178" s="151" t="s">
        <v>87</v>
      </c>
      <c r="AY178" s="19" t="s">
        <v>177</v>
      </c>
      <c r="BE178" s="152">
        <f>IF(N178="základní",J178,0)</f>
        <v>0</v>
      </c>
      <c r="BF178" s="152">
        <f>IF(N178="snížená",J178,0)</f>
        <v>0</v>
      </c>
      <c r="BG178" s="152">
        <f>IF(N178="zákl. přenesená",J178,0)</f>
        <v>0</v>
      </c>
      <c r="BH178" s="152">
        <f>IF(N178="sníž. přenesená",J178,0)</f>
        <v>0</v>
      </c>
      <c r="BI178" s="152">
        <f>IF(N178="nulová",J178,0)</f>
        <v>0</v>
      </c>
      <c r="BJ178" s="19" t="s">
        <v>85</v>
      </c>
      <c r="BK178" s="152">
        <f>ROUND(I178*H178,2)</f>
        <v>0</v>
      </c>
      <c r="BL178" s="19" t="s">
        <v>185</v>
      </c>
      <c r="BM178" s="151" t="s">
        <v>1796</v>
      </c>
    </row>
    <row r="179" spans="1:65" s="2" customFormat="1">
      <c r="A179" s="34"/>
      <c r="B179" s="35"/>
      <c r="C179" s="34"/>
      <c r="D179" s="153" t="s">
        <v>187</v>
      </c>
      <c r="E179" s="34"/>
      <c r="F179" s="154" t="s">
        <v>342</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187</v>
      </c>
      <c r="AU179" s="19" t="s">
        <v>87</v>
      </c>
    </row>
    <row r="180" spans="1:65" s="2" customFormat="1">
      <c r="A180" s="34"/>
      <c r="B180" s="35"/>
      <c r="C180" s="34"/>
      <c r="D180" s="158" t="s">
        <v>189</v>
      </c>
      <c r="E180" s="34"/>
      <c r="F180" s="159" t="s">
        <v>343</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189</v>
      </c>
      <c r="AU180" s="19" t="s">
        <v>87</v>
      </c>
    </row>
    <row r="181" spans="1:65" s="2" customFormat="1" ht="165.75">
      <c r="A181" s="34"/>
      <c r="B181" s="35"/>
      <c r="C181" s="34"/>
      <c r="D181" s="153" t="s">
        <v>191</v>
      </c>
      <c r="E181" s="34"/>
      <c r="F181" s="160" t="s">
        <v>344</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191</v>
      </c>
      <c r="AU181" s="19" t="s">
        <v>87</v>
      </c>
    </row>
    <row r="182" spans="1:65" s="12" customFormat="1" ht="22.9" customHeight="1">
      <c r="B182" s="126"/>
      <c r="D182" s="127" t="s">
        <v>76</v>
      </c>
      <c r="E182" s="137" t="s">
        <v>518</v>
      </c>
      <c r="F182" s="137" t="s">
        <v>519</v>
      </c>
      <c r="I182" s="129"/>
      <c r="J182" s="138">
        <f>BK182</f>
        <v>0</v>
      </c>
      <c r="L182" s="126"/>
      <c r="M182" s="131"/>
      <c r="N182" s="132"/>
      <c r="O182" s="132"/>
      <c r="P182" s="133">
        <f>SUM(P183:P186)</f>
        <v>0</v>
      </c>
      <c r="Q182" s="132"/>
      <c r="R182" s="133">
        <f>SUM(R183:R186)</f>
        <v>0</v>
      </c>
      <c r="S182" s="132"/>
      <c r="T182" s="134">
        <f>SUM(T183:T186)</f>
        <v>0</v>
      </c>
      <c r="AR182" s="127" t="s">
        <v>85</v>
      </c>
      <c r="AT182" s="135" t="s">
        <v>76</v>
      </c>
      <c r="AU182" s="135" t="s">
        <v>85</v>
      </c>
      <c r="AY182" s="127" t="s">
        <v>177</v>
      </c>
      <c r="BK182" s="136">
        <f>SUM(BK183:BK186)</f>
        <v>0</v>
      </c>
    </row>
    <row r="183" spans="1:65" s="2" customFormat="1" ht="16.5" customHeight="1">
      <c r="A183" s="34"/>
      <c r="B183" s="139"/>
      <c r="C183" s="140" t="s">
        <v>8</v>
      </c>
      <c r="D183" s="140" t="s">
        <v>180</v>
      </c>
      <c r="E183" s="141" t="s">
        <v>521</v>
      </c>
      <c r="F183" s="142" t="s">
        <v>522</v>
      </c>
      <c r="G183" s="143" t="s">
        <v>183</v>
      </c>
      <c r="H183" s="144">
        <v>49.411999999999999</v>
      </c>
      <c r="I183" s="145"/>
      <c r="J183" s="146">
        <f>ROUND(I183*H183,2)</f>
        <v>0</v>
      </c>
      <c r="K183" s="142" t="s">
        <v>184</v>
      </c>
      <c r="L183" s="35"/>
      <c r="M183" s="147" t="s">
        <v>3</v>
      </c>
      <c r="N183" s="148" t="s">
        <v>48</v>
      </c>
      <c r="O183" s="55"/>
      <c r="P183" s="149">
        <f>O183*H183</f>
        <v>0</v>
      </c>
      <c r="Q183" s="149">
        <v>0</v>
      </c>
      <c r="R183" s="149">
        <f>Q183*H183</f>
        <v>0</v>
      </c>
      <c r="S183" s="149">
        <v>0</v>
      </c>
      <c r="T183" s="150">
        <f>S183*H183</f>
        <v>0</v>
      </c>
      <c r="U183" s="34"/>
      <c r="V183" s="34"/>
      <c r="W183" s="34"/>
      <c r="X183" s="34"/>
      <c r="Y183" s="34"/>
      <c r="Z183" s="34"/>
      <c r="AA183" s="34"/>
      <c r="AB183" s="34"/>
      <c r="AC183" s="34"/>
      <c r="AD183" s="34"/>
      <c r="AE183" s="34"/>
      <c r="AR183" s="151" t="s">
        <v>185</v>
      </c>
      <c r="AT183" s="151" t="s">
        <v>180</v>
      </c>
      <c r="AU183" s="151" t="s">
        <v>87</v>
      </c>
      <c r="AY183" s="19" t="s">
        <v>177</v>
      </c>
      <c r="BE183" s="152">
        <f>IF(N183="základní",J183,0)</f>
        <v>0</v>
      </c>
      <c r="BF183" s="152">
        <f>IF(N183="snížená",J183,0)</f>
        <v>0</v>
      </c>
      <c r="BG183" s="152">
        <f>IF(N183="zákl. přenesená",J183,0)</f>
        <v>0</v>
      </c>
      <c r="BH183" s="152">
        <f>IF(N183="sníž. přenesená",J183,0)</f>
        <v>0</v>
      </c>
      <c r="BI183" s="152">
        <f>IF(N183="nulová",J183,0)</f>
        <v>0</v>
      </c>
      <c r="BJ183" s="19" t="s">
        <v>85</v>
      </c>
      <c r="BK183" s="152">
        <f>ROUND(I183*H183,2)</f>
        <v>0</v>
      </c>
      <c r="BL183" s="19" t="s">
        <v>185</v>
      </c>
      <c r="BM183" s="151" t="s">
        <v>1797</v>
      </c>
    </row>
    <row r="184" spans="1:65" s="2" customFormat="1" ht="19.5">
      <c r="A184" s="34"/>
      <c r="B184" s="35"/>
      <c r="C184" s="34"/>
      <c r="D184" s="153" t="s">
        <v>187</v>
      </c>
      <c r="E184" s="34"/>
      <c r="F184" s="154" t="s">
        <v>524</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187</v>
      </c>
      <c r="AU184" s="19" t="s">
        <v>87</v>
      </c>
    </row>
    <row r="185" spans="1:65" s="2" customFormat="1">
      <c r="A185" s="34"/>
      <c r="B185" s="35"/>
      <c r="C185" s="34"/>
      <c r="D185" s="158" t="s">
        <v>189</v>
      </c>
      <c r="E185" s="34"/>
      <c r="F185" s="159" t="s">
        <v>525</v>
      </c>
      <c r="G185" s="34"/>
      <c r="H185" s="34"/>
      <c r="I185" s="155"/>
      <c r="J185" s="34"/>
      <c r="K185" s="34"/>
      <c r="L185" s="35"/>
      <c r="M185" s="156"/>
      <c r="N185" s="157"/>
      <c r="O185" s="55"/>
      <c r="P185" s="55"/>
      <c r="Q185" s="55"/>
      <c r="R185" s="55"/>
      <c r="S185" s="55"/>
      <c r="T185" s="56"/>
      <c r="U185" s="34"/>
      <c r="V185" s="34"/>
      <c r="W185" s="34"/>
      <c r="X185" s="34"/>
      <c r="Y185" s="34"/>
      <c r="Z185" s="34"/>
      <c r="AA185" s="34"/>
      <c r="AB185" s="34"/>
      <c r="AC185" s="34"/>
      <c r="AD185" s="34"/>
      <c r="AE185" s="34"/>
      <c r="AT185" s="19" t="s">
        <v>189</v>
      </c>
      <c r="AU185" s="19" t="s">
        <v>87</v>
      </c>
    </row>
    <row r="186" spans="1:65" s="2" customFormat="1" ht="58.5">
      <c r="A186" s="34"/>
      <c r="B186" s="35"/>
      <c r="C186" s="34"/>
      <c r="D186" s="153" t="s">
        <v>191</v>
      </c>
      <c r="E186" s="34"/>
      <c r="F186" s="160" t="s">
        <v>526</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191</v>
      </c>
      <c r="AU186" s="19" t="s">
        <v>87</v>
      </c>
    </row>
    <row r="187" spans="1:65" s="12" customFormat="1" ht="25.9" customHeight="1">
      <c r="B187" s="126"/>
      <c r="D187" s="127" t="s">
        <v>76</v>
      </c>
      <c r="E187" s="128" t="s">
        <v>313</v>
      </c>
      <c r="F187" s="128" t="s">
        <v>314</v>
      </c>
      <c r="I187" s="129"/>
      <c r="J187" s="130">
        <f>BK187</f>
        <v>0</v>
      </c>
      <c r="L187" s="126"/>
      <c r="M187" s="131"/>
      <c r="N187" s="132"/>
      <c r="O187" s="132"/>
      <c r="P187" s="133">
        <f>SUM(P188:P190)</f>
        <v>0</v>
      </c>
      <c r="Q187" s="132"/>
      <c r="R187" s="133">
        <f>SUM(R188:R190)</f>
        <v>0</v>
      </c>
      <c r="S187" s="132"/>
      <c r="T187" s="134">
        <f>SUM(T188:T190)</f>
        <v>0</v>
      </c>
      <c r="AR187" s="127" t="s">
        <v>185</v>
      </c>
      <c r="AT187" s="135" t="s">
        <v>76</v>
      </c>
      <c r="AU187" s="135" t="s">
        <v>77</v>
      </c>
      <c r="AY187" s="127" t="s">
        <v>177</v>
      </c>
      <c r="BK187" s="136">
        <f>SUM(BK188:BK190)</f>
        <v>0</v>
      </c>
    </row>
    <row r="188" spans="1:65" s="2" customFormat="1" ht="16.5" customHeight="1">
      <c r="A188" s="34"/>
      <c r="B188" s="139"/>
      <c r="C188" s="140" t="s">
        <v>483</v>
      </c>
      <c r="D188" s="140" t="s">
        <v>180</v>
      </c>
      <c r="E188" s="141" t="s">
        <v>528</v>
      </c>
      <c r="F188" s="142" t="s">
        <v>529</v>
      </c>
      <c r="G188" s="143" t="s">
        <v>305</v>
      </c>
      <c r="H188" s="144">
        <v>30</v>
      </c>
      <c r="I188" s="145"/>
      <c r="J188" s="146">
        <f>ROUND(I188*H188,2)</f>
        <v>0</v>
      </c>
      <c r="K188" s="142" t="s">
        <v>184</v>
      </c>
      <c r="L188" s="35"/>
      <c r="M188" s="147" t="s">
        <v>3</v>
      </c>
      <c r="N188" s="148" t="s">
        <v>48</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318</v>
      </c>
      <c r="AT188" s="151" t="s">
        <v>180</v>
      </c>
      <c r="AU188" s="151" t="s">
        <v>85</v>
      </c>
      <c r="AY188" s="19" t="s">
        <v>177</v>
      </c>
      <c r="BE188" s="152">
        <f>IF(N188="základní",J188,0)</f>
        <v>0</v>
      </c>
      <c r="BF188" s="152">
        <f>IF(N188="snížená",J188,0)</f>
        <v>0</v>
      </c>
      <c r="BG188" s="152">
        <f>IF(N188="zákl. přenesená",J188,0)</f>
        <v>0</v>
      </c>
      <c r="BH188" s="152">
        <f>IF(N188="sníž. přenesená",J188,0)</f>
        <v>0</v>
      </c>
      <c r="BI188" s="152">
        <f>IF(N188="nulová",J188,0)</f>
        <v>0</v>
      </c>
      <c r="BJ188" s="19" t="s">
        <v>85</v>
      </c>
      <c r="BK188" s="152">
        <f>ROUND(I188*H188,2)</f>
        <v>0</v>
      </c>
      <c r="BL188" s="19" t="s">
        <v>318</v>
      </c>
      <c r="BM188" s="151" t="s">
        <v>1798</v>
      </c>
    </row>
    <row r="189" spans="1:65" s="2" customFormat="1">
      <c r="A189" s="34"/>
      <c r="B189" s="35"/>
      <c r="C189" s="34"/>
      <c r="D189" s="153" t="s">
        <v>187</v>
      </c>
      <c r="E189" s="34"/>
      <c r="F189" s="154" t="s">
        <v>531</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187</v>
      </c>
      <c r="AU189" s="19" t="s">
        <v>85</v>
      </c>
    </row>
    <row r="190" spans="1:65" s="2" customFormat="1">
      <c r="A190" s="34"/>
      <c r="B190" s="35"/>
      <c r="C190" s="34"/>
      <c r="D190" s="158" t="s">
        <v>189</v>
      </c>
      <c r="E190" s="34"/>
      <c r="F190" s="159" t="s">
        <v>532</v>
      </c>
      <c r="G190" s="34"/>
      <c r="H190" s="34"/>
      <c r="I190" s="155"/>
      <c r="J190" s="34"/>
      <c r="K190" s="34"/>
      <c r="L190" s="35"/>
      <c r="M190" s="205"/>
      <c r="N190" s="206"/>
      <c r="O190" s="207"/>
      <c r="P190" s="207"/>
      <c r="Q190" s="207"/>
      <c r="R190" s="207"/>
      <c r="S190" s="207"/>
      <c r="T190" s="208"/>
      <c r="U190" s="34"/>
      <c r="V190" s="34"/>
      <c r="W190" s="34"/>
      <c r="X190" s="34"/>
      <c r="Y190" s="34"/>
      <c r="Z190" s="34"/>
      <c r="AA190" s="34"/>
      <c r="AB190" s="34"/>
      <c r="AC190" s="34"/>
      <c r="AD190" s="34"/>
      <c r="AE190" s="34"/>
      <c r="AT190" s="19" t="s">
        <v>189</v>
      </c>
      <c r="AU190" s="19" t="s">
        <v>85</v>
      </c>
    </row>
    <row r="191" spans="1:65" s="2" customFormat="1" ht="6.95" customHeight="1">
      <c r="A191" s="34"/>
      <c r="B191" s="44"/>
      <c r="C191" s="45"/>
      <c r="D191" s="45"/>
      <c r="E191" s="45"/>
      <c r="F191" s="45"/>
      <c r="G191" s="45"/>
      <c r="H191" s="45"/>
      <c r="I191" s="45"/>
      <c r="J191" s="45"/>
      <c r="K191" s="45"/>
      <c r="L191" s="35"/>
      <c r="M191" s="34"/>
      <c r="O191" s="34"/>
      <c r="P191" s="34"/>
      <c r="Q191" s="34"/>
      <c r="R191" s="34"/>
      <c r="S191" s="34"/>
      <c r="T191" s="34"/>
      <c r="U191" s="34"/>
      <c r="V191" s="34"/>
      <c r="W191" s="34"/>
      <c r="X191" s="34"/>
      <c r="Y191" s="34"/>
      <c r="Z191" s="34"/>
      <c r="AA191" s="34"/>
      <c r="AB191" s="34"/>
      <c r="AC191" s="34"/>
      <c r="AD191" s="34"/>
      <c r="AE191" s="34"/>
    </row>
  </sheetData>
  <autoFilter ref="C84:K190"/>
  <mergeCells count="9">
    <mergeCell ref="E50:H50"/>
    <mergeCell ref="E75:H75"/>
    <mergeCell ref="E77:H77"/>
    <mergeCell ref="L2:V2"/>
    <mergeCell ref="E7:H7"/>
    <mergeCell ref="E9:H9"/>
    <mergeCell ref="E18:H18"/>
    <mergeCell ref="E27:H27"/>
    <mergeCell ref="E48:H48"/>
  </mergeCells>
  <hyperlinks>
    <hyperlink ref="F90" r:id="rId1"/>
    <hyperlink ref="F97" r:id="rId2"/>
    <hyperlink ref="F101" r:id="rId3"/>
    <hyperlink ref="F105" r:id="rId4"/>
    <hyperlink ref="F109" r:id="rId5"/>
    <hyperlink ref="F116" r:id="rId6"/>
    <hyperlink ref="F123" r:id="rId7"/>
    <hyperlink ref="F137" r:id="rId8"/>
    <hyperlink ref="F141" r:id="rId9"/>
    <hyperlink ref="F145" r:id="rId10"/>
    <hyperlink ref="F153" r:id="rId11"/>
    <hyperlink ref="F159" r:id="rId12"/>
    <hyperlink ref="F167" r:id="rId13"/>
    <hyperlink ref="F174" r:id="rId14"/>
    <hyperlink ref="F180" r:id="rId15"/>
    <hyperlink ref="F185" r:id="rId16"/>
    <hyperlink ref="F190" r:id="rId17"/>
  </hyperlinks>
  <pageMargins left="0.39374999999999999" right="0.39374999999999999" top="0.39374999999999999" bottom="0.39374999999999999" header="0" footer="0"/>
  <pageSetup paperSize="9" scale="84" fitToHeight="100" orientation="landscape" blackAndWhite="1" r:id="rId18"/>
  <headerFooter>
    <oddFooter>&amp;CStrana &amp;P z &amp;N</oddFooter>
  </headerFooter>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0"/>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114</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1799</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ROUND(J87,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ROUND((SUM(BE87:BE299)),  2)</f>
        <v>0</v>
      </c>
      <c r="G33" s="34"/>
      <c r="H33" s="34"/>
      <c r="I33" s="98">
        <v>0.21</v>
      </c>
      <c r="J33" s="97">
        <f>ROUND(((SUM(BE87:BE299))*I33),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ROUND((SUM(BF87:BF299)),  2)</f>
        <v>0</v>
      </c>
      <c r="G34" s="34"/>
      <c r="H34" s="34"/>
      <c r="I34" s="98">
        <v>0.15</v>
      </c>
      <c r="J34" s="97">
        <f>ROUND(((SUM(BF87:BF299))*I34),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ROUND((SUM(BG87:BG299)),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ROUND((SUM(BH87:BH299)),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ROUND((SUM(BI87:BI299)),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E10 - Vybourání dispozice 1. NP</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J87</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J88</f>
        <v>0</v>
      </c>
      <c r="L60" s="108"/>
    </row>
    <row r="61" spans="1:47" s="10" customFormat="1" ht="19.899999999999999" customHeight="1">
      <c r="B61" s="112"/>
      <c r="D61" s="113" t="s">
        <v>1570</v>
      </c>
      <c r="E61" s="114"/>
      <c r="F61" s="114"/>
      <c r="G61" s="114"/>
      <c r="H61" s="114"/>
      <c r="I61" s="114"/>
      <c r="J61" s="115">
        <f>J89</f>
        <v>0</v>
      </c>
      <c r="L61" s="112"/>
    </row>
    <row r="62" spans="1:47" s="10" customFormat="1" ht="19.899999999999999" customHeight="1">
      <c r="B62" s="112"/>
      <c r="D62" s="113" t="s">
        <v>325</v>
      </c>
      <c r="E62" s="114"/>
      <c r="F62" s="114"/>
      <c r="G62" s="114"/>
      <c r="H62" s="114"/>
      <c r="I62" s="114"/>
      <c r="J62" s="115">
        <f>J108</f>
        <v>0</v>
      </c>
      <c r="L62" s="112"/>
    </row>
    <row r="63" spans="1:47" s="10" customFormat="1" ht="19.899999999999999" customHeight="1">
      <c r="B63" s="112"/>
      <c r="D63" s="113" t="s">
        <v>154</v>
      </c>
      <c r="E63" s="114"/>
      <c r="F63" s="114"/>
      <c r="G63" s="114"/>
      <c r="H63" s="114"/>
      <c r="I63" s="114"/>
      <c r="J63" s="115">
        <f>J258</f>
        <v>0</v>
      </c>
      <c r="L63" s="112"/>
    </row>
    <row r="64" spans="1:47" s="10" customFormat="1" ht="19.899999999999999" customHeight="1">
      <c r="B64" s="112"/>
      <c r="D64" s="113" t="s">
        <v>326</v>
      </c>
      <c r="E64" s="114"/>
      <c r="F64" s="114"/>
      <c r="G64" s="114"/>
      <c r="H64" s="114"/>
      <c r="I64" s="114"/>
      <c r="J64" s="115">
        <f>J281</f>
        <v>0</v>
      </c>
      <c r="L64" s="112"/>
    </row>
    <row r="65" spans="1:31" s="9" customFormat="1" ht="24.95" customHeight="1">
      <c r="B65" s="108"/>
      <c r="D65" s="109" t="s">
        <v>155</v>
      </c>
      <c r="E65" s="110"/>
      <c r="F65" s="110"/>
      <c r="G65" s="110"/>
      <c r="H65" s="110"/>
      <c r="I65" s="110"/>
      <c r="J65" s="111">
        <f>J286</f>
        <v>0</v>
      </c>
      <c r="L65" s="108"/>
    </row>
    <row r="66" spans="1:31" s="10" customFormat="1" ht="19.899999999999999" customHeight="1">
      <c r="B66" s="112"/>
      <c r="D66" s="113" t="s">
        <v>1477</v>
      </c>
      <c r="E66" s="114"/>
      <c r="F66" s="114"/>
      <c r="G66" s="114"/>
      <c r="H66" s="114"/>
      <c r="I66" s="114"/>
      <c r="J66" s="115">
        <f>J287</f>
        <v>0</v>
      </c>
      <c r="L66" s="112"/>
    </row>
    <row r="67" spans="1:31" s="9" customFormat="1" ht="24.95" customHeight="1">
      <c r="B67" s="108"/>
      <c r="D67" s="109" t="s">
        <v>161</v>
      </c>
      <c r="E67" s="110"/>
      <c r="F67" s="110"/>
      <c r="G67" s="110"/>
      <c r="H67" s="110"/>
      <c r="I67" s="110"/>
      <c r="J67" s="111">
        <f>J296</f>
        <v>0</v>
      </c>
      <c r="L67" s="108"/>
    </row>
    <row r="68" spans="1:31" s="2" customFormat="1" ht="21.75" customHeight="1">
      <c r="A68" s="34"/>
      <c r="B68" s="35"/>
      <c r="C68" s="34"/>
      <c r="D68" s="34"/>
      <c r="E68" s="34"/>
      <c r="F68" s="34"/>
      <c r="G68" s="34"/>
      <c r="H68" s="34"/>
      <c r="I68" s="34"/>
      <c r="J68" s="34"/>
      <c r="K68" s="34"/>
      <c r="L68" s="91"/>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1"/>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1"/>
      <c r="S73" s="34"/>
      <c r="T73" s="34"/>
      <c r="U73" s="34"/>
      <c r="V73" s="34"/>
      <c r="W73" s="34"/>
      <c r="X73" s="34"/>
      <c r="Y73" s="34"/>
      <c r="Z73" s="34"/>
      <c r="AA73" s="34"/>
      <c r="AB73" s="34"/>
      <c r="AC73" s="34"/>
      <c r="AD73" s="34"/>
      <c r="AE73" s="34"/>
    </row>
    <row r="74" spans="1:31" s="2" customFormat="1" ht="24.95" customHeight="1">
      <c r="A74" s="34"/>
      <c r="B74" s="35"/>
      <c r="C74" s="23" t="s">
        <v>162</v>
      </c>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6.5" customHeight="1">
      <c r="A77" s="34"/>
      <c r="B77" s="35"/>
      <c r="C77" s="34"/>
      <c r="D77" s="34"/>
      <c r="E77" s="436" t="str">
        <f>E7</f>
        <v>ZŠ P. HOLÉHO - PŘESTAVBA PLAVECKÉHO PAVILONU</v>
      </c>
      <c r="F77" s="437"/>
      <c r="G77" s="437"/>
      <c r="H77" s="437"/>
      <c r="I77" s="34"/>
      <c r="J77" s="34"/>
      <c r="K77" s="34"/>
      <c r="L77" s="91"/>
      <c r="S77" s="34"/>
      <c r="T77" s="34"/>
      <c r="U77" s="34"/>
      <c r="V77" s="34"/>
      <c r="W77" s="34"/>
      <c r="X77" s="34"/>
      <c r="Y77" s="34"/>
      <c r="Z77" s="34"/>
      <c r="AA77" s="34"/>
      <c r="AB77" s="34"/>
      <c r="AC77" s="34"/>
      <c r="AD77" s="34"/>
      <c r="AE77" s="34"/>
    </row>
    <row r="78" spans="1:31" s="2" customFormat="1" ht="12" customHeight="1">
      <c r="A78" s="34"/>
      <c r="B78" s="35"/>
      <c r="C78" s="29" t="s">
        <v>146</v>
      </c>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16.5" customHeight="1">
      <c r="A79" s="34"/>
      <c r="B79" s="35"/>
      <c r="C79" s="34"/>
      <c r="D79" s="34"/>
      <c r="E79" s="432" t="str">
        <f>E9</f>
        <v>E10 - Vybourání dispozice 1. NP</v>
      </c>
      <c r="F79" s="435"/>
      <c r="G79" s="435"/>
      <c r="H79" s="435"/>
      <c r="I79" s="34"/>
      <c r="J79" s="34"/>
      <c r="K79" s="34"/>
      <c r="L79" s="91"/>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2" customHeight="1">
      <c r="A81" s="34"/>
      <c r="B81" s="35"/>
      <c r="C81" s="29" t="s">
        <v>21</v>
      </c>
      <c r="D81" s="34"/>
      <c r="E81" s="34"/>
      <c r="F81" s="27" t="str">
        <f>F12</f>
        <v>Prokopa Holého 2632, Louny, 440 01</v>
      </c>
      <c r="G81" s="34"/>
      <c r="H81" s="34"/>
      <c r="I81" s="29" t="s">
        <v>23</v>
      </c>
      <c r="J81" s="52" t="str">
        <f>IF(J12="","",J12)</f>
        <v>21. 9. 2022</v>
      </c>
      <c r="K81" s="34"/>
      <c r="L81" s="91"/>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65" s="2" customFormat="1" ht="15.2" customHeight="1">
      <c r="A83" s="34"/>
      <c r="B83" s="35"/>
      <c r="C83" s="29" t="s">
        <v>25</v>
      </c>
      <c r="D83" s="34"/>
      <c r="E83" s="34"/>
      <c r="F83" s="27" t="str">
        <f>E15</f>
        <v>Město Louny</v>
      </c>
      <c r="G83" s="34"/>
      <c r="H83" s="34"/>
      <c r="I83" s="29" t="s">
        <v>32</v>
      </c>
      <c r="J83" s="32" t="str">
        <f>E21</f>
        <v>RYSIK Design s.r.o.</v>
      </c>
      <c r="K83" s="34"/>
      <c r="L83" s="91"/>
      <c r="S83" s="34"/>
      <c r="T83" s="34"/>
      <c r="U83" s="34"/>
      <c r="V83" s="34"/>
      <c r="W83" s="34"/>
      <c r="X83" s="34"/>
      <c r="Y83" s="34"/>
      <c r="Z83" s="34"/>
      <c r="AA83" s="34"/>
      <c r="AB83" s="34"/>
      <c r="AC83" s="34"/>
      <c r="AD83" s="34"/>
      <c r="AE83" s="34"/>
    </row>
    <row r="84" spans="1:65" s="2" customFormat="1" ht="25.7" customHeight="1">
      <c r="A84" s="34"/>
      <c r="B84" s="35"/>
      <c r="C84" s="29" t="s">
        <v>30</v>
      </c>
      <c r="D84" s="34"/>
      <c r="E84" s="34"/>
      <c r="F84" s="27" t="str">
        <f>IF(E18="","",E18)</f>
        <v>Vyplň údaj</v>
      </c>
      <c r="G84" s="34"/>
      <c r="H84" s="34"/>
      <c r="I84" s="29" t="s">
        <v>37</v>
      </c>
      <c r="J84" s="32" t="str">
        <f>E24</f>
        <v>ing. Kateřina Tumpachová</v>
      </c>
      <c r="K84" s="34"/>
      <c r="L84" s="91"/>
      <c r="S84" s="34"/>
      <c r="T84" s="34"/>
      <c r="U84" s="34"/>
      <c r="V84" s="34"/>
      <c r="W84" s="34"/>
      <c r="X84" s="34"/>
      <c r="Y84" s="34"/>
      <c r="Z84" s="34"/>
      <c r="AA84" s="34"/>
      <c r="AB84" s="34"/>
      <c r="AC84" s="34"/>
      <c r="AD84" s="34"/>
      <c r="AE84" s="34"/>
    </row>
    <row r="85" spans="1:65" s="2" customFormat="1" ht="10.35" customHeight="1">
      <c r="A85" s="34"/>
      <c r="B85" s="35"/>
      <c r="C85" s="34"/>
      <c r="D85" s="34"/>
      <c r="E85" s="34"/>
      <c r="F85" s="34"/>
      <c r="G85" s="34"/>
      <c r="H85" s="34"/>
      <c r="I85" s="34"/>
      <c r="J85" s="34"/>
      <c r="K85" s="34"/>
      <c r="L85" s="91"/>
      <c r="S85" s="34"/>
      <c r="T85" s="34"/>
      <c r="U85" s="34"/>
      <c r="V85" s="34"/>
      <c r="W85" s="34"/>
      <c r="X85" s="34"/>
      <c r="Y85" s="34"/>
      <c r="Z85" s="34"/>
      <c r="AA85" s="34"/>
      <c r="AB85" s="34"/>
      <c r="AC85" s="34"/>
      <c r="AD85" s="34"/>
      <c r="AE85" s="34"/>
    </row>
    <row r="86" spans="1:65" s="11" customFormat="1" ht="29.25" customHeight="1">
      <c r="A86" s="116"/>
      <c r="B86" s="117"/>
      <c r="C86" s="118" t="s">
        <v>163</v>
      </c>
      <c r="D86" s="119" t="s">
        <v>62</v>
      </c>
      <c r="E86" s="119" t="s">
        <v>58</v>
      </c>
      <c r="F86" s="119" t="s">
        <v>59</v>
      </c>
      <c r="G86" s="119" t="s">
        <v>164</v>
      </c>
      <c r="H86" s="119" t="s">
        <v>165</v>
      </c>
      <c r="I86" s="119" t="s">
        <v>166</v>
      </c>
      <c r="J86" s="119" t="s">
        <v>151</v>
      </c>
      <c r="K86" s="120" t="s">
        <v>167</v>
      </c>
      <c r="L86" s="121"/>
      <c r="M86" s="59" t="s">
        <v>3</v>
      </c>
      <c r="N86" s="60" t="s">
        <v>47</v>
      </c>
      <c r="O86" s="60" t="s">
        <v>168</v>
      </c>
      <c r="P86" s="60" t="s">
        <v>169</v>
      </c>
      <c r="Q86" s="60" t="s">
        <v>170</v>
      </c>
      <c r="R86" s="60" t="s">
        <v>171</v>
      </c>
      <c r="S86" s="60" t="s">
        <v>172</v>
      </c>
      <c r="T86" s="61" t="s">
        <v>173</v>
      </c>
      <c r="U86" s="116"/>
      <c r="V86" s="116"/>
      <c r="W86" s="116"/>
      <c r="X86" s="116"/>
      <c r="Y86" s="116"/>
      <c r="Z86" s="116"/>
      <c r="AA86" s="116"/>
      <c r="AB86" s="116"/>
      <c r="AC86" s="116"/>
      <c r="AD86" s="116"/>
      <c r="AE86" s="116"/>
    </row>
    <row r="87" spans="1:65" s="2" customFormat="1" ht="22.9" customHeight="1">
      <c r="A87" s="34"/>
      <c r="B87" s="35"/>
      <c r="C87" s="66" t="s">
        <v>174</v>
      </c>
      <c r="D87" s="34"/>
      <c r="E87" s="34"/>
      <c r="F87" s="34"/>
      <c r="G87" s="34"/>
      <c r="H87" s="34"/>
      <c r="I87" s="34"/>
      <c r="J87" s="122">
        <f>BK87</f>
        <v>0</v>
      </c>
      <c r="K87" s="34"/>
      <c r="L87" s="35"/>
      <c r="M87" s="62"/>
      <c r="N87" s="53"/>
      <c r="O87" s="63"/>
      <c r="P87" s="123">
        <f>P88+P286+P296</f>
        <v>0</v>
      </c>
      <c r="Q87" s="63"/>
      <c r="R87" s="123">
        <f>R88+R286+R296</f>
        <v>8.0252456299099979</v>
      </c>
      <c r="S87" s="63"/>
      <c r="T87" s="124">
        <f>T88+T286+T296</f>
        <v>193.26802599999999</v>
      </c>
      <c r="U87" s="34"/>
      <c r="V87" s="34"/>
      <c r="W87" s="34"/>
      <c r="X87" s="34"/>
      <c r="Y87" s="34"/>
      <c r="Z87" s="34"/>
      <c r="AA87" s="34"/>
      <c r="AB87" s="34"/>
      <c r="AC87" s="34"/>
      <c r="AD87" s="34"/>
      <c r="AE87" s="34"/>
      <c r="AT87" s="19" t="s">
        <v>76</v>
      </c>
      <c r="AU87" s="19" t="s">
        <v>152</v>
      </c>
      <c r="BK87" s="125">
        <f>BK88+BK286+BK296</f>
        <v>0</v>
      </c>
    </row>
    <row r="88" spans="1:65" s="12" customFormat="1" ht="25.9" customHeight="1">
      <c r="B88" s="126"/>
      <c r="D88" s="127" t="s">
        <v>76</v>
      </c>
      <c r="E88" s="128" t="s">
        <v>175</v>
      </c>
      <c r="F88" s="128" t="s">
        <v>176</v>
      </c>
      <c r="I88" s="129"/>
      <c r="J88" s="130">
        <f>BK88</f>
        <v>0</v>
      </c>
      <c r="L88" s="126"/>
      <c r="M88" s="131"/>
      <c r="N88" s="132"/>
      <c r="O88" s="132"/>
      <c r="P88" s="133">
        <f>P89+P108+P258+P281</f>
        <v>0</v>
      </c>
      <c r="Q88" s="132"/>
      <c r="R88" s="133">
        <f>R89+R108+R258+R281</f>
        <v>8.0252456299099979</v>
      </c>
      <c r="S88" s="132"/>
      <c r="T88" s="134">
        <f>T89+T108+T258+T281</f>
        <v>192.94002599999999</v>
      </c>
      <c r="AR88" s="127" t="s">
        <v>85</v>
      </c>
      <c r="AT88" s="135" t="s">
        <v>76</v>
      </c>
      <c r="AU88" s="135" t="s">
        <v>77</v>
      </c>
      <c r="AY88" s="127" t="s">
        <v>177</v>
      </c>
      <c r="BK88" s="136">
        <f>BK89+BK108+BK258+BK281</f>
        <v>0</v>
      </c>
    </row>
    <row r="89" spans="1:65" s="12" customFormat="1" ht="22.9" customHeight="1">
      <c r="B89" s="126"/>
      <c r="D89" s="127" t="s">
        <v>76</v>
      </c>
      <c r="E89" s="137" t="s">
        <v>185</v>
      </c>
      <c r="F89" s="137" t="s">
        <v>1577</v>
      </c>
      <c r="I89" s="129"/>
      <c r="J89" s="138">
        <f>BK89</f>
        <v>0</v>
      </c>
      <c r="L89" s="126"/>
      <c r="M89" s="131"/>
      <c r="N89" s="132"/>
      <c r="O89" s="132"/>
      <c r="P89" s="133">
        <f>SUM(P90:P107)</f>
        <v>0</v>
      </c>
      <c r="Q89" s="132"/>
      <c r="R89" s="133">
        <f>SUM(R90:R107)</f>
        <v>7.450176E-2</v>
      </c>
      <c r="S89" s="132"/>
      <c r="T89" s="134">
        <f>SUM(T90:T107)</f>
        <v>0</v>
      </c>
      <c r="AR89" s="127" t="s">
        <v>85</v>
      </c>
      <c r="AT89" s="135" t="s">
        <v>76</v>
      </c>
      <c r="AU89" s="135" t="s">
        <v>85</v>
      </c>
      <c r="AY89" s="127" t="s">
        <v>177</v>
      </c>
      <c r="BK89" s="136">
        <f>SUM(BK90:BK107)</f>
        <v>0</v>
      </c>
    </row>
    <row r="90" spans="1:65" s="2" customFormat="1" ht="16.5" customHeight="1">
      <c r="A90" s="34"/>
      <c r="B90" s="139"/>
      <c r="C90" s="140" t="s">
        <v>85</v>
      </c>
      <c r="D90" s="140" t="s">
        <v>180</v>
      </c>
      <c r="E90" s="141" t="s">
        <v>1578</v>
      </c>
      <c r="F90" s="142" t="s">
        <v>1579</v>
      </c>
      <c r="G90" s="143" t="s">
        <v>332</v>
      </c>
      <c r="H90" s="144">
        <v>12</v>
      </c>
      <c r="I90" s="145"/>
      <c r="J90" s="146">
        <f>ROUND(I90*H90,2)</f>
        <v>0</v>
      </c>
      <c r="K90" s="142" t="s">
        <v>184</v>
      </c>
      <c r="L90" s="35"/>
      <c r="M90" s="147" t="s">
        <v>3</v>
      </c>
      <c r="N90" s="148" t="s">
        <v>48</v>
      </c>
      <c r="O90" s="55"/>
      <c r="P90" s="149">
        <f>O90*H90</f>
        <v>0</v>
      </c>
      <c r="Q90" s="149">
        <v>5.3261999999999997E-3</v>
      </c>
      <c r="R90" s="149">
        <f>Q90*H90</f>
        <v>6.3914399999999996E-2</v>
      </c>
      <c r="S90" s="149">
        <v>0</v>
      </c>
      <c r="T90" s="150">
        <f>S90*H90</f>
        <v>0</v>
      </c>
      <c r="U90" s="34"/>
      <c r="V90" s="34"/>
      <c r="W90" s="34"/>
      <c r="X90" s="34"/>
      <c r="Y90" s="34"/>
      <c r="Z90" s="34"/>
      <c r="AA90" s="34"/>
      <c r="AB90" s="34"/>
      <c r="AC90" s="34"/>
      <c r="AD90" s="34"/>
      <c r="AE90" s="34"/>
      <c r="AR90" s="151" t="s">
        <v>185</v>
      </c>
      <c r="AT90" s="151" t="s">
        <v>180</v>
      </c>
      <c r="AU90" s="151" t="s">
        <v>87</v>
      </c>
      <c r="AY90" s="19" t="s">
        <v>177</v>
      </c>
      <c r="BE90" s="152">
        <f>IF(N90="základní",J90,0)</f>
        <v>0</v>
      </c>
      <c r="BF90" s="152">
        <f>IF(N90="snížená",J90,0)</f>
        <v>0</v>
      </c>
      <c r="BG90" s="152">
        <f>IF(N90="zákl. přenesená",J90,0)</f>
        <v>0</v>
      </c>
      <c r="BH90" s="152">
        <f>IF(N90="sníž. přenesená",J90,0)</f>
        <v>0</v>
      </c>
      <c r="BI90" s="152">
        <f>IF(N90="nulová",J90,0)</f>
        <v>0</v>
      </c>
      <c r="BJ90" s="19" t="s">
        <v>85</v>
      </c>
      <c r="BK90" s="152">
        <f>ROUND(I90*H90,2)</f>
        <v>0</v>
      </c>
      <c r="BL90" s="19" t="s">
        <v>185</v>
      </c>
      <c r="BM90" s="151" t="s">
        <v>1800</v>
      </c>
    </row>
    <row r="91" spans="1:65" s="2" customFormat="1">
      <c r="A91" s="34"/>
      <c r="B91" s="35"/>
      <c r="C91" s="34"/>
      <c r="D91" s="153" t="s">
        <v>187</v>
      </c>
      <c r="E91" s="34"/>
      <c r="F91" s="154" t="s">
        <v>1581</v>
      </c>
      <c r="G91" s="34"/>
      <c r="H91" s="34"/>
      <c r="I91" s="155"/>
      <c r="J91" s="34"/>
      <c r="K91" s="34"/>
      <c r="L91" s="35"/>
      <c r="M91" s="156"/>
      <c r="N91" s="157"/>
      <c r="O91" s="55"/>
      <c r="P91" s="55"/>
      <c r="Q91" s="55"/>
      <c r="R91" s="55"/>
      <c r="S91" s="55"/>
      <c r="T91" s="56"/>
      <c r="U91" s="34"/>
      <c r="V91" s="34"/>
      <c r="W91" s="34"/>
      <c r="X91" s="34"/>
      <c r="Y91" s="34"/>
      <c r="Z91" s="34"/>
      <c r="AA91" s="34"/>
      <c r="AB91" s="34"/>
      <c r="AC91" s="34"/>
      <c r="AD91" s="34"/>
      <c r="AE91" s="34"/>
      <c r="AT91" s="19" t="s">
        <v>187</v>
      </c>
      <c r="AU91" s="19" t="s">
        <v>87</v>
      </c>
    </row>
    <row r="92" spans="1:65" s="2" customFormat="1">
      <c r="A92" s="34"/>
      <c r="B92" s="35"/>
      <c r="C92" s="34"/>
      <c r="D92" s="158" t="s">
        <v>189</v>
      </c>
      <c r="E92" s="34"/>
      <c r="F92" s="159" t="s">
        <v>1582</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189</v>
      </c>
      <c r="AU92" s="19" t="s">
        <v>87</v>
      </c>
    </row>
    <row r="93" spans="1:65" s="2" customFormat="1" ht="146.25">
      <c r="A93" s="34"/>
      <c r="B93" s="35"/>
      <c r="C93" s="34"/>
      <c r="D93" s="153" t="s">
        <v>191</v>
      </c>
      <c r="E93" s="34"/>
      <c r="F93" s="160" t="s">
        <v>1583</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191</v>
      </c>
      <c r="AU93" s="19" t="s">
        <v>87</v>
      </c>
    </row>
    <row r="94" spans="1:65" s="14" customFormat="1">
      <c r="B94" s="169"/>
      <c r="D94" s="153" t="s">
        <v>193</v>
      </c>
      <c r="E94" s="170" t="s">
        <v>3</v>
      </c>
      <c r="F94" s="171" t="s">
        <v>1801</v>
      </c>
      <c r="H94" s="170" t="s">
        <v>3</v>
      </c>
      <c r="I94" s="172"/>
      <c r="L94" s="169"/>
      <c r="M94" s="173"/>
      <c r="N94" s="174"/>
      <c r="O94" s="174"/>
      <c r="P94" s="174"/>
      <c r="Q94" s="174"/>
      <c r="R94" s="174"/>
      <c r="S94" s="174"/>
      <c r="T94" s="175"/>
      <c r="AT94" s="170" t="s">
        <v>193</v>
      </c>
      <c r="AU94" s="170" t="s">
        <v>87</v>
      </c>
      <c r="AV94" s="14" t="s">
        <v>85</v>
      </c>
      <c r="AW94" s="14" t="s">
        <v>36</v>
      </c>
      <c r="AX94" s="14" t="s">
        <v>77</v>
      </c>
      <c r="AY94" s="170" t="s">
        <v>177</v>
      </c>
    </row>
    <row r="95" spans="1:65" s="13" customFormat="1">
      <c r="B95" s="161"/>
      <c r="D95" s="153" t="s">
        <v>193</v>
      </c>
      <c r="E95" s="162" t="s">
        <v>3</v>
      </c>
      <c r="F95" s="163" t="s">
        <v>1802</v>
      </c>
      <c r="H95" s="164">
        <v>12</v>
      </c>
      <c r="I95" s="165"/>
      <c r="L95" s="161"/>
      <c r="M95" s="166"/>
      <c r="N95" s="167"/>
      <c r="O95" s="167"/>
      <c r="P95" s="167"/>
      <c r="Q95" s="167"/>
      <c r="R95" s="167"/>
      <c r="S95" s="167"/>
      <c r="T95" s="168"/>
      <c r="AT95" s="162" t="s">
        <v>193</v>
      </c>
      <c r="AU95" s="162" t="s">
        <v>87</v>
      </c>
      <c r="AV95" s="13" t="s">
        <v>87</v>
      </c>
      <c r="AW95" s="13" t="s">
        <v>36</v>
      </c>
      <c r="AX95" s="13" t="s">
        <v>85</v>
      </c>
      <c r="AY95" s="162" t="s">
        <v>177</v>
      </c>
    </row>
    <row r="96" spans="1:65" s="2" customFormat="1" ht="16.5" customHeight="1">
      <c r="A96" s="34"/>
      <c r="B96" s="139"/>
      <c r="C96" s="140" t="s">
        <v>87</v>
      </c>
      <c r="D96" s="140" t="s">
        <v>180</v>
      </c>
      <c r="E96" s="141" t="s">
        <v>1585</v>
      </c>
      <c r="F96" s="142" t="s">
        <v>1586</v>
      </c>
      <c r="G96" s="143" t="s">
        <v>332</v>
      </c>
      <c r="H96" s="144">
        <v>12</v>
      </c>
      <c r="I96" s="145"/>
      <c r="J96" s="146">
        <f>ROUND(I96*H96,2)</f>
        <v>0</v>
      </c>
      <c r="K96" s="142" t="s">
        <v>184</v>
      </c>
      <c r="L96" s="35"/>
      <c r="M96" s="147" t="s">
        <v>3</v>
      </c>
      <c r="N96" s="148" t="s">
        <v>48</v>
      </c>
      <c r="O96" s="55"/>
      <c r="P96" s="149">
        <f>O96*H96</f>
        <v>0</v>
      </c>
      <c r="Q96" s="149">
        <v>0</v>
      </c>
      <c r="R96" s="149">
        <f>Q96*H96</f>
        <v>0</v>
      </c>
      <c r="S96" s="149">
        <v>0</v>
      </c>
      <c r="T96" s="150">
        <f>S96*H96</f>
        <v>0</v>
      </c>
      <c r="U96" s="34"/>
      <c r="V96" s="34"/>
      <c r="W96" s="34"/>
      <c r="X96" s="34"/>
      <c r="Y96" s="34"/>
      <c r="Z96" s="34"/>
      <c r="AA96" s="34"/>
      <c r="AB96" s="34"/>
      <c r="AC96" s="34"/>
      <c r="AD96" s="34"/>
      <c r="AE96" s="34"/>
      <c r="AR96" s="151" t="s">
        <v>185</v>
      </c>
      <c r="AT96" s="151" t="s">
        <v>180</v>
      </c>
      <c r="AU96" s="151" t="s">
        <v>87</v>
      </c>
      <c r="AY96" s="19" t="s">
        <v>177</v>
      </c>
      <c r="BE96" s="152">
        <f>IF(N96="základní",J96,0)</f>
        <v>0</v>
      </c>
      <c r="BF96" s="152">
        <f>IF(N96="snížená",J96,0)</f>
        <v>0</v>
      </c>
      <c r="BG96" s="152">
        <f>IF(N96="zákl. přenesená",J96,0)</f>
        <v>0</v>
      </c>
      <c r="BH96" s="152">
        <f>IF(N96="sníž. přenesená",J96,0)</f>
        <v>0</v>
      </c>
      <c r="BI96" s="152">
        <f>IF(N96="nulová",J96,0)</f>
        <v>0</v>
      </c>
      <c r="BJ96" s="19" t="s">
        <v>85</v>
      </c>
      <c r="BK96" s="152">
        <f>ROUND(I96*H96,2)</f>
        <v>0</v>
      </c>
      <c r="BL96" s="19" t="s">
        <v>185</v>
      </c>
      <c r="BM96" s="151" t="s">
        <v>1803</v>
      </c>
    </row>
    <row r="97" spans="1:65" s="2" customFormat="1">
      <c r="A97" s="34"/>
      <c r="B97" s="35"/>
      <c r="C97" s="34"/>
      <c r="D97" s="153" t="s">
        <v>187</v>
      </c>
      <c r="E97" s="34"/>
      <c r="F97" s="154" t="s">
        <v>1588</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187</v>
      </c>
      <c r="AU97" s="19" t="s">
        <v>87</v>
      </c>
    </row>
    <row r="98" spans="1:65" s="2" customFormat="1">
      <c r="A98" s="34"/>
      <c r="B98" s="35"/>
      <c r="C98" s="34"/>
      <c r="D98" s="158" t="s">
        <v>189</v>
      </c>
      <c r="E98" s="34"/>
      <c r="F98" s="159" t="s">
        <v>1589</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189</v>
      </c>
      <c r="AU98" s="19" t="s">
        <v>87</v>
      </c>
    </row>
    <row r="99" spans="1:65" s="2" customFormat="1" ht="146.25">
      <c r="A99" s="34"/>
      <c r="B99" s="35"/>
      <c r="C99" s="34"/>
      <c r="D99" s="153" t="s">
        <v>191</v>
      </c>
      <c r="E99" s="34"/>
      <c r="F99" s="160" t="s">
        <v>1583</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191</v>
      </c>
      <c r="AU99" s="19" t="s">
        <v>87</v>
      </c>
    </row>
    <row r="100" spans="1:65" s="2" customFormat="1" ht="16.5" customHeight="1">
      <c r="A100" s="34"/>
      <c r="B100" s="139"/>
      <c r="C100" s="140" t="s">
        <v>198</v>
      </c>
      <c r="D100" s="140" t="s">
        <v>180</v>
      </c>
      <c r="E100" s="141" t="s">
        <v>1590</v>
      </c>
      <c r="F100" s="142" t="s">
        <v>1591</v>
      </c>
      <c r="G100" s="143" t="s">
        <v>332</v>
      </c>
      <c r="H100" s="144">
        <v>12</v>
      </c>
      <c r="I100" s="145"/>
      <c r="J100" s="146">
        <f>ROUND(I100*H100,2)</f>
        <v>0</v>
      </c>
      <c r="K100" s="142" t="s">
        <v>184</v>
      </c>
      <c r="L100" s="35"/>
      <c r="M100" s="147" t="s">
        <v>3</v>
      </c>
      <c r="N100" s="148" t="s">
        <v>48</v>
      </c>
      <c r="O100" s="55"/>
      <c r="P100" s="149">
        <f>O100*H100</f>
        <v>0</v>
      </c>
      <c r="Q100" s="149">
        <v>8.8228000000000004E-4</v>
      </c>
      <c r="R100" s="149">
        <f>Q100*H100</f>
        <v>1.0587360000000001E-2</v>
      </c>
      <c r="S100" s="149">
        <v>0</v>
      </c>
      <c r="T100" s="150">
        <f>S100*H100</f>
        <v>0</v>
      </c>
      <c r="U100" s="34"/>
      <c r="V100" s="34"/>
      <c r="W100" s="34"/>
      <c r="X100" s="34"/>
      <c r="Y100" s="34"/>
      <c r="Z100" s="34"/>
      <c r="AA100" s="34"/>
      <c r="AB100" s="34"/>
      <c r="AC100" s="34"/>
      <c r="AD100" s="34"/>
      <c r="AE100" s="34"/>
      <c r="AR100" s="151" t="s">
        <v>185</v>
      </c>
      <c r="AT100" s="151" t="s">
        <v>180</v>
      </c>
      <c r="AU100" s="151" t="s">
        <v>87</v>
      </c>
      <c r="AY100" s="19" t="s">
        <v>177</v>
      </c>
      <c r="BE100" s="152">
        <f>IF(N100="základní",J100,0)</f>
        <v>0</v>
      </c>
      <c r="BF100" s="152">
        <f>IF(N100="snížená",J100,0)</f>
        <v>0</v>
      </c>
      <c r="BG100" s="152">
        <f>IF(N100="zákl. přenesená",J100,0)</f>
        <v>0</v>
      </c>
      <c r="BH100" s="152">
        <f>IF(N100="sníž. přenesená",J100,0)</f>
        <v>0</v>
      </c>
      <c r="BI100" s="152">
        <f>IF(N100="nulová",J100,0)</f>
        <v>0</v>
      </c>
      <c r="BJ100" s="19" t="s">
        <v>85</v>
      </c>
      <c r="BK100" s="152">
        <f>ROUND(I100*H100,2)</f>
        <v>0</v>
      </c>
      <c r="BL100" s="19" t="s">
        <v>185</v>
      </c>
      <c r="BM100" s="151" t="s">
        <v>1804</v>
      </c>
    </row>
    <row r="101" spans="1:65" s="2" customFormat="1">
      <c r="A101" s="34"/>
      <c r="B101" s="35"/>
      <c r="C101" s="34"/>
      <c r="D101" s="153" t="s">
        <v>187</v>
      </c>
      <c r="E101" s="34"/>
      <c r="F101" s="154" t="s">
        <v>1593</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187</v>
      </c>
      <c r="AU101" s="19" t="s">
        <v>87</v>
      </c>
    </row>
    <row r="102" spans="1:65" s="2" customFormat="1">
      <c r="A102" s="34"/>
      <c r="B102" s="35"/>
      <c r="C102" s="34"/>
      <c r="D102" s="158" t="s">
        <v>189</v>
      </c>
      <c r="E102" s="34"/>
      <c r="F102" s="159" t="s">
        <v>1594</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189</v>
      </c>
      <c r="AU102" s="19" t="s">
        <v>87</v>
      </c>
    </row>
    <row r="103" spans="1:65" s="2" customFormat="1" ht="29.25">
      <c r="A103" s="34"/>
      <c r="B103" s="35"/>
      <c r="C103" s="34"/>
      <c r="D103" s="153" t="s">
        <v>191</v>
      </c>
      <c r="E103" s="34"/>
      <c r="F103" s="160" t="s">
        <v>1595</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191</v>
      </c>
      <c r="AU103" s="19" t="s">
        <v>87</v>
      </c>
    </row>
    <row r="104" spans="1:65" s="2" customFormat="1" ht="16.5" customHeight="1">
      <c r="A104" s="34"/>
      <c r="B104" s="139"/>
      <c r="C104" s="140" t="s">
        <v>185</v>
      </c>
      <c r="D104" s="140" t="s">
        <v>180</v>
      </c>
      <c r="E104" s="141" t="s">
        <v>1596</v>
      </c>
      <c r="F104" s="142" t="s">
        <v>1597</v>
      </c>
      <c r="G104" s="143" t="s">
        <v>332</v>
      </c>
      <c r="H104" s="144">
        <v>12</v>
      </c>
      <c r="I104" s="145"/>
      <c r="J104" s="146">
        <f>ROUND(I104*H104,2)</f>
        <v>0</v>
      </c>
      <c r="K104" s="142" t="s">
        <v>184</v>
      </c>
      <c r="L104" s="35"/>
      <c r="M104" s="147" t="s">
        <v>3</v>
      </c>
      <c r="N104" s="148" t="s">
        <v>48</v>
      </c>
      <c r="O104" s="55"/>
      <c r="P104" s="149">
        <f>O104*H104</f>
        <v>0</v>
      </c>
      <c r="Q104" s="149">
        <v>0</v>
      </c>
      <c r="R104" s="149">
        <f>Q104*H104</f>
        <v>0</v>
      </c>
      <c r="S104" s="149">
        <v>0</v>
      </c>
      <c r="T104" s="150">
        <f>S104*H104</f>
        <v>0</v>
      </c>
      <c r="U104" s="34"/>
      <c r="V104" s="34"/>
      <c r="W104" s="34"/>
      <c r="X104" s="34"/>
      <c r="Y104" s="34"/>
      <c r="Z104" s="34"/>
      <c r="AA104" s="34"/>
      <c r="AB104" s="34"/>
      <c r="AC104" s="34"/>
      <c r="AD104" s="34"/>
      <c r="AE104" s="34"/>
      <c r="AR104" s="151" t="s">
        <v>185</v>
      </c>
      <c r="AT104" s="151" t="s">
        <v>180</v>
      </c>
      <c r="AU104" s="151" t="s">
        <v>87</v>
      </c>
      <c r="AY104" s="19" t="s">
        <v>177</v>
      </c>
      <c r="BE104" s="152">
        <f>IF(N104="základní",J104,0)</f>
        <v>0</v>
      </c>
      <c r="BF104" s="152">
        <f>IF(N104="snížená",J104,0)</f>
        <v>0</v>
      </c>
      <c r="BG104" s="152">
        <f>IF(N104="zákl. přenesená",J104,0)</f>
        <v>0</v>
      </c>
      <c r="BH104" s="152">
        <f>IF(N104="sníž. přenesená",J104,0)</f>
        <v>0</v>
      </c>
      <c r="BI104" s="152">
        <f>IF(N104="nulová",J104,0)</f>
        <v>0</v>
      </c>
      <c r="BJ104" s="19" t="s">
        <v>85</v>
      </c>
      <c r="BK104" s="152">
        <f>ROUND(I104*H104,2)</f>
        <v>0</v>
      </c>
      <c r="BL104" s="19" t="s">
        <v>185</v>
      </c>
      <c r="BM104" s="151" t="s">
        <v>1805</v>
      </c>
    </row>
    <row r="105" spans="1:65" s="2" customFormat="1">
      <c r="A105" s="34"/>
      <c r="B105" s="35"/>
      <c r="C105" s="34"/>
      <c r="D105" s="153" t="s">
        <v>187</v>
      </c>
      <c r="E105" s="34"/>
      <c r="F105" s="154" t="s">
        <v>1599</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187</v>
      </c>
      <c r="AU105" s="19" t="s">
        <v>87</v>
      </c>
    </row>
    <row r="106" spans="1:65" s="2" customFormat="1">
      <c r="A106" s="34"/>
      <c r="B106" s="35"/>
      <c r="C106" s="34"/>
      <c r="D106" s="158" t="s">
        <v>189</v>
      </c>
      <c r="E106" s="34"/>
      <c r="F106" s="159" t="s">
        <v>1600</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189</v>
      </c>
      <c r="AU106" s="19" t="s">
        <v>87</v>
      </c>
    </row>
    <row r="107" spans="1:65" s="2" customFormat="1" ht="29.25">
      <c r="A107" s="34"/>
      <c r="B107" s="35"/>
      <c r="C107" s="34"/>
      <c r="D107" s="153" t="s">
        <v>191</v>
      </c>
      <c r="E107" s="34"/>
      <c r="F107" s="160" t="s">
        <v>1595</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191</v>
      </c>
      <c r="AU107" s="19" t="s">
        <v>87</v>
      </c>
    </row>
    <row r="108" spans="1:65" s="12" customFormat="1" ht="22.9" customHeight="1">
      <c r="B108" s="126"/>
      <c r="D108" s="127" t="s">
        <v>76</v>
      </c>
      <c r="E108" s="137" t="s">
        <v>252</v>
      </c>
      <c r="F108" s="137" t="s">
        <v>329</v>
      </c>
      <c r="I108" s="129"/>
      <c r="J108" s="138">
        <f>BK108</f>
        <v>0</v>
      </c>
      <c r="L108" s="126"/>
      <c r="M108" s="131"/>
      <c r="N108" s="132"/>
      <c r="O108" s="132"/>
      <c r="P108" s="133">
        <f>SUM(P109:P257)</f>
        <v>0</v>
      </c>
      <c r="Q108" s="132"/>
      <c r="R108" s="133">
        <f>SUM(R109:R257)</f>
        <v>7.9507438699099984</v>
      </c>
      <c r="S108" s="132"/>
      <c r="T108" s="134">
        <f>SUM(T109:T257)</f>
        <v>192.94002599999999</v>
      </c>
      <c r="AR108" s="127" t="s">
        <v>85</v>
      </c>
      <c r="AT108" s="135" t="s">
        <v>76</v>
      </c>
      <c r="AU108" s="135" t="s">
        <v>85</v>
      </c>
      <c r="AY108" s="127" t="s">
        <v>177</v>
      </c>
      <c r="BK108" s="136">
        <f>SUM(BK109:BK257)</f>
        <v>0</v>
      </c>
    </row>
    <row r="109" spans="1:65" s="2" customFormat="1" ht="21.75" customHeight="1">
      <c r="A109" s="34"/>
      <c r="B109" s="139"/>
      <c r="C109" s="140" t="s">
        <v>200</v>
      </c>
      <c r="D109" s="140" t="s">
        <v>180</v>
      </c>
      <c r="E109" s="141" t="s">
        <v>682</v>
      </c>
      <c r="F109" s="142" t="s">
        <v>683</v>
      </c>
      <c r="G109" s="143" t="s">
        <v>332</v>
      </c>
      <c r="H109" s="144">
        <v>328.8</v>
      </c>
      <c r="I109" s="145"/>
      <c r="J109" s="146">
        <f>ROUND(I109*H109,2)</f>
        <v>0</v>
      </c>
      <c r="K109" s="142" t="s">
        <v>184</v>
      </c>
      <c r="L109" s="35"/>
      <c r="M109" s="147" t="s">
        <v>3</v>
      </c>
      <c r="N109" s="148" t="s">
        <v>48</v>
      </c>
      <c r="O109" s="55"/>
      <c r="P109" s="149">
        <f>O109*H109</f>
        <v>0</v>
      </c>
      <c r="Q109" s="149">
        <v>1.2999999999999999E-4</v>
      </c>
      <c r="R109" s="149">
        <f>Q109*H109</f>
        <v>4.2743999999999997E-2</v>
      </c>
      <c r="S109" s="149">
        <v>0</v>
      </c>
      <c r="T109" s="150">
        <f>S109*H109</f>
        <v>0</v>
      </c>
      <c r="U109" s="34"/>
      <c r="V109" s="34"/>
      <c r="W109" s="34"/>
      <c r="X109" s="34"/>
      <c r="Y109" s="34"/>
      <c r="Z109" s="34"/>
      <c r="AA109" s="34"/>
      <c r="AB109" s="34"/>
      <c r="AC109" s="34"/>
      <c r="AD109" s="34"/>
      <c r="AE109" s="34"/>
      <c r="AR109" s="151" t="s">
        <v>185</v>
      </c>
      <c r="AT109" s="151" t="s">
        <v>180</v>
      </c>
      <c r="AU109" s="151" t="s">
        <v>87</v>
      </c>
      <c r="AY109" s="19" t="s">
        <v>177</v>
      </c>
      <c r="BE109" s="152">
        <f>IF(N109="základní",J109,0)</f>
        <v>0</v>
      </c>
      <c r="BF109" s="152">
        <f>IF(N109="snížená",J109,0)</f>
        <v>0</v>
      </c>
      <c r="BG109" s="152">
        <f>IF(N109="zákl. přenesená",J109,0)</f>
        <v>0</v>
      </c>
      <c r="BH109" s="152">
        <f>IF(N109="sníž. přenesená",J109,0)</f>
        <v>0</v>
      </c>
      <c r="BI109" s="152">
        <f>IF(N109="nulová",J109,0)</f>
        <v>0</v>
      </c>
      <c r="BJ109" s="19" t="s">
        <v>85</v>
      </c>
      <c r="BK109" s="152">
        <f>ROUND(I109*H109,2)</f>
        <v>0</v>
      </c>
      <c r="BL109" s="19" t="s">
        <v>185</v>
      </c>
      <c r="BM109" s="151" t="s">
        <v>1806</v>
      </c>
    </row>
    <row r="110" spans="1:65" s="2" customFormat="1">
      <c r="A110" s="34"/>
      <c r="B110" s="35"/>
      <c r="C110" s="34"/>
      <c r="D110" s="153" t="s">
        <v>187</v>
      </c>
      <c r="E110" s="34"/>
      <c r="F110" s="154" t="s">
        <v>685</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187</v>
      </c>
      <c r="AU110" s="19" t="s">
        <v>87</v>
      </c>
    </row>
    <row r="111" spans="1:65" s="2" customFormat="1">
      <c r="A111" s="34"/>
      <c r="B111" s="35"/>
      <c r="C111" s="34"/>
      <c r="D111" s="158" t="s">
        <v>189</v>
      </c>
      <c r="E111" s="34"/>
      <c r="F111" s="159" t="s">
        <v>686</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189</v>
      </c>
      <c r="AU111" s="19" t="s">
        <v>87</v>
      </c>
    </row>
    <row r="112" spans="1:65" s="2" customFormat="1" ht="48.75">
      <c r="A112" s="34"/>
      <c r="B112" s="35"/>
      <c r="C112" s="34"/>
      <c r="D112" s="153" t="s">
        <v>191</v>
      </c>
      <c r="E112" s="34"/>
      <c r="F112" s="160" t="s">
        <v>336</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191</v>
      </c>
      <c r="AU112" s="19" t="s">
        <v>87</v>
      </c>
    </row>
    <row r="113" spans="1:65" s="13" customFormat="1">
      <c r="B113" s="161"/>
      <c r="D113" s="153" t="s">
        <v>193</v>
      </c>
      <c r="E113" s="162" t="s">
        <v>3</v>
      </c>
      <c r="F113" s="163" t="s">
        <v>995</v>
      </c>
      <c r="H113" s="164">
        <v>328.8</v>
      </c>
      <c r="I113" s="165"/>
      <c r="L113" s="161"/>
      <c r="M113" s="166"/>
      <c r="N113" s="167"/>
      <c r="O113" s="167"/>
      <c r="P113" s="167"/>
      <c r="Q113" s="167"/>
      <c r="R113" s="167"/>
      <c r="S113" s="167"/>
      <c r="T113" s="168"/>
      <c r="AT113" s="162" t="s">
        <v>193</v>
      </c>
      <c r="AU113" s="162" t="s">
        <v>87</v>
      </c>
      <c r="AV113" s="13" t="s">
        <v>87</v>
      </c>
      <c r="AW113" s="13" t="s">
        <v>36</v>
      </c>
      <c r="AX113" s="13" t="s">
        <v>77</v>
      </c>
      <c r="AY113" s="162" t="s">
        <v>177</v>
      </c>
    </row>
    <row r="114" spans="1:65" s="16" customFormat="1">
      <c r="B114" s="184"/>
      <c r="D114" s="153" t="s">
        <v>193</v>
      </c>
      <c r="E114" s="185" t="s">
        <v>3</v>
      </c>
      <c r="F114" s="186" t="s">
        <v>201</v>
      </c>
      <c r="H114" s="187">
        <v>328.8</v>
      </c>
      <c r="I114" s="188"/>
      <c r="L114" s="184"/>
      <c r="M114" s="189"/>
      <c r="N114" s="190"/>
      <c r="O114" s="190"/>
      <c r="P114" s="190"/>
      <c r="Q114" s="190"/>
      <c r="R114" s="190"/>
      <c r="S114" s="190"/>
      <c r="T114" s="191"/>
      <c r="AT114" s="185" t="s">
        <v>193</v>
      </c>
      <c r="AU114" s="185" t="s">
        <v>87</v>
      </c>
      <c r="AV114" s="16" t="s">
        <v>185</v>
      </c>
      <c r="AW114" s="16" t="s">
        <v>36</v>
      </c>
      <c r="AX114" s="16" t="s">
        <v>85</v>
      </c>
      <c r="AY114" s="185" t="s">
        <v>177</v>
      </c>
    </row>
    <row r="115" spans="1:65" s="2" customFormat="1" ht="16.5" customHeight="1">
      <c r="A115" s="34"/>
      <c r="B115" s="139"/>
      <c r="C115" s="140" t="s">
        <v>233</v>
      </c>
      <c r="D115" s="140" t="s">
        <v>180</v>
      </c>
      <c r="E115" s="141" t="s">
        <v>339</v>
      </c>
      <c r="F115" s="142" t="s">
        <v>340</v>
      </c>
      <c r="G115" s="143" t="s">
        <v>332</v>
      </c>
      <c r="H115" s="144">
        <v>328.8</v>
      </c>
      <c r="I115" s="145"/>
      <c r="J115" s="146">
        <f>ROUND(I115*H115,2)</f>
        <v>0</v>
      </c>
      <c r="K115" s="142" t="s">
        <v>184</v>
      </c>
      <c r="L115" s="35"/>
      <c r="M115" s="147" t="s">
        <v>3</v>
      </c>
      <c r="N115" s="148" t="s">
        <v>48</v>
      </c>
      <c r="O115" s="55"/>
      <c r="P115" s="149">
        <f>O115*H115</f>
        <v>0</v>
      </c>
      <c r="Q115" s="149">
        <v>3.4999999999999997E-5</v>
      </c>
      <c r="R115" s="149">
        <f>Q115*H115</f>
        <v>1.1507999999999999E-2</v>
      </c>
      <c r="S115" s="149">
        <v>0</v>
      </c>
      <c r="T115" s="150">
        <f>S115*H115</f>
        <v>0</v>
      </c>
      <c r="U115" s="34"/>
      <c r="V115" s="34"/>
      <c r="W115" s="34"/>
      <c r="X115" s="34"/>
      <c r="Y115" s="34"/>
      <c r="Z115" s="34"/>
      <c r="AA115" s="34"/>
      <c r="AB115" s="34"/>
      <c r="AC115" s="34"/>
      <c r="AD115" s="34"/>
      <c r="AE115" s="34"/>
      <c r="AR115" s="151" t="s">
        <v>185</v>
      </c>
      <c r="AT115" s="151" t="s">
        <v>180</v>
      </c>
      <c r="AU115" s="151" t="s">
        <v>87</v>
      </c>
      <c r="AY115" s="19" t="s">
        <v>177</v>
      </c>
      <c r="BE115" s="152">
        <f>IF(N115="základní",J115,0)</f>
        <v>0</v>
      </c>
      <c r="BF115" s="152">
        <f>IF(N115="snížená",J115,0)</f>
        <v>0</v>
      </c>
      <c r="BG115" s="152">
        <f>IF(N115="zákl. přenesená",J115,0)</f>
        <v>0</v>
      </c>
      <c r="BH115" s="152">
        <f>IF(N115="sníž. přenesená",J115,0)</f>
        <v>0</v>
      </c>
      <c r="BI115" s="152">
        <f>IF(N115="nulová",J115,0)</f>
        <v>0</v>
      </c>
      <c r="BJ115" s="19" t="s">
        <v>85</v>
      </c>
      <c r="BK115" s="152">
        <f>ROUND(I115*H115,2)</f>
        <v>0</v>
      </c>
      <c r="BL115" s="19" t="s">
        <v>185</v>
      </c>
      <c r="BM115" s="151" t="s">
        <v>1807</v>
      </c>
    </row>
    <row r="116" spans="1:65" s="2" customFormat="1">
      <c r="A116" s="34"/>
      <c r="B116" s="35"/>
      <c r="C116" s="34"/>
      <c r="D116" s="153" t="s">
        <v>187</v>
      </c>
      <c r="E116" s="34"/>
      <c r="F116" s="154" t="s">
        <v>342</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187</v>
      </c>
      <c r="AU116" s="19" t="s">
        <v>87</v>
      </c>
    </row>
    <row r="117" spans="1:65" s="2" customFormat="1">
      <c r="A117" s="34"/>
      <c r="B117" s="35"/>
      <c r="C117" s="34"/>
      <c r="D117" s="158" t="s">
        <v>189</v>
      </c>
      <c r="E117" s="34"/>
      <c r="F117" s="159" t="s">
        <v>343</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189</v>
      </c>
      <c r="AU117" s="19" t="s">
        <v>87</v>
      </c>
    </row>
    <row r="118" spans="1:65" s="2" customFormat="1" ht="165.75">
      <c r="A118" s="34"/>
      <c r="B118" s="35"/>
      <c r="C118" s="34"/>
      <c r="D118" s="153" t="s">
        <v>191</v>
      </c>
      <c r="E118" s="34"/>
      <c r="F118" s="160" t="s">
        <v>344</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191</v>
      </c>
      <c r="AU118" s="19" t="s">
        <v>87</v>
      </c>
    </row>
    <row r="119" spans="1:65" s="2" customFormat="1" ht="16.5" customHeight="1">
      <c r="A119" s="34"/>
      <c r="B119" s="139"/>
      <c r="C119" s="140" t="s">
        <v>241</v>
      </c>
      <c r="D119" s="140" t="s">
        <v>180</v>
      </c>
      <c r="E119" s="141" t="s">
        <v>1480</v>
      </c>
      <c r="F119" s="142" t="s">
        <v>1481</v>
      </c>
      <c r="G119" s="143" t="s">
        <v>332</v>
      </c>
      <c r="H119" s="144">
        <v>255.161</v>
      </c>
      <c r="I119" s="145"/>
      <c r="J119" s="146">
        <f>ROUND(I119*H119,2)</f>
        <v>0</v>
      </c>
      <c r="K119" s="142" t="s">
        <v>184</v>
      </c>
      <c r="L119" s="35"/>
      <c r="M119" s="147" t="s">
        <v>3</v>
      </c>
      <c r="N119" s="148" t="s">
        <v>48</v>
      </c>
      <c r="O119" s="55"/>
      <c r="P119" s="149">
        <f>O119*H119</f>
        <v>0</v>
      </c>
      <c r="Q119" s="149">
        <v>0</v>
      </c>
      <c r="R119" s="149">
        <f>Q119*H119</f>
        <v>0</v>
      </c>
      <c r="S119" s="149">
        <v>0.26100000000000001</v>
      </c>
      <c r="T119" s="150">
        <f>S119*H119</f>
        <v>66.597020999999998</v>
      </c>
      <c r="U119" s="34"/>
      <c r="V119" s="34"/>
      <c r="W119" s="34"/>
      <c r="X119" s="34"/>
      <c r="Y119" s="34"/>
      <c r="Z119" s="34"/>
      <c r="AA119" s="34"/>
      <c r="AB119" s="34"/>
      <c r="AC119" s="34"/>
      <c r="AD119" s="34"/>
      <c r="AE119" s="34"/>
      <c r="AR119" s="151" t="s">
        <v>185</v>
      </c>
      <c r="AT119" s="151" t="s">
        <v>180</v>
      </c>
      <c r="AU119" s="151" t="s">
        <v>87</v>
      </c>
      <c r="AY119" s="19" t="s">
        <v>177</v>
      </c>
      <c r="BE119" s="152">
        <f>IF(N119="základní",J119,0)</f>
        <v>0</v>
      </c>
      <c r="BF119" s="152">
        <f>IF(N119="snížená",J119,0)</f>
        <v>0</v>
      </c>
      <c r="BG119" s="152">
        <f>IF(N119="zákl. přenesená",J119,0)</f>
        <v>0</v>
      </c>
      <c r="BH119" s="152">
        <f>IF(N119="sníž. přenesená",J119,0)</f>
        <v>0</v>
      </c>
      <c r="BI119" s="152">
        <f>IF(N119="nulová",J119,0)</f>
        <v>0</v>
      </c>
      <c r="BJ119" s="19" t="s">
        <v>85</v>
      </c>
      <c r="BK119" s="152">
        <f>ROUND(I119*H119,2)</f>
        <v>0</v>
      </c>
      <c r="BL119" s="19" t="s">
        <v>185</v>
      </c>
      <c r="BM119" s="151" t="s">
        <v>1808</v>
      </c>
    </row>
    <row r="120" spans="1:65" s="2" customFormat="1" ht="19.5">
      <c r="A120" s="34"/>
      <c r="B120" s="35"/>
      <c r="C120" s="34"/>
      <c r="D120" s="153" t="s">
        <v>187</v>
      </c>
      <c r="E120" s="34"/>
      <c r="F120" s="154" t="s">
        <v>1483</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187</v>
      </c>
      <c r="AU120" s="19" t="s">
        <v>87</v>
      </c>
    </row>
    <row r="121" spans="1:65" s="2" customFormat="1">
      <c r="A121" s="34"/>
      <c r="B121" s="35"/>
      <c r="C121" s="34"/>
      <c r="D121" s="158" t="s">
        <v>189</v>
      </c>
      <c r="E121" s="34"/>
      <c r="F121" s="159" t="s">
        <v>1484</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189</v>
      </c>
      <c r="AU121" s="19" t="s">
        <v>87</v>
      </c>
    </row>
    <row r="122" spans="1:65" s="13" customFormat="1">
      <c r="B122" s="161"/>
      <c r="D122" s="153" t="s">
        <v>193</v>
      </c>
      <c r="E122" s="162" t="s">
        <v>3</v>
      </c>
      <c r="F122" s="163" t="s">
        <v>1809</v>
      </c>
      <c r="H122" s="164">
        <v>274.84100000000001</v>
      </c>
      <c r="I122" s="165"/>
      <c r="L122" s="161"/>
      <c r="M122" s="166"/>
      <c r="N122" s="167"/>
      <c r="O122" s="167"/>
      <c r="P122" s="167"/>
      <c r="Q122" s="167"/>
      <c r="R122" s="167"/>
      <c r="S122" s="167"/>
      <c r="T122" s="168"/>
      <c r="AT122" s="162" t="s">
        <v>193</v>
      </c>
      <c r="AU122" s="162" t="s">
        <v>87</v>
      </c>
      <c r="AV122" s="13" t="s">
        <v>87</v>
      </c>
      <c r="AW122" s="13" t="s">
        <v>36</v>
      </c>
      <c r="AX122" s="13" t="s">
        <v>77</v>
      </c>
      <c r="AY122" s="162" t="s">
        <v>177</v>
      </c>
    </row>
    <row r="123" spans="1:65" s="13" customFormat="1">
      <c r="B123" s="161"/>
      <c r="D123" s="153" t="s">
        <v>193</v>
      </c>
      <c r="E123" s="162" t="s">
        <v>3</v>
      </c>
      <c r="F123" s="163" t="s">
        <v>1810</v>
      </c>
      <c r="H123" s="164">
        <v>-19.68</v>
      </c>
      <c r="I123" s="165"/>
      <c r="L123" s="161"/>
      <c r="M123" s="166"/>
      <c r="N123" s="167"/>
      <c r="O123" s="167"/>
      <c r="P123" s="167"/>
      <c r="Q123" s="167"/>
      <c r="R123" s="167"/>
      <c r="S123" s="167"/>
      <c r="T123" s="168"/>
      <c r="AT123" s="162" t="s">
        <v>193</v>
      </c>
      <c r="AU123" s="162" t="s">
        <v>87</v>
      </c>
      <c r="AV123" s="13" t="s">
        <v>87</v>
      </c>
      <c r="AW123" s="13" t="s">
        <v>36</v>
      </c>
      <c r="AX123" s="13" t="s">
        <v>77</v>
      </c>
      <c r="AY123" s="162" t="s">
        <v>177</v>
      </c>
    </row>
    <row r="124" spans="1:65" s="16" customFormat="1">
      <c r="B124" s="184"/>
      <c r="D124" s="153" t="s">
        <v>193</v>
      </c>
      <c r="E124" s="185" t="s">
        <v>3</v>
      </c>
      <c r="F124" s="186" t="s">
        <v>201</v>
      </c>
      <c r="H124" s="187">
        <v>255.161</v>
      </c>
      <c r="I124" s="188"/>
      <c r="L124" s="184"/>
      <c r="M124" s="189"/>
      <c r="N124" s="190"/>
      <c r="O124" s="190"/>
      <c r="P124" s="190"/>
      <c r="Q124" s="190"/>
      <c r="R124" s="190"/>
      <c r="S124" s="190"/>
      <c r="T124" s="191"/>
      <c r="AT124" s="185" t="s">
        <v>193</v>
      </c>
      <c r="AU124" s="185" t="s">
        <v>87</v>
      </c>
      <c r="AV124" s="16" t="s">
        <v>185</v>
      </c>
      <c r="AW124" s="16" t="s">
        <v>36</v>
      </c>
      <c r="AX124" s="16" t="s">
        <v>85</v>
      </c>
      <c r="AY124" s="185" t="s">
        <v>177</v>
      </c>
    </row>
    <row r="125" spans="1:65" s="2" customFormat="1" ht="16.5" customHeight="1">
      <c r="A125" s="34"/>
      <c r="B125" s="139"/>
      <c r="C125" s="140" t="s">
        <v>248</v>
      </c>
      <c r="D125" s="140" t="s">
        <v>180</v>
      </c>
      <c r="E125" s="141" t="s">
        <v>1811</v>
      </c>
      <c r="F125" s="142" t="s">
        <v>1812</v>
      </c>
      <c r="G125" s="143" t="s">
        <v>808</v>
      </c>
      <c r="H125" s="144">
        <v>2.222</v>
      </c>
      <c r="I125" s="145"/>
      <c r="J125" s="146">
        <f>ROUND(I125*H125,2)</f>
        <v>0</v>
      </c>
      <c r="K125" s="142" t="s">
        <v>184</v>
      </c>
      <c r="L125" s="35"/>
      <c r="M125" s="147" t="s">
        <v>3</v>
      </c>
      <c r="N125" s="148" t="s">
        <v>48</v>
      </c>
      <c r="O125" s="55"/>
      <c r="P125" s="149">
        <f>O125*H125</f>
        <v>0</v>
      </c>
      <c r="Q125" s="149">
        <v>0</v>
      </c>
      <c r="R125" s="149">
        <f>Q125*H125</f>
        <v>0</v>
      </c>
      <c r="S125" s="149">
        <v>1.95</v>
      </c>
      <c r="T125" s="150">
        <f>S125*H125</f>
        <v>4.3328999999999995</v>
      </c>
      <c r="U125" s="34"/>
      <c r="V125" s="34"/>
      <c r="W125" s="34"/>
      <c r="X125" s="34"/>
      <c r="Y125" s="34"/>
      <c r="Z125" s="34"/>
      <c r="AA125" s="34"/>
      <c r="AB125" s="34"/>
      <c r="AC125" s="34"/>
      <c r="AD125" s="34"/>
      <c r="AE125" s="34"/>
      <c r="AR125" s="151" t="s">
        <v>185</v>
      </c>
      <c r="AT125" s="151" t="s">
        <v>180</v>
      </c>
      <c r="AU125" s="151" t="s">
        <v>87</v>
      </c>
      <c r="AY125" s="19" t="s">
        <v>177</v>
      </c>
      <c r="BE125" s="152">
        <f>IF(N125="základní",J125,0)</f>
        <v>0</v>
      </c>
      <c r="BF125" s="152">
        <f>IF(N125="snížená",J125,0)</f>
        <v>0</v>
      </c>
      <c r="BG125" s="152">
        <f>IF(N125="zákl. přenesená",J125,0)</f>
        <v>0</v>
      </c>
      <c r="BH125" s="152">
        <f>IF(N125="sníž. přenesená",J125,0)</f>
        <v>0</v>
      </c>
      <c r="BI125" s="152">
        <f>IF(N125="nulová",J125,0)</f>
        <v>0</v>
      </c>
      <c r="BJ125" s="19" t="s">
        <v>85</v>
      </c>
      <c r="BK125" s="152">
        <f>ROUND(I125*H125,2)</f>
        <v>0</v>
      </c>
      <c r="BL125" s="19" t="s">
        <v>185</v>
      </c>
      <c r="BM125" s="151" t="s">
        <v>1813</v>
      </c>
    </row>
    <row r="126" spans="1:65" s="2" customFormat="1">
      <c r="A126" s="34"/>
      <c r="B126" s="35"/>
      <c r="C126" s="34"/>
      <c r="D126" s="153" t="s">
        <v>187</v>
      </c>
      <c r="E126" s="34"/>
      <c r="F126" s="154" t="s">
        <v>1814</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187</v>
      </c>
      <c r="AU126" s="19" t="s">
        <v>87</v>
      </c>
    </row>
    <row r="127" spans="1:65" s="2" customFormat="1">
      <c r="A127" s="34"/>
      <c r="B127" s="35"/>
      <c r="C127" s="34"/>
      <c r="D127" s="158" t="s">
        <v>189</v>
      </c>
      <c r="E127" s="34"/>
      <c r="F127" s="159" t="s">
        <v>1815</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189</v>
      </c>
      <c r="AU127" s="19" t="s">
        <v>87</v>
      </c>
    </row>
    <row r="128" spans="1:65" s="2" customFormat="1" ht="39">
      <c r="A128" s="34"/>
      <c r="B128" s="35"/>
      <c r="C128" s="34"/>
      <c r="D128" s="153" t="s">
        <v>191</v>
      </c>
      <c r="E128" s="34"/>
      <c r="F128" s="160" t="s">
        <v>1816</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191</v>
      </c>
      <c r="AU128" s="19" t="s">
        <v>87</v>
      </c>
    </row>
    <row r="129" spans="1:65" s="14" customFormat="1">
      <c r="B129" s="169"/>
      <c r="D129" s="153" t="s">
        <v>193</v>
      </c>
      <c r="E129" s="170" t="s">
        <v>3</v>
      </c>
      <c r="F129" s="171" t="s">
        <v>1817</v>
      </c>
      <c r="H129" s="170" t="s">
        <v>3</v>
      </c>
      <c r="I129" s="172"/>
      <c r="L129" s="169"/>
      <c r="M129" s="173"/>
      <c r="N129" s="174"/>
      <c r="O129" s="174"/>
      <c r="P129" s="174"/>
      <c r="Q129" s="174"/>
      <c r="R129" s="174"/>
      <c r="S129" s="174"/>
      <c r="T129" s="175"/>
      <c r="AT129" s="170" t="s">
        <v>193</v>
      </c>
      <c r="AU129" s="170" t="s">
        <v>87</v>
      </c>
      <c r="AV129" s="14" t="s">
        <v>85</v>
      </c>
      <c r="AW129" s="14" t="s">
        <v>36</v>
      </c>
      <c r="AX129" s="14" t="s">
        <v>77</v>
      </c>
      <c r="AY129" s="170" t="s">
        <v>177</v>
      </c>
    </row>
    <row r="130" spans="1:65" s="13" customFormat="1">
      <c r="B130" s="161"/>
      <c r="D130" s="153" t="s">
        <v>193</v>
      </c>
      <c r="E130" s="162" t="s">
        <v>3</v>
      </c>
      <c r="F130" s="163" t="s">
        <v>1818</v>
      </c>
      <c r="H130" s="164">
        <v>2.222</v>
      </c>
      <c r="I130" s="165"/>
      <c r="L130" s="161"/>
      <c r="M130" s="166"/>
      <c r="N130" s="167"/>
      <c r="O130" s="167"/>
      <c r="P130" s="167"/>
      <c r="Q130" s="167"/>
      <c r="R130" s="167"/>
      <c r="S130" s="167"/>
      <c r="T130" s="168"/>
      <c r="AT130" s="162" t="s">
        <v>193</v>
      </c>
      <c r="AU130" s="162" t="s">
        <v>87</v>
      </c>
      <c r="AV130" s="13" t="s">
        <v>87</v>
      </c>
      <c r="AW130" s="13" t="s">
        <v>36</v>
      </c>
      <c r="AX130" s="13" t="s">
        <v>85</v>
      </c>
      <c r="AY130" s="162" t="s">
        <v>177</v>
      </c>
    </row>
    <row r="131" spans="1:65" s="2" customFormat="1" ht="16.5" customHeight="1">
      <c r="A131" s="34"/>
      <c r="B131" s="139"/>
      <c r="C131" s="140" t="s">
        <v>252</v>
      </c>
      <c r="D131" s="140" t="s">
        <v>180</v>
      </c>
      <c r="E131" s="141" t="s">
        <v>1605</v>
      </c>
      <c r="F131" s="142" t="s">
        <v>1606</v>
      </c>
      <c r="G131" s="143" t="s">
        <v>808</v>
      </c>
      <c r="H131" s="144">
        <v>1.3740000000000001</v>
      </c>
      <c r="I131" s="145"/>
      <c r="J131" s="146">
        <f>ROUND(I131*H131,2)</f>
        <v>0</v>
      </c>
      <c r="K131" s="142" t="s">
        <v>184</v>
      </c>
      <c r="L131" s="35"/>
      <c r="M131" s="147" t="s">
        <v>3</v>
      </c>
      <c r="N131" s="148" t="s">
        <v>48</v>
      </c>
      <c r="O131" s="55"/>
      <c r="P131" s="149">
        <f>O131*H131</f>
        <v>0</v>
      </c>
      <c r="Q131" s="149">
        <v>0</v>
      </c>
      <c r="R131" s="149">
        <f>Q131*H131</f>
        <v>0</v>
      </c>
      <c r="S131" s="149">
        <v>2.4</v>
      </c>
      <c r="T131" s="150">
        <f>S131*H131</f>
        <v>3.2976000000000001</v>
      </c>
      <c r="U131" s="34"/>
      <c r="V131" s="34"/>
      <c r="W131" s="34"/>
      <c r="X131" s="34"/>
      <c r="Y131" s="34"/>
      <c r="Z131" s="34"/>
      <c r="AA131" s="34"/>
      <c r="AB131" s="34"/>
      <c r="AC131" s="34"/>
      <c r="AD131" s="34"/>
      <c r="AE131" s="34"/>
      <c r="AR131" s="151" t="s">
        <v>185</v>
      </c>
      <c r="AT131" s="151" t="s">
        <v>180</v>
      </c>
      <c r="AU131" s="151" t="s">
        <v>87</v>
      </c>
      <c r="AY131" s="19" t="s">
        <v>177</v>
      </c>
      <c r="BE131" s="152">
        <f>IF(N131="základní",J131,0)</f>
        <v>0</v>
      </c>
      <c r="BF131" s="152">
        <f>IF(N131="snížená",J131,0)</f>
        <v>0</v>
      </c>
      <c r="BG131" s="152">
        <f>IF(N131="zákl. přenesená",J131,0)</f>
        <v>0</v>
      </c>
      <c r="BH131" s="152">
        <f>IF(N131="sníž. přenesená",J131,0)</f>
        <v>0</v>
      </c>
      <c r="BI131" s="152">
        <f>IF(N131="nulová",J131,0)</f>
        <v>0</v>
      </c>
      <c r="BJ131" s="19" t="s">
        <v>85</v>
      </c>
      <c r="BK131" s="152">
        <f>ROUND(I131*H131,2)</f>
        <v>0</v>
      </c>
      <c r="BL131" s="19" t="s">
        <v>185</v>
      </c>
      <c r="BM131" s="151" t="s">
        <v>1819</v>
      </c>
    </row>
    <row r="132" spans="1:65" s="2" customFormat="1">
      <c r="A132" s="34"/>
      <c r="B132" s="35"/>
      <c r="C132" s="34"/>
      <c r="D132" s="153" t="s">
        <v>187</v>
      </c>
      <c r="E132" s="34"/>
      <c r="F132" s="154" t="s">
        <v>1608</v>
      </c>
      <c r="G132" s="34"/>
      <c r="H132" s="34"/>
      <c r="I132" s="155"/>
      <c r="J132" s="34"/>
      <c r="K132" s="34"/>
      <c r="L132" s="35"/>
      <c r="M132" s="156"/>
      <c r="N132" s="157"/>
      <c r="O132" s="55"/>
      <c r="P132" s="55"/>
      <c r="Q132" s="55"/>
      <c r="R132" s="55"/>
      <c r="S132" s="55"/>
      <c r="T132" s="56"/>
      <c r="U132" s="34"/>
      <c r="V132" s="34"/>
      <c r="W132" s="34"/>
      <c r="X132" s="34"/>
      <c r="Y132" s="34"/>
      <c r="Z132" s="34"/>
      <c r="AA132" s="34"/>
      <c r="AB132" s="34"/>
      <c r="AC132" s="34"/>
      <c r="AD132" s="34"/>
      <c r="AE132" s="34"/>
      <c r="AT132" s="19" t="s">
        <v>187</v>
      </c>
      <c r="AU132" s="19" t="s">
        <v>87</v>
      </c>
    </row>
    <row r="133" spans="1:65" s="2" customFormat="1">
      <c r="A133" s="34"/>
      <c r="B133" s="35"/>
      <c r="C133" s="34"/>
      <c r="D133" s="158" t="s">
        <v>189</v>
      </c>
      <c r="E133" s="34"/>
      <c r="F133" s="159" t="s">
        <v>1609</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189</v>
      </c>
      <c r="AU133" s="19" t="s">
        <v>87</v>
      </c>
    </row>
    <row r="134" spans="1:65" s="2" customFormat="1" ht="29.25">
      <c r="A134" s="34"/>
      <c r="B134" s="35"/>
      <c r="C134" s="34"/>
      <c r="D134" s="153" t="s">
        <v>191</v>
      </c>
      <c r="E134" s="34"/>
      <c r="F134" s="160" t="s">
        <v>1610</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191</v>
      </c>
      <c r="AU134" s="19" t="s">
        <v>87</v>
      </c>
    </row>
    <row r="135" spans="1:65" s="14" customFormat="1">
      <c r="B135" s="169"/>
      <c r="D135" s="153" t="s">
        <v>193</v>
      </c>
      <c r="E135" s="170" t="s">
        <v>3</v>
      </c>
      <c r="F135" s="171" t="s">
        <v>1801</v>
      </c>
      <c r="H135" s="170" t="s">
        <v>3</v>
      </c>
      <c r="I135" s="172"/>
      <c r="L135" s="169"/>
      <c r="M135" s="173"/>
      <c r="N135" s="174"/>
      <c r="O135" s="174"/>
      <c r="P135" s="174"/>
      <c r="Q135" s="174"/>
      <c r="R135" s="174"/>
      <c r="S135" s="174"/>
      <c r="T135" s="175"/>
      <c r="AT135" s="170" t="s">
        <v>193</v>
      </c>
      <c r="AU135" s="170" t="s">
        <v>87</v>
      </c>
      <c r="AV135" s="14" t="s">
        <v>85</v>
      </c>
      <c r="AW135" s="14" t="s">
        <v>36</v>
      </c>
      <c r="AX135" s="14" t="s">
        <v>77</v>
      </c>
      <c r="AY135" s="170" t="s">
        <v>177</v>
      </c>
    </row>
    <row r="136" spans="1:65" s="13" customFormat="1">
      <c r="B136" s="161"/>
      <c r="D136" s="153" t="s">
        <v>193</v>
      </c>
      <c r="E136" s="162" t="s">
        <v>3</v>
      </c>
      <c r="F136" s="163" t="s">
        <v>1820</v>
      </c>
      <c r="H136" s="164">
        <v>1.3740000000000001</v>
      </c>
      <c r="I136" s="165"/>
      <c r="L136" s="161"/>
      <c r="M136" s="166"/>
      <c r="N136" s="167"/>
      <c r="O136" s="167"/>
      <c r="P136" s="167"/>
      <c r="Q136" s="167"/>
      <c r="R136" s="167"/>
      <c r="S136" s="167"/>
      <c r="T136" s="168"/>
      <c r="AT136" s="162" t="s">
        <v>193</v>
      </c>
      <c r="AU136" s="162" t="s">
        <v>87</v>
      </c>
      <c r="AV136" s="13" t="s">
        <v>87</v>
      </c>
      <c r="AW136" s="13" t="s">
        <v>36</v>
      </c>
      <c r="AX136" s="13" t="s">
        <v>85</v>
      </c>
      <c r="AY136" s="162" t="s">
        <v>177</v>
      </c>
    </row>
    <row r="137" spans="1:65" s="2" customFormat="1" ht="21.75" customHeight="1">
      <c r="A137" s="34"/>
      <c r="B137" s="139"/>
      <c r="C137" s="140" t="s">
        <v>258</v>
      </c>
      <c r="D137" s="140" t="s">
        <v>180</v>
      </c>
      <c r="E137" s="141" t="s">
        <v>1496</v>
      </c>
      <c r="F137" s="142" t="s">
        <v>1497</v>
      </c>
      <c r="G137" s="143" t="s">
        <v>808</v>
      </c>
      <c r="H137" s="144">
        <v>31.123999999999999</v>
      </c>
      <c r="I137" s="145"/>
      <c r="J137" s="146">
        <f>ROUND(I137*H137,2)</f>
        <v>0</v>
      </c>
      <c r="K137" s="142" t="s">
        <v>184</v>
      </c>
      <c r="L137" s="35"/>
      <c r="M137" s="147" t="s">
        <v>3</v>
      </c>
      <c r="N137" s="148" t="s">
        <v>48</v>
      </c>
      <c r="O137" s="55"/>
      <c r="P137" s="149">
        <f>O137*H137</f>
        <v>0</v>
      </c>
      <c r="Q137" s="149">
        <v>0</v>
      </c>
      <c r="R137" s="149">
        <f>Q137*H137</f>
        <v>0</v>
      </c>
      <c r="S137" s="149">
        <v>2.2000000000000002</v>
      </c>
      <c r="T137" s="150">
        <f>S137*H137</f>
        <v>68.472800000000007</v>
      </c>
      <c r="U137" s="34"/>
      <c r="V137" s="34"/>
      <c r="W137" s="34"/>
      <c r="X137" s="34"/>
      <c r="Y137" s="34"/>
      <c r="Z137" s="34"/>
      <c r="AA137" s="34"/>
      <c r="AB137" s="34"/>
      <c r="AC137" s="34"/>
      <c r="AD137" s="34"/>
      <c r="AE137" s="34"/>
      <c r="AR137" s="151" t="s">
        <v>185</v>
      </c>
      <c r="AT137" s="151" t="s">
        <v>180</v>
      </c>
      <c r="AU137" s="151" t="s">
        <v>87</v>
      </c>
      <c r="AY137" s="19" t="s">
        <v>177</v>
      </c>
      <c r="BE137" s="152">
        <f>IF(N137="základní",J137,0)</f>
        <v>0</v>
      </c>
      <c r="BF137" s="152">
        <f>IF(N137="snížená",J137,0)</f>
        <v>0</v>
      </c>
      <c r="BG137" s="152">
        <f>IF(N137="zákl. přenesená",J137,0)</f>
        <v>0</v>
      </c>
      <c r="BH137" s="152">
        <f>IF(N137="sníž. přenesená",J137,0)</f>
        <v>0</v>
      </c>
      <c r="BI137" s="152">
        <f>IF(N137="nulová",J137,0)</f>
        <v>0</v>
      </c>
      <c r="BJ137" s="19" t="s">
        <v>85</v>
      </c>
      <c r="BK137" s="152">
        <f>ROUND(I137*H137,2)</f>
        <v>0</v>
      </c>
      <c r="BL137" s="19" t="s">
        <v>185</v>
      </c>
      <c r="BM137" s="151" t="s">
        <v>1821</v>
      </c>
    </row>
    <row r="138" spans="1:65" s="2" customFormat="1">
      <c r="A138" s="34"/>
      <c r="B138" s="35"/>
      <c r="C138" s="34"/>
      <c r="D138" s="153" t="s">
        <v>187</v>
      </c>
      <c r="E138" s="34"/>
      <c r="F138" s="154" t="s">
        <v>1499</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187</v>
      </c>
      <c r="AU138" s="19" t="s">
        <v>87</v>
      </c>
    </row>
    <row r="139" spans="1:65" s="2" customFormat="1">
      <c r="A139" s="34"/>
      <c r="B139" s="35"/>
      <c r="C139" s="34"/>
      <c r="D139" s="158" t="s">
        <v>189</v>
      </c>
      <c r="E139" s="34"/>
      <c r="F139" s="159" t="s">
        <v>1500</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189</v>
      </c>
      <c r="AU139" s="19" t="s">
        <v>87</v>
      </c>
    </row>
    <row r="140" spans="1:65" s="13" customFormat="1">
      <c r="B140" s="161"/>
      <c r="D140" s="153" t="s">
        <v>193</v>
      </c>
      <c r="E140" s="162" t="s">
        <v>3</v>
      </c>
      <c r="F140" s="163" t="s">
        <v>1822</v>
      </c>
      <c r="H140" s="164">
        <v>31.123999999999999</v>
      </c>
      <c r="I140" s="165"/>
      <c r="L140" s="161"/>
      <c r="M140" s="166"/>
      <c r="N140" s="167"/>
      <c r="O140" s="167"/>
      <c r="P140" s="167"/>
      <c r="Q140" s="167"/>
      <c r="R140" s="167"/>
      <c r="S140" s="167"/>
      <c r="T140" s="168"/>
      <c r="AT140" s="162" t="s">
        <v>193</v>
      </c>
      <c r="AU140" s="162" t="s">
        <v>87</v>
      </c>
      <c r="AV140" s="13" t="s">
        <v>87</v>
      </c>
      <c r="AW140" s="13" t="s">
        <v>36</v>
      </c>
      <c r="AX140" s="13" t="s">
        <v>85</v>
      </c>
      <c r="AY140" s="162" t="s">
        <v>177</v>
      </c>
    </row>
    <row r="141" spans="1:65" s="2" customFormat="1" ht="16.5" customHeight="1">
      <c r="A141" s="34"/>
      <c r="B141" s="139"/>
      <c r="C141" s="140" t="s">
        <v>265</v>
      </c>
      <c r="D141" s="140" t="s">
        <v>180</v>
      </c>
      <c r="E141" s="141" t="s">
        <v>1502</v>
      </c>
      <c r="F141" s="142" t="s">
        <v>1503</v>
      </c>
      <c r="G141" s="143" t="s">
        <v>808</v>
      </c>
      <c r="H141" s="144">
        <v>31.123999999999999</v>
      </c>
      <c r="I141" s="145"/>
      <c r="J141" s="146">
        <f>ROUND(I141*H141,2)</f>
        <v>0</v>
      </c>
      <c r="K141" s="142" t="s">
        <v>184</v>
      </c>
      <c r="L141" s="35"/>
      <c r="M141" s="147" t="s">
        <v>3</v>
      </c>
      <c r="N141" s="148" t="s">
        <v>48</v>
      </c>
      <c r="O141" s="55"/>
      <c r="P141" s="149">
        <f>O141*H141</f>
        <v>0</v>
      </c>
      <c r="Q141" s="149">
        <v>0</v>
      </c>
      <c r="R141" s="149">
        <f>Q141*H141</f>
        <v>0</v>
      </c>
      <c r="S141" s="149">
        <v>4.3999999999999997E-2</v>
      </c>
      <c r="T141" s="150">
        <f>S141*H141</f>
        <v>1.3694559999999998</v>
      </c>
      <c r="U141" s="34"/>
      <c r="V141" s="34"/>
      <c r="W141" s="34"/>
      <c r="X141" s="34"/>
      <c r="Y141" s="34"/>
      <c r="Z141" s="34"/>
      <c r="AA141" s="34"/>
      <c r="AB141" s="34"/>
      <c r="AC141" s="34"/>
      <c r="AD141" s="34"/>
      <c r="AE141" s="34"/>
      <c r="AR141" s="151" t="s">
        <v>185</v>
      </c>
      <c r="AT141" s="151" t="s">
        <v>180</v>
      </c>
      <c r="AU141" s="151" t="s">
        <v>87</v>
      </c>
      <c r="AY141" s="19" t="s">
        <v>177</v>
      </c>
      <c r="BE141" s="152">
        <f>IF(N141="základní",J141,0)</f>
        <v>0</v>
      </c>
      <c r="BF141" s="152">
        <f>IF(N141="snížená",J141,0)</f>
        <v>0</v>
      </c>
      <c r="BG141" s="152">
        <f>IF(N141="zákl. přenesená",J141,0)</f>
        <v>0</v>
      </c>
      <c r="BH141" s="152">
        <f>IF(N141="sníž. přenesená",J141,0)</f>
        <v>0</v>
      </c>
      <c r="BI141" s="152">
        <f>IF(N141="nulová",J141,0)</f>
        <v>0</v>
      </c>
      <c r="BJ141" s="19" t="s">
        <v>85</v>
      </c>
      <c r="BK141" s="152">
        <f>ROUND(I141*H141,2)</f>
        <v>0</v>
      </c>
      <c r="BL141" s="19" t="s">
        <v>185</v>
      </c>
      <c r="BM141" s="151" t="s">
        <v>1823</v>
      </c>
    </row>
    <row r="142" spans="1:65" s="2" customFormat="1">
      <c r="A142" s="34"/>
      <c r="B142" s="35"/>
      <c r="C142" s="34"/>
      <c r="D142" s="153" t="s">
        <v>187</v>
      </c>
      <c r="E142" s="34"/>
      <c r="F142" s="154" t="s">
        <v>1505</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187</v>
      </c>
      <c r="AU142" s="19" t="s">
        <v>87</v>
      </c>
    </row>
    <row r="143" spans="1:65" s="2" customFormat="1">
      <c r="A143" s="34"/>
      <c r="B143" s="35"/>
      <c r="C143" s="34"/>
      <c r="D143" s="158" t="s">
        <v>189</v>
      </c>
      <c r="E143" s="34"/>
      <c r="F143" s="159" t="s">
        <v>1506</v>
      </c>
      <c r="G143" s="34"/>
      <c r="H143" s="34"/>
      <c r="I143" s="155"/>
      <c r="J143" s="34"/>
      <c r="K143" s="34"/>
      <c r="L143" s="35"/>
      <c r="M143" s="156"/>
      <c r="N143" s="157"/>
      <c r="O143" s="55"/>
      <c r="P143" s="55"/>
      <c r="Q143" s="55"/>
      <c r="R143" s="55"/>
      <c r="S143" s="55"/>
      <c r="T143" s="56"/>
      <c r="U143" s="34"/>
      <c r="V143" s="34"/>
      <c r="W143" s="34"/>
      <c r="X143" s="34"/>
      <c r="Y143" s="34"/>
      <c r="Z143" s="34"/>
      <c r="AA143" s="34"/>
      <c r="AB143" s="34"/>
      <c r="AC143" s="34"/>
      <c r="AD143" s="34"/>
      <c r="AE143" s="34"/>
      <c r="AT143" s="19" t="s">
        <v>189</v>
      </c>
      <c r="AU143" s="19" t="s">
        <v>87</v>
      </c>
    </row>
    <row r="144" spans="1:65" s="2" customFormat="1" ht="16.5" customHeight="1">
      <c r="A144" s="34"/>
      <c r="B144" s="139"/>
      <c r="C144" s="140" t="s">
        <v>271</v>
      </c>
      <c r="D144" s="140" t="s">
        <v>180</v>
      </c>
      <c r="E144" s="141" t="s">
        <v>1507</v>
      </c>
      <c r="F144" s="142" t="s">
        <v>1508</v>
      </c>
      <c r="G144" s="143" t="s">
        <v>332</v>
      </c>
      <c r="H144" s="144">
        <v>311.24400000000003</v>
      </c>
      <c r="I144" s="145"/>
      <c r="J144" s="146">
        <f>ROUND(I144*H144,2)</f>
        <v>0</v>
      </c>
      <c r="K144" s="142" t="s">
        <v>184</v>
      </c>
      <c r="L144" s="35"/>
      <c r="M144" s="147" t="s">
        <v>3</v>
      </c>
      <c r="N144" s="148" t="s">
        <v>48</v>
      </c>
      <c r="O144" s="55"/>
      <c r="P144" s="149">
        <f>O144*H144</f>
        <v>0</v>
      </c>
      <c r="Q144" s="149">
        <v>0</v>
      </c>
      <c r="R144" s="149">
        <f>Q144*H144</f>
        <v>0</v>
      </c>
      <c r="S144" s="149">
        <v>5.7000000000000002E-2</v>
      </c>
      <c r="T144" s="150">
        <f>S144*H144</f>
        <v>17.740908000000001</v>
      </c>
      <c r="U144" s="34"/>
      <c r="V144" s="34"/>
      <c r="W144" s="34"/>
      <c r="X144" s="34"/>
      <c r="Y144" s="34"/>
      <c r="Z144" s="34"/>
      <c r="AA144" s="34"/>
      <c r="AB144" s="34"/>
      <c r="AC144" s="34"/>
      <c r="AD144" s="34"/>
      <c r="AE144" s="34"/>
      <c r="AR144" s="151" t="s">
        <v>185</v>
      </c>
      <c r="AT144" s="151" t="s">
        <v>180</v>
      </c>
      <c r="AU144" s="151" t="s">
        <v>87</v>
      </c>
      <c r="AY144" s="19" t="s">
        <v>177</v>
      </c>
      <c r="BE144" s="152">
        <f>IF(N144="základní",J144,0)</f>
        <v>0</v>
      </c>
      <c r="BF144" s="152">
        <f>IF(N144="snížená",J144,0)</f>
        <v>0</v>
      </c>
      <c r="BG144" s="152">
        <f>IF(N144="zákl. přenesená",J144,0)</f>
        <v>0</v>
      </c>
      <c r="BH144" s="152">
        <f>IF(N144="sníž. přenesená",J144,0)</f>
        <v>0</v>
      </c>
      <c r="BI144" s="152">
        <f>IF(N144="nulová",J144,0)</f>
        <v>0</v>
      </c>
      <c r="BJ144" s="19" t="s">
        <v>85</v>
      </c>
      <c r="BK144" s="152">
        <f>ROUND(I144*H144,2)</f>
        <v>0</v>
      </c>
      <c r="BL144" s="19" t="s">
        <v>185</v>
      </c>
      <c r="BM144" s="151" t="s">
        <v>1824</v>
      </c>
    </row>
    <row r="145" spans="1:65" s="2" customFormat="1" ht="19.5">
      <c r="A145" s="34"/>
      <c r="B145" s="35"/>
      <c r="C145" s="34"/>
      <c r="D145" s="153" t="s">
        <v>187</v>
      </c>
      <c r="E145" s="34"/>
      <c r="F145" s="154" t="s">
        <v>1510</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187</v>
      </c>
      <c r="AU145" s="19" t="s">
        <v>87</v>
      </c>
    </row>
    <row r="146" spans="1:65" s="2" customFormat="1">
      <c r="A146" s="34"/>
      <c r="B146" s="35"/>
      <c r="C146" s="34"/>
      <c r="D146" s="158" t="s">
        <v>189</v>
      </c>
      <c r="E146" s="34"/>
      <c r="F146" s="159" t="s">
        <v>1511</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189</v>
      </c>
      <c r="AU146" s="19" t="s">
        <v>87</v>
      </c>
    </row>
    <row r="147" spans="1:65" s="2" customFormat="1" ht="29.25">
      <c r="A147" s="34"/>
      <c r="B147" s="35"/>
      <c r="C147" s="34"/>
      <c r="D147" s="153" t="s">
        <v>191</v>
      </c>
      <c r="E147" s="34"/>
      <c r="F147" s="160" t="s">
        <v>1512</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191</v>
      </c>
      <c r="AU147" s="19" t="s">
        <v>87</v>
      </c>
    </row>
    <row r="148" spans="1:65" s="13" customFormat="1">
      <c r="B148" s="161"/>
      <c r="D148" s="153" t="s">
        <v>193</v>
      </c>
      <c r="E148" s="162" t="s">
        <v>3</v>
      </c>
      <c r="F148" s="163" t="s">
        <v>1825</v>
      </c>
      <c r="H148" s="164">
        <v>311.24400000000003</v>
      </c>
      <c r="I148" s="165"/>
      <c r="L148" s="161"/>
      <c r="M148" s="166"/>
      <c r="N148" s="167"/>
      <c r="O148" s="167"/>
      <c r="P148" s="167"/>
      <c r="Q148" s="167"/>
      <c r="R148" s="167"/>
      <c r="S148" s="167"/>
      <c r="T148" s="168"/>
      <c r="AT148" s="162" t="s">
        <v>193</v>
      </c>
      <c r="AU148" s="162" t="s">
        <v>87</v>
      </c>
      <c r="AV148" s="13" t="s">
        <v>87</v>
      </c>
      <c r="AW148" s="13" t="s">
        <v>36</v>
      </c>
      <c r="AX148" s="13" t="s">
        <v>85</v>
      </c>
      <c r="AY148" s="162" t="s">
        <v>177</v>
      </c>
    </row>
    <row r="149" spans="1:65" s="2" customFormat="1" ht="16.5" customHeight="1">
      <c r="A149" s="34"/>
      <c r="B149" s="139"/>
      <c r="C149" s="140" t="s">
        <v>277</v>
      </c>
      <c r="D149" s="140" t="s">
        <v>180</v>
      </c>
      <c r="E149" s="141" t="s">
        <v>1044</v>
      </c>
      <c r="F149" s="142" t="s">
        <v>1045</v>
      </c>
      <c r="G149" s="143" t="s">
        <v>332</v>
      </c>
      <c r="H149" s="144">
        <v>12.4</v>
      </c>
      <c r="I149" s="145"/>
      <c r="J149" s="146">
        <f>ROUND(I149*H149,2)</f>
        <v>0</v>
      </c>
      <c r="K149" s="142" t="s">
        <v>184</v>
      </c>
      <c r="L149" s="35"/>
      <c r="M149" s="147" t="s">
        <v>3</v>
      </c>
      <c r="N149" s="148" t="s">
        <v>48</v>
      </c>
      <c r="O149" s="55"/>
      <c r="P149" s="149">
        <f>O149*H149</f>
        <v>0</v>
      </c>
      <c r="Q149" s="149">
        <v>0</v>
      </c>
      <c r="R149" s="149">
        <f>Q149*H149</f>
        <v>0</v>
      </c>
      <c r="S149" s="149">
        <v>7.5999999999999998E-2</v>
      </c>
      <c r="T149" s="150">
        <f>S149*H149</f>
        <v>0.94240000000000002</v>
      </c>
      <c r="U149" s="34"/>
      <c r="V149" s="34"/>
      <c r="W149" s="34"/>
      <c r="X149" s="34"/>
      <c r="Y149" s="34"/>
      <c r="Z149" s="34"/>
      <c r="AA149" s="34"/>
      <c r="AB149" s="34"/>
      <c r="AC149" s="34"/>
      <c r="AD149" s="34"/>
      <c r="AE149" s="34"/>
      <c r="AR149" s="151" t="s">
        <v>185</v>
      </c>
      <c r="AT149" s="151" t="s">
        <v>180</v>
      </c>
      <c r="AU149" s="151" t="s">
        <v>87</v>
      </c>
      <c r="AY149" s="19" t="s">
        <v>177</v>
      </c>
      <c r="BE149" s="152">
        <f>IF(N149="základní",J149,0)</f>
        <v>0</v>
      </c>
      <c r="BF149" s="152">
        <f>IF(N149="snížená",J149,0)</f>
        <v>0</v>
      </c>
      <c r="BG149" s="152">
        <f>IF(N149="zákl. přenesená",J149,0)</f>
        <v>0</v>
      </c>
      <c r="BH149" s="152">
        <f>IF(N149="sníž. přenesená",J149,0)</f>
        <v>0</v>
      </c>
      <c r="BI149" s="152">
        <f>IF(N149="nulová",J149,0)</f>
        <v>0</v>
      </c>
      <c r="BJ149" s="19" t="s">
        <v>85</v>
      </c>
      <c r="BK149" s="152">
        <f>ROUND(I149*H149,2)</f>
        <v>0</v>
      </c>
      <c r="BL149" s="19" t="s">
        <v>185</v>
      </c>
      <c r="BM149" s="151" t="s">
        <v>1826</v>
      </c>
    </row>
    <row r="150" spans="1:65" s="2" customFormat="1">
      <c r="A150" s="34"/>
      <c r="B150" s="35"/>
      <c r="C150" s="34"/>
      <c r="D150" s="153" t="s">
        <v>187</v>
      </c>
      <c r="E150" s="34"/>
      <c r="F150" s="154" t="s">
        <v>1047</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187</v>
      </c>
      <c r="AU150" s="19" t="s">
        <v>87</v>
      </c>
    </row>
    <row r="151" spans="1:65" s="2" customFormat="1">
      <c r="A151" s="34"/>
      <c r="B151" s="35"/>
      <c r="C151" s="34"/>
      <c r="D151" s="158" t="s">
        <v>189</v>
      </c>
      <c r="E151" s="34"/>
      <c r="F151" s="159" t="s">
        <v>1048</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189</v>
      </c>
      <c r="AU151" s="19" t="s">
        <v>87</v>
      </c>
    </row>
    <row r="152" spans="1:65" s="2" customFormat="1" ht="39">
      <c r="A152" s="34"/>
      <c r="B152" s="35"/>
      <c r="C152" s="34"/>
      <c r="D152" s="153" t="s">
        <v>191</v>
      </c>
      <c r="E152" s="34"/>
      <c r="F152" s="160" t="s">
        <v>1042</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191</v>
      </c>
      <c r="AU152" s="19" t="s">
        <v>87</v>
      </c>
    </row>
    <row r="153" spans="1:65" s="13" customFormat="1">
      <c r="B153" s="161"/>
      <c r="D153" s="153" t="s">
        <v>193</v>
      </c>
      <c r="E153" s="162" t="s">
        <v>3</v>
      </c>
      <c r="F153" s="163" t="s">
        <v>1827</v>
      </c>
      <c r="H153" s="164">
        <v>6</v>
      </c>
      <c r="I153" s="165"/>
      <c r="L153" s="161"/>
      <c r="M153" s="166"/>
      <c r="N153" s="167"/>
      <c r="O153" s="167"/>
      <c r="P153" s="167"/>
      <c r="Q153" s="167"/>
      <c r="R153" s="167"/>
      <c r="S153" s="167"/>
      <c r="T153" s="168"/>
      <c r="AT153" s="162" t="s">
        <v>193</v>
      </c>
      <c r="AU153" s="162" t="s">
        <v>87</v>
      </c>
      <c r="AV153" s="13" t="s">
        <v>87</v>
      </c>
      <c r="AW153" s="13" t="s">
        <v>36</v>
      </c>
      <c r="AX153" s="13" t="s">
        <v>77</v>
      </c>
      <c r="AY153" s="162" t="s">
        <v>177</v>
      </c>
    </row>
    <row r="154" spans="1:65" s="13" customFormat="1">
      <c r="B154" s="161"/>
      <c r="D154" s="153" t="s">
        <v>193</v>
      </c>
      <c r="E154" s="162" t="s">
        <v>3</v>
      </c>
      <c r="F154" s="163" t="s">
        <v>1828</v>
      </c>
      <c r="H154" s="164">
        <v>6.4</v>
      </c>
      <c r="I154" s="165"/>
      <c r="L154" s="161"/>
      <c r="M154" s="166"/>
      <c r="N154" s="167"/>
      <c r="O154" s="167"/>
      <c r="P154" s="167"/>
      <c r="Q154" s="167"/>
      <c r="R154" s="167"/>
      <c r="S154" s="167"/>
      <c r="T154" s="168"/>
      <c r="AT154" s="162" t="s">
        <v>193</v>
      </c>
      <c r="AU154" s="162" t="s">
        <v>87</v>
      </c>
      <c r="AV154" s="13" t="s">
        <v>87</v>
      </c>
      <c r="AW154" s="13" t="s">
        <v>36</v>
      </c>
      <c r="AX154" s="13" t="s">
        <v>77</v>
      </c>
      <c r="AY154" s="162" t="s">
        <v>177</v>
      </c>
    </row>
    <row r="155" spans="1:65" s="16" customFormat="1">
      <c r="B155" s="184"/>
      <c r="D155" s="153" t="s">
        <v>193</v>
      </c>
      <c r="E155" s="185" t="s">
        <v>3</v>
      </c>
      <c r="F155" s="186" t="s">
        <v>201</v>
      </c>
      <c r="H155" s="187">
        <v>12.4</v>
      </c>
      <c r="I155" s="188"/>
      <c r="L155" s="184"/>
      <c r="M155" s="189"/>
      <c r="N155" s="190"/>
      <c r="O155" s="190"/>
      <c r="P155" s="190"/>
      <c r="Q155" s="190"/>
      <c r="R155" s="190"/>
      <c r="S155" s="190"/>
      <c r="T155" s="191"/>
      <c r="AT155" s="185" t="s">
        <v>193</v>
      </c>
      <c r="AU155" s="185" t="s">
        <v>87</v>
      </c>
      <c r="AV155" s="16" t="s">
        <v>185</v>
      </c>
      <c r="AW155" s="16" t="s">
        <v>36</v>
      </c>
      <c r="AX155" s="16" t="s">
        <v>85</v>
      </c>
      <c r="AY155" s="185" t="s">
        <v>177</v>
      </c>
    </row>
    <row r="156" spans="1:65" s="2" customFormat="1" ht="16.5" customHeight="1">
      <c r="A156" s="34"/>
      <c r="B156" s="139"/>
      <c r="C156" s="140" t="s">
        <v>283</v>
      </c>
      <c r="D156" s="140" t="s">
        <v>180</v>
      </c>
      <c r="E156" s="141" t="s">
        <v>1050</v>
      </c>
      <c r="F156" s="142" t="s">
        <v>1051</v>
      </c>
      <c r="G156" s="143" t="s">
        <v>332</v>
      </c>
      <c r="H156" s="144">
        <v>7.28</v>
      </c>
      <c r="I156" s="145"/>
      <c r="J156" s="146">
        <f>ROUND(I156*H156,2)</f>
        <v>0</v>
      </c>
      <c r="K156" s="142" t="s">
        <v>184</v>
      </c>
      <c r="L156" s="35"/>
      <c r="M156" s="147" t="s">
        <v>3</v>
      </c>
      <c r="N156" s="148" t="s">
        <v>48</v>
      </c>
      <c r="O156" s="55"/>
      <c r="P156" s="149">
        <f>O156*H156</f>
        <v>0</v>
      </c>
      <c r="Q156" s="149">
        <v>0</v>
      </c>
      <c r="R156" s="149">
        <f>Q156*H156</f>
        <v>0</v>
      </c>
      <c r="S156" s="149">
        <v>6.3E-2</v>
      </c>
      <c r="T156" s="150">
        <f>S156*H156</f>
        <v>0.45863999999999999</v>
      </c>
      <c r="U156" s="34"/>
      <c r="V156" s="34"/>
      <c r="W156" s="34"/>
      <c r="X156" s="34"/>
      <c r="Y156" s="34"/>
      <c r="Z156" s="34"/>
      <c r="AA156" s="34"/>
      <c r="AB156" s="34"/>
      <c r="AC156" s="34"/>
      <c r="AD156" s="34"/>
      <c r="AE156" s="34"/>
      <c r="AR156" s="151" t="s">
        <v>185</v>
      </c>
      <c r="AT156" s="151" t="s">
        <v>180</v>
      </c>
      <c r="AU156" s="151" t="s">
        <v>87</v>
      </c>
      <c r="AY156" s="19" t="s">
        <v>177</v>
      </c>
      <c r="BE156" s="152">
        <f>IF(N156="základní",J156,0)</f>
        <v>0</v>
      </c>
      <c r="BF156" s="152">
        <f>IF(N156="snížená",J156,0)</f>
        <v>0</v>
      </c>
      <c r="BG156" s="152">
        <f>IF(N156="zákl. přenesená",J156,0)</f>
        <v>0</v>
      </c>
      <c r="BH156" s="152">
        <f>IF(N156="sníž. přenesená",J156,0)</f>
        <v>0</v>
      </c>
      <c r="BI156" s="152">
        <f>IF(N156="nulová",J156,0)</f>
        <v>0</v>
      </c>
      <c r="BJ156" s="19" t="s">
        <v>85</v>
      </c>
      <c r="BK156" s="152">
        <f>ROUND(I156*H156,2)</f>
        <v>0</v>
      </c>
      <c r="BL156" s="19" t="s">
        <v>185</v>
      </c>
      <c r="BM156" s="151" t="s">
        <v>1829</v>
      </c>
    </row>
    <row r="157" spans="1:65" s="2" customFormat="1">
      <c r="A157" s="34"/>
      <c r="B157" s="35"/>
      <c r="C157" s="34"/>
      <c r="D157" s="153" t="s">
        <v>187</v>
      </c>
      <c r="E157" s="34"/>
      <c r="F157" s="154" t="s">
        <v>1053</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187</v>
      </c>
      <c r="AU157" s="19" t="s">
        <v>87</v>
      </c>
    </row>
    <row r="158" spans="1:65" s="2" customFormat="1">
      <c r="A158" s="34"/>
      <c r="B158" s="35"/>
      <c r="C158" s="34"/>
      <c r="D158" s="158" t="s">
        <v>189</v>
      </c>
      <c r="E158" s="34"/>
      <c r="F158" s="159" t="s">
        <v>1054</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189</v>
      </c>
      <c r="AU158" s="19" t="s">
        <v>87</v>
      </c>
    </row>
    <row r="159" spans="1:65" s="2" customFormat="1" ht="39">
      <c r="A159" s="34"/>
      <c r="B159" s="35"/>
      <c r="C159" s="34"/>
      <c r="D159" s="153" t="s">
        <v>191</v>
      </c>
      <c r="E159" s="34"/>
      <c r="F159" s="160" t="s">
        <v>1042</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191</v>
      </c>
      <c r="AU159" s="19" t="s">
        <v>87</v>
      </c>
    </row>
    <row r="160" spans="1:65" s="13" customFormat="1">
      <c r="B160" s="161"/>
      <c r="D160" s="153" t="s">
        <v>193</v>
      </c>
      <c r="E160" s="162" t="s">
        <v>3</v>
      </c>
      <c r="F160" s="163" t="s">
        <v>1830</v>
      </c>
      <c r="H160" s="164">
        <v>4.8</v>
      </c>
      <c r="I160" s="165"/>
      <c r="L160" s="161"/>
      <c r="M160" s="166"/>
      <c r="N160" s="167"/>
      <c r="O160" s="167"/>
      <c r="P160" s="167"/>
      <c r="Q160" s="167"/>
      <c r="R160" s="167"/>
      <c r="S160" s="167"/>
      <c r="T160" s="168"/>
      <c r="AT160" s="162" t="s">
        <v>193</v>
      </c>
      <c r="AU160" s="162" t="s">
        <v>87</v>
      </c>
      <c r="AV160" s="13" t="s">
        <v>87</v>
      </c>
      <c r="AW160" s="13" t="s">
        <v>36</v>
      </c>
      <c r="AX160" s="13" t="s">
        <v>77</v>
      </c>
      <c r="AY160" s="162" t="s">
        <v>177</v>
      </c>
    </row>
    <row r="161" spans="1:65" s="13" customFormat="1">
      <c r="B161" s="161"/>
      <c r="D161" s="153" t="s">
        <v>193</v>
      </c>
      <c r="E161" s="162" t="s">
        <v>3</v>
      </c>
      <c r="F161" s="163" t="s">
        <v>1831</v>
      </c>
      <c r="H161" s="164">
        <v>2.48</v>
      </c>
      <c r="I161" s="165"/>
      <c r="L161" s="161"/>
      <c r="M161" s="166"/>
      <c r="N161" s="167"/>
      <c r="O161" s="167"/>
      <c r="P161" s="167"/>
      <c r="Q161" s="167"/>
      <c r="R161" s="167"/>
      <c r="S161" s="167"/>
      <c r="T161" s="168"/>
      <c r="AT161" s="162" t="s">
        <v>193</v>
      </c>
      <c r="AU161" s="162" t="s">
        <v>87</v>
      </c>
      <c r="AV161" s="13" t="s">
        <v>87</v>
      </c>
      <c r="AW161" s="13" t="s">
        <v>36</v>
      </c>
      <c r="AX161" s="13" t="s">
        <v>77</v>
      </c>
      <c r="AY161" s="162" t="s">
        <v>177</v>
      </c>
    </row>
    <row r="162" spans="1:65" s="16" customFormat="1">
      <c r="B162" s="184"/>
      <c r="D162" s="153" t="s">
        <v>193</v>
      </c>
      <c r="E162" s="185" t="s">
        <v>3</v>
      </c>
      <c r="F162" s="186" t="s">
        <v>201</v>
      </c>
      <c r="H162" s="187">
        <v>7.2799999999999994</v>
      </c>
      <c r="I162" s="188"/>
      <c r="L162" s="184"/>
      <c r="M162" s="189"/>
      <c r="N162" s="190"/>
      <c r="O162" s="190"/>
      <c r="P162" s="190"/>
      <c r="Q162" s="190"/>
      <c r="R162" s="190"/>
      <c r="S162" s="190"/>
      <c r="T162" s="191"/>
      <c r="AT162" s="185" t="s">
        <v>193</v>
      </c>
      <c r="AU162" s="185" t="s">
        <v>87</v>
      </c>
      <c r="AV162" s="16" t="s">
        <v>185</v>
      </c>
      <c r="AW162" s="16" t="s">
        <v>36</v>
      </c>
      <c r="AX162" s="16" t="s">
        <v>85</v>
      </c>
      <c r="AY162" s="185" t="s">
        <v>177</v>
      </c>
    </row>
    <row r="163" spans="1:65" s="2" customFormat="1" ht="16.5" customHeight="1">
      <c r="A163" s="34"/>
      <c r="B163" s="139"/>
      <c r="C163" s="140" t="s">
        <v>9</v>
      </c>
      <c r="D163" s="140" t="s">
        <v>180</v>
      </c>
      <c r="E163" s="141" t="s">
        <v>1056</v>
      </c>
      <c r="F163" s="142" t="s">
        <v>1057</v>
      </c>
      <c r="G163" s="143" t="s">
        <v>332</v>
      </c>
      <c r="H163" s="144">
        <v>8.91</v>
      </c>
      <c r="I163" s="145"/>
      <c r="J163" s="146">
        <f>ROUND(I163*H163,2)</f>
        <v>0</v>
      </c>
      <c r="K163" s="142" t="s">
        <v>184</v>
      </c>
      <c r="L163" s="35"/>
      <c r="M163" s="147" t="s">
        <v>3</v>
      </c>
      <c r="N163" s="148" t="s">
        <v>48</v>
      </c>
      <c r="O163" s="55"/>
      <c r="P163" s="149">
        <f>O163*H163</f>
        <v>0</v>
      </c>
      <c r="Q163" s="149">
        <v>0</v>
      </c>
      <c r="R163" s="149">
        <f>Q163*H163</f>
        <v>0</v>
      </c>
      <c r="S163" s="149">
        <v>7.2999999999999995E-2</v>
      </c>
      <c r="T163" s="150">
        <f>S163*H163</f>
        <v>0.65042999999999995</v>
      </c>
      <c r="U163" s="34"/>
      <c r="V163" s="34"/>
      <c r="W163" s="34"/>
      <c r="X163" s="34"/>
      <c r="Y163" s="34"/>
      <c r="Z163" s="34"/>
      <c r="AA163" s="34"/>
      <c r="AB163" s="34"/>
      <c r="AC163" s="34"/>
      <c r="AD163" s="34"/>
      <c r="AE163" s="34"/>
      <c r="AR163" s="151" t="s">
        <v>185</v>
      </c>
      <c r="AT163" s="151" t="s">
        <v>180</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1832</v>
      </c>
    </row>
    <row r="164" spans="1:65" s="2" customFormat="1">
      <c r="A164" s="34"/>
      <c r="B164" s="35"/>
      <c r="C164" s="34"/>
      <c r="D164" s="153" t="s">
        <v>187</v>
      </c>
      <c r="E164" s="34"/>
      <c r="F164" s="154" t="s">
        <v>1059</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c r="A165" s="34"/>
      <c r="B165" s="35"/>
      <c r="C165" s="34"/>
      <c r="D165" s="158" t="s">
        <v>189</v>
      </c>
      <c r="E165" s="34"/>
      <c r="F165" s="159" t="s">
        <v>1060</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87</v>
      </c>
    </row>
    <row r="166" spans="1:65" s="2" customFormat="1" ht="48.75">
      <c r="A166" s="34"/>
      <c r="B166" s="35"/>
      <c r="C166" s="34"/>
      <c r="D166" s="153" t="s">
        <v>191</v>
      </c>
      <c r="E166" s="34"/>
      <c r="F166" s="160" t="s">
        <v>1061</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191</v>
      </c>
      <c r="AU166" s="19" t="s">
        <v>87</v>
      </c>
    </row>
    <row r="167" spans="1:65" s="14" customFormat="1">
      <c r="B167" s="169"/>
      <c r="D167" s="153" t="s">
        <v>193</v>
      </c>
      <c r="E167" s="170" t="s">
        <v>3</v>
      </c>
      <c r="F167" s="171" t="s">
        <v>1833</v>
      </c>
      <c r="H167" s="170" t="s">
        <v>3</v>
      </c>
      <c r="I167" s="172"/>
      <c r="L167" s="169"/>
      <c r="M167" s="173"/>
      <c r="N167" s="174"/>
      <c r="O167" s="174"/>
      <c r="P167" s="174"/>
      <c r="Q167" s="174"/>
      <c r="R167" s="174"/>
      <c r="S167" s="174"/>
      <c r="T167" s="175"/>
      <c r="AT167" s="170" t="s">
        <v>193</v>
      </c>
      <c r="AU167" s="170" t="s">
        <v>87</v>
      </c>
      <c r="AV167" s="14" t="s">
        <v>85</v>
      </c>
      <c r="AW167" s="14" t="s">
        <v>36</v>
      </c>
      <c r="AX167" s="14" t="s">
        <v>77</v>
      </c>
      <c r="AY167" s="170" t="s">
        <v>177</v>
      </c>
    </row>
    <row r="168" spans="1:65" s="13" customFormat="1">
      <c r="B168" s="161"/>
      <c r="D168" s="153" t="s">
        <v>193</v>
      </c>
      <c r="E168" s="162" t="s">
        <v>3</v>
      </c>
      <c r="F168" s="163" t="s">
        <v>1834</v>
      </c>
      <c r="H168" s="164">
        <v>5.4</v>
      </c>
      <c r="I168" s="165"/>
      <c r="L168" s="161"/>
      <c r="M168" s="166"/>
      <c r="N168" s="167"/>
      <c r="O168" s="167"/>
      <c r="P168" s="167"/>
      <c r="Q168" s="167"/>
      <c r="R168" s="167"/>
      <c r="S168" s="167"/>
      <c r="T168" s="168"/>
      <c r="AT168" s="162" t="s">
        <v>193</v>
      </c>
      <c r="AU168" s="162" t="s">
        <v>87</v>
      </c>
      <c r="AV168" s="13" t="s">
        <v>87</v>
      </c>
      <c r="AW168" s="13" t="s">
        <v>36</v>
      </c>
      <c r="AX168" s="13" t="s">
        <v>77</v>
      </c>
      <c r="AY168" s="162" t="s">
        <v>177</v>
      </c>
    </row>
    <row r="169" spans="1:65" s="14" customFormat="1">
      <c r="B169" s="169"/>
      <c r="D169" s="153" t="s">
        <v>193</v>
      </c>
      <c r="E169" s="170" t="s">
        <v>3</v>
      </c>
      <c r="F169" s="171" t="s">
        <v>1835</v>
      </c>
      <c r="H169" s="170" t="s">
        <v>3</v>
      </c>
      <c r="I169" s="172"/>
      <c r="L169" s="169"/>
      <c r="M169" s="173"/>
      <c r="N169" s="174"/>
      <c r="O169" s="174"/>
      <c r="P169" s="174"/>
      <c r="Q169" s="174"/>
      <c r="R169" s="174"/>
      <c r="S169" s="174"/>
      <c r="T169" s="175"/>
      <c r="AT169" s="170" t="s">
        <v>193</v>
      </c>
      <c r="AU169" s="170" t="s">
        <v>87</v>
      </c>
      <c r="AV169" s="14" t="s">
        <v>85</v>
      </c>
      <c r="AW169" s="14" t="s">
        <v>36</v>
      </c>
      <c r="AX169" s="14" t="s">
        <v>77</v>
      </c>
      <c r="AY169" s="170" t="s">
        <v>177</v>
      </c>
    </row>
    <row r="170" spans="1:65" s="13" customFormat="1">
      <c r="B170" s="161"/>
      <c r="D170" s="153" t="s">
        <v>193</v>
      </c>
      <c r="E170" s="162" t="s">
        <v>3</v>
      </c>
      <c r="F170" s="163" t="s">
        <v>1836</v>
      </c>
      <c r="H170" s="164">
        <v>2.79</v>
      </c>
      <c r="I170" s="165"/>
      <c r="L170" s="161"/>
      <c r="M170" s="166"/>
      <c r="N170" s="167"/>
      <c r="O170" s="167"/>
      <c r="P170" s="167"/>
      <c r="Q170" s="167"/>
      <c r="R170" s="167"/>
      <c r="S170" s="167"/>
      <c r="T170" s="168"/>
      <c r="AT170" s="162" t="s">
        <v>193</v>
      </c>
      <c r="AU170" s="162" t="s">
        <v>87</v>
      </c>
      <c r="AV170" s="13" t="s">
        <v>87</v>
      </c>
      <c r="AW170" s="13" t="s">
        <v>36</v>
      </c>
      <c r="AX170" s="13" t="s">
        <v>77</v>
      </c>
      <c r="AY170" s="162" t="s">
        <v>177</v>
      </c>
    </row>
    <row r="171" spans="1:65" s="14" customFormat="1">
      <c r="B171" s="169"/>
      <c r="D171" s="153" t="s">
        <v>193</v>
      </c>
      <c r="E171" s="170" t="s">
        <v>3</v>
      </c>
      <c r="F171" s="171" t="s">
        <v>1837</v>
      </c>
      <c r="H171" s="170" t="s">
        <v>3</v>
      </c>
      <c r="I171" s="172"/>
      <c r="L171" s="169"/>
      <c r="M171" s="173"/>
      <c r="N171" s="174"/>
      <c r="O171" s="174"/>
      <c r="P171" s="174"/>
      <c r="Q171" s="174"/>
      <c r="R171" s="174"/>
      <c r="S171" s="174"/>
      <c r="T171" s="175"/>
      <c r="AT171" s="170" t="s">
        <v>193</v>
      </c>
      <c r="AU171" s="170" t="s">
        <v>87</v>
      </c>
      <c r="AV171" s="14" t="s">
        <v>85</v>
      </c>
      <c r="AW171" s="14" t="s">
        <v>36</v>
      </c>
      <c r="AX171" s="14" t="s">
        <v>77</v>
      </c>
      <c r="AY171" s="170" t="s">
        <v>177</v>
      </c>
    </row>
    <row r="172" spans="1:65" s="13" customFormat="1">
      <c r="B172" s="161"/>
      <c r="D172" s="153" t="s">
        <v>193</v>
      </c>
      <c r="E172" s="162" t="s">
        <v>3</v>
      </c>
      <c r="F172" s="163" t="s">
        <v>1838</v>
      </c>
      <c r="H172" s="164">
        <v>0.72</v>
      </c>
      <c r="I172" s="165"/>
      <c r="L172" s="161"/>
      <c r="M172" s="166"/>
      <c r="N172" s="167"/>
      <c r="O172" s="167"/>
      <c r="P172" s="167"/>
      <c r="Q172" s="167"/>
      <c r="R172" s="167"/>
      <c r="S172" s="167"/>
      <c r="T172" s="168"/>
      <c r="AT172" s="162" t="s">
        <v>193</v>
      </c>
      <c r="AU172" s="162" t="s">
        <v>87</v>
      </c>
      <c r="AV172" s="13" t="s">
        <v>87</v>
      </c>
      <c r="AW172" s="13" t="s">
        <v>36</v>
      </c>
      <c r="AX172" s="13" t="s">
        <v>77</v>
      </c>
      <c r="AY172" s="162" t="s">
        <v>177</v>
      </c>
    </row>
    <row r="173" spans="1:65" s="16" customFormat="1">
      <c r="B173" s="184"/>
      <c r="D173" s="153" t="s">
        <v>193</v>
      </c>
      <c r="E173" s="185" t="s">
        <v>3</v>
      </c>
      <c r="F173" s="186" t="s">
        <v>201</v>
      </c>
      <c r="H173" s="187">
        <v>8.9100000000000019</v>
      </c>
      <c r="I173" s="188"/>
      <c r="L173" s="184"/>
      <c r="M173" s="189"/>
      <c r="N173" s="190"/>
      <c r="O173" s="190"/>
      <c r="P173" s="190"/>
      <c r="Q173" s="190"/>
      <c r="R173" s="190"/>
      <c r="S173" s="190"/>
      <c r="T173" s="191"/>
      <c r="AT173" s="185" t="s">
        <v>193</v>
      </c>
      <c r="AU173" s="185" t="s">
        <v>87</v>
      </c>
      <c r="AV173" s="16" t="s">
        <v>185</v>
      </c>
      <c r="AW173" s="16" t="s">
        <v>36</v>
      </c>
      <c r="AX173" s="16" t="s">
        <v>85</v>
      </c>
      <c r="AY173" s="185" t="s">
        <v>177</v>
      </c>
    </row>
    <row r="174" spans="1:65" s="2" customFormat="1" ht="16.5" customHeight="1">
      <c r="A174" s="34"/>
      <c r="B174" s="139"/>
      <c r="C174" s="140" t="s">
        <v>237</v>
      </c>
      <c r="D174" s="140" t="s">
        <v>180</v>
      </c>
      <c r="E174" s="141" t="s">
        <v>1839</v>
      </c>
      <c r="F174" s="142" t="s">
        <v>1840</v>
      </c>
      <c r="G174" s="143" t="s">
        <v>332</v>
      </c>
      <c r="H174" s="144">
        <v>5.76</v>
      </c>
      <c r="I174" s="145"/>
      <c r="J174" s="146">
        <f>ROUND(I174*H174,2)</f>
        <v>0</v>
      </c>
      <c r="K174" s="142" t="s">
        <v>184</v>
      </c>
      <c r="L174" s="35"/>
      <c r="M174" s="147" t="s">
        <v>3</v>
      </c>
      <c r="N174" s="148" t="s">
        <v>48</v>
      </c>
      <c r="O174" s="55"/>
      <c r="P174" s="149">
        <f>O174*H174</f>
        <v>0</v>
      </c>
      <c r="Q174" s="149">
        <v>0</v>
      </c>
      <c r="R174" s="149">
        <f>Q174*H174</f>
        <v>0</v>
      </c>
      <c r="S174" s="149">
        <v>6.2E-2</v>
      </c>
      <c r="T174" s="150">
        <f>S174*H174</f>
        <v>0.35711999999999999</v>
      </c>
      <c r="U174" s="34"/>
      <c r="V174" s="34"/>
      <c r="W174" s="34"/>
      <c r="X174" s="34"/>
      <c r="Y174" s="34"/>
      <c r="Z174" s="34"/>
      <c r="AA174" s="34"/>
      <c r="AB174" s="34"/>
      <c r="AC174" s="34"/>
      <c r="AD174" s="34"/>
      <c r="AE174" s="34"/>
      <c r="AR174" s="151" t="s">
        <v>185</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1841</v>
      </c>
    </row>
    <row r="175" spans="1:65" s="2" customFormat="1">
      <c r="A175" s="34"/>
      <c r="B175" s="35"/>
      <c r="C175" s="34"/>
      <c r="D175" s="153" t="s">
        <v>187</v>
      </c>
      <c r="E175" s="34"/>
      <c r="F175" s="154" t="s">
        <v>1842</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1843</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2" customFormat="1" ht="48.75">
      <c r="A177" s="34"/>
      <c r="B177" s="35"/>
      <c r="C177" s="34"/>
      <c r="D177" s="153" t="s">
        <v>191</v>
      </c>
      <c r="E177" s="34"/>
      <c r="F177" s="160" t="s">
        <v>1061</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87</v>
      </c>
    </row>
    <row r="178" spans="1:65" s="14" customFormat="1">
      <c r="B178" s="169"/>
      <c r="D178" s="153" t="s">
        <v>193</v>
      </c>
      <c r="E178" s="170" t="s">
        <v>3</v>
      </c>
      <c r="F178" s="171" t="s">
        <v>1833</v>
      </c>
      <c r="H178" s="170" t="s">
        <v>3</v>
      </c>
      <c r="I178" s="172"/>
      <c r="L178" s="169"/>
      <c r="M178" s="173"/>
      <c r="N178" s="174"/>
      <c r="O178" s="174"/>
      <c r="P178" s="174"/>
      <c r="Q178" s="174"/>
      <c r="R178" s="174"/>
      <c r="S178" s="174"/>
      <c r="T178" s="175"/>
      <c r="AT178" s="170" t="s">
        <v>193</v>
      </c>
      <c r="AU178" s="170" t="s">
        <v>87</v>
      </c>
      <c r="AV178" s="14" t="s">
        <v>85</v>
      </c>
      <c r="AW178" s="14" t="s">
        <v>36</v>
      </c>
      <c r="AX178" s="14" t="s">
        <v>77</v>
      </c>
      <c r="AY178" s="170" t="s">
        <v>177</v>
      </c>
    </row>
    <row r="179" spans="1:65" s="13" customFormat="1">
      <c r="B179" s="161"/>
      <c r="D179" s="153" t="s">
        <v>193</v>
      </c>
      <c r="E179" s="162" t="s">
        <v>3</v>
      </c>
      <c r="F179" s="163" t="s">
        <v>1844</v>
      </c>
      <c r="H179" s="164">
        <v>5.76</v>
      </c>
      <c r="I179" s="165"/>
      <c r="L179" s="161"/>
      <c r="M179" s="166"/>
      <c r="N179" s="167"/>
      <c r="O179" s="167"/>
      <c r="P179" s="167"/>
      <c r="Q179" s="167"/>
      <c r="R179" s="167"/>
      <c r="S179" s="167"/>
      <c r="T179" s="168"/>
      <c r="AT179" s="162" t="s">
        <v>193</v>
      </c>
      <c r="AU179" s="162" t="s">
        <v>87</v>
      </c>
      <c r="AV179" s="13" t="s">
        <v>87</v>
      </c>
      <c r="AW179" s="13" t="s">
        <v>36</v>
      </c>
      <c r="AX179" s="13" t="s">
        <v>85</v>
      </c>
      <c r="AY179" s="162" t="s">
        <v>177</v>
      </c>
    </row>
    <row r="180" spans="1:65" s="2" customFormat="1" ht="21.75" customHeight="1">
      <c r="A180" s="34"/>
      <c r="B180" s="139"/>
      <c r="C180" s="140" t="s">
        <v>302</v>
      </c>
      <c r="D180" s="140" t="s">
        <v>180</v>
      </c>
      <c r="E180" s="141" t="s">
        <v>825</v>
      </c>
      <c r="F180" s="142" t="s">
        <v>826</v>
      </c>
      <c r="G180" s="143" t="s">
        <v>476</v>
      </c>
      <c r="H180" s="144">
        <v>39.24</v>
      </c>
      <c r="I180" s="145"/>
      <c r="J180" s="146">
        <f>ROUND(I180*H180,2)</f>
        <v>0</v>
      </c>
      <c r="K180" s="142" t="s">
        <v>184</v>
      </c>
      <c r="L180" s="35"/>
      <c r="M180" s="147" t="s">
        <v>3</v>
      </c>
      <c r="N180" s="148" t="s">
        <v>48</v>
      </c>
      <c r="O180" s="55"/>
      <c r="P180" s="149">
        <f>O180*H180</f>
        <v>0</v>
      </c>
      <c r="Q180" s="149">
        <v>2.009E-4</v>
      </c>
      <c r="R180" s="149">
        <f>Q180*H180</f>
        <v>7.8833160000000013E-3</v>
      </c>
      <c r="S180" s="149">
        <v>0</v>
      </c>
      <c r="T180" s="150">
        <f>S180*H180</f>
        <v>0</v>
      </c>
      <c r="U180" s="34"/>
      <c r="V180" s="34"/>
      <c r="W180" s="34"/>
      <c r="X180" s="34"/>
      <c r="Y180" s="34"/>
      <c r="Z180" s="34"/>
      <c r="AA180" s="34"/>
      <c r="AB180" s="34"/>
      <c r="AC180" s="34"/>
      <c r="AD180" s="34"/>
      <c r="AE180" s="34"/>
      <c r="AR180" s="151" t="s">
        <v>185</v>
      </c>
      <c r="AT180" s="151" t="s">
        <v>180</v>
      </c>
      <c r="AU180" s="151" t="s">
        <v>87</v>
      </c>
      <c r="AY180" s="19" t="s">
        <v>177</v>
      </c>
      <c r="BE180" s="152">
        <f>IF(N180="základní",J180,0)</f>
        <v>0</v>
      </c>
      <c r="BF180" s="152">
        <f>IF(N180="snížená",J180,0)</f>
        <v>0</v>
      </c>
      <c r="BG180" s="152">
        <f>IF(N180="zákl. přenesená",J180,0)</f>
        <v>0</v>
      </c>
      <c r="BH180" s="152">
        <f>IF(N180="sníž. přenesená",J180,0)</f>
        <v>0</v>
      </c>
      <c r="BI180" s="152">
        <f>IF(N180="nulová",J180,0)</f>
        <v>0</v>
      </c>
      <c r="BJ180" s="19" t="s">
        <v>85</v>
      </c>
      <c r="BK180" s="152">
        <f>ROUND(I180*H180,2)</f>
        <v>0</v>
      </c>
      <c r="BL180" s="19" t="s">
        <v>185</v>
      </c>
      <c r="BM180" s="151" t="s">
        <v>1845</v>
      </c>
    </row>
    <row r="181" spans="1:65" s="2" customFormat="1" ht="19.5">
      <c r="A181" s="34"/>
      <c r="B181" s="35"/>
      <c r="C181" s="34"/>
      <c r="D181" s="153" t="s">
        <v>187</v>
      </c>
      <c r="E181" s="34"/>
      <c r="F181" s="154" t="s">
        <v>828</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187</v>
      </c>
      <c r="AU181" s="19" t="s">
        <v>87</v>
      </c>
    </row>
    <row r="182" spans="1:65" s="2" customFormat="1">
      <c r="A182" s="34"/>
      <c r="B182" s="35"/>
      <c r="C182" s="34"/>
      <c r="D182" s="158" t="s">
        <v>189</v>
      </c>
      <c r="E182" s="34"/>
      <c r="F182" s="159" t="s">
        <v>829</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189</v>
      </c>
      <c r="AU182" s="19" t="s">
        <v>87</v>
      </c>
    </row>
    <row r="183" spans="1:65" s="2" customFormat="1" ht="78">
      <c r="A183" s="34"/>
      <c r="B183" s="35"/>
      <c r="C183" s="34"/>
      <c r="D183" s="153" t="s">
        <v>191</v>
      </c>
      <c r="E183" s="34"/>
      <c r="F183" s="160" t="s">
        <v>823</v>
      </c>
      <c r="G183" s="34"/>
      <c r="H183" s="34"/>
      <c r="I183" s="155"/>
      <c r="J183" s="34"/>
      <c r="K183" s="34"/>
      <c r="L183" s="35"/>
      <c r="M183" s="156"/>
      <c r="N183" s="157"/>
      <c r="O183" s="55"/>
      <c r="P183" s="55"/>
      <c r="Q183" s="55"/>
      <c r="R183" s="55"/>
      <c r="S183" s="55"/>
      <c r="T183" s="56"/>
      <c r="U183" s="34"/>
      <c r="V183" s="34"/>
      <c r="W183" s="34"/>
      <c r="X183" s="34"/>
      <c r="Y183" s="34"/>
      <c r="Z183" s="34"/>
      <c r="AA183" s="34"/>
      <c r="AB183" s="34"/>
      <c r="AC183" s="34"/>
      <c r="AD183" s="34"/>
      <c r="AE183" s="34"/>
      <c r="AT183" s="19" t="s">
        <v>191</v>
      </c>
      <c r="AU183" s="19" t="s">
        <v>87</v>
      </c>
    </row>
    <row r="184" spans="1:65" s="14" customFormat="1">
      <c r="B184" s="169"/>
      <c r="D184" s="153" t="s">
        <v>193</v>
      </c>
      <c r="E184" s="170" t="s">
        <v>3</v>
      </c>
      <c r="F184" s="171" t="s">
        <v>1801</v>
      </c>
      <c r="H184" s="170" t="s">
        <v>3</v>
      </c>
      <c r="I184" s="172"/>
      <c r="L184" s="169"/>
      <c r="M184" s="173"/>
      <c r="N184" s="174"/>
      <c r="O184" s="174"/>
      <c r="P184" s="174"/>
      <c r="Q184" s="174"/>
      <c r="R184" s="174"/>
      <c r="S184" s="174"/>
      <c r="T184" s="175"/>
      <c r="AT184" s="170" t="s">
        <v>193</v>
      </c>
      <c r="AU184" s="170" t="s">
        <v>87</v>
      </c>
      <c r="AV184" s="14" t="s">
        <v>85</v>
      </c>
      <c r="AW184" s="14" t="s">
        <v>36</v>
      </c>
      <c r="AX184" s="14" t="s">
        <v>77</v>
      </c>
      <c r="AY184" s="170" t="s">
        <v>177</v>
      </c>
    </row>
    <row r="185" spans="1:65" s="13" customFormat="1">
      <c r="B185" s="161"/>
      <c r="D185" s="153" t="s">
        <v>193</v>
      </c>
      <c r="E185" s="162" t="s">
        <v>3</v>
      </c>
      <c r="F185" s="163" t="s">
        <v>1846</v>
      </c>
      <c r="H185" s="164">
        <v>19.04</v>
      </c>
      <c r="I185" s="165"/>
      <c r="L185" s="161"/>
      <c r="M185" s="166"/>
      <c r="N185" s="167"/>
      <c r="O185" s="167"/>
      <c r="P185" s="167"/>
      <c r="Q185" s="167"/>
      <c r="R185" s="167"/>
      <c r="S185" s="167"/>
      <c r="T185" s="168"/>
      <c r="AT185" s="162" t="s">
        <v>193</v>
      </c>
      <c r="AU185" s="162" t="s">
        <v>87</v>
      </c>
      <c r="AV185" s="13" t="s">
        <v>87</v>
      </c>
      <c r="AW185" s="13" t="s">
        <v>36</v>
      </c>
      <c r="AX185" s="13" t="s">
        <v>77</v>
      </c>
      <c r="AY185" s="162" t="s">
        <v>177</v>
      </c>
    </row>
    <row r="186" spans="1:65" s="13" customFormat="1">
      <c r="B186" s="161"/>
      <c r="D186" s="153" t="s">
        <v>193</v>
      </c>
      <c r="E186" s="162" t="s">
        <v>3</v>
      </c>
      <c r="F186" s="163" t="s">
        <v>1847</v>
      </c>
      <c r="H186" s="164">
        <v>20.2</v>
      </c>
      <c r="I186" s="165"/>
      <c r="L186" s="161"/>
      <c r="M186" s="166"/>
      <c r="N186" s="167"/>
      <c r="O186" s="167"/>
      <c r="P186" s="167"/>
      <c r="Q186" s="167"/>
      <c r="R186" s="167"/>
      <c r="S186" s="167"/>
      <c r="T186" s="168"/>
      <c r="AT186" s="162" t="s">
        <v>193</v>
      </c>
      <c r="AU186" s="162" t="s">
        <v>87</v>
      </c>
      <c r="AV186" s="13" t="s">
        <v>87</v>
      </c>
      <c r="AW186" s="13" t="s">
        <v>36</v>
      </c>
      <c r="AX186" s="13" t="s">
        <v>77</v>
      </c>
      <c r="AY186" s="162" t="s">
        <v>177</v>
      </c>
    </row>
    <row r="187" spans="1:65" s="16" customFormat="1">
      <c r="B187" s="184"/>
      <c r="D187" s="153" t="s">
        <v>193</v>
      </c>
      <c r="E187" s="185" t="s">
        <v>3</v>
      </c>
      <c r="F187" s="186" t="s">
        <v>201</v>
      </c>
      <c r="H187" s="187">
        <v>39.239999999999995</v>
      </c>
      <c r="I187" s="188"/>
      <c r="L187" s="184"/>
      <c r="M187" s="189"/>
      <c r="N187" s="190"/>
      <c r="O187" s="190"/>
      <c r="P187" s="190"/>
      <c r="Q187" s="190"/>
      <c r="R187" s="190"/>
      <c r="S187" s="190"/>
      <c r="T187" s="191"/>
      <c r="AT187" s="185" t="s">
        <v>193</v>
      </c>
      <c r="AU187" s="185" t="s">
        <v>87</v>
      </c>
      <c r="AV187" s="16" t="s">
        <v>185</v>
      </c>
      <c r="AW187" s="16" t="s">
        <v>36</v>
      </c>
      <c r="AX187" s="16" t="s">
        <v>85</v>
      </c>
      <c r="AY187" s="185" t="s">
        <v>177</v>
      </c>
    </row>
    <row r="188" spans="1:65" s="2" customFormat="1" ht="21.75" customHeight="1">
      <c r="A188" s="34"/>
      <c r="B188" s="139"/>
      <c r="C188" s="140" t="s">
        <v>315</v>
      </c>
      <c r="D188" s="140" t="s">
        <v>180</v>
      </c>
      <c r="E188" s="141" t="s">
        <v>1518</v>
      </c>
      <c r="F188" s="142" t="s">
        <v>1519</v>
      </c>
      <c r="G188" s="143" t="s">
        <v>332</v>
      </c>
      <c r="H188" s="144">
        <v>274.55200000000002</v>
      </c>
      <c r="I188" s="145"/>
      <c r="J188" s="146">
        <f>ROUND(I188*H188,2)</f>
        <v>0</v>
      </c>
      <c r="K188" s="142" t="s">
        <v>184</v>
      </c>
      <c r="L188" s="35"/>
      <c r="M188" s="147" t="s">
        <v>3</v>
      </c>
      <c r="N188" s="148" t="s">
        <v>48</v>
      </c>
      <c r="O188" s="55"/>
      <c r="P188" s="149">
        <f>O188*H188</f>
        <v>0</v>
      </c>
      <c r="Q188" s="149">
        <v>0</v>
      </c>
      <c r="R188" s="149">
        <f>Q188*H188</f>
        <v>0</v>
      </c>
      <c r="S188" s="149">
        <v>4.5999999999999999E-2</v>
      </c>
      <c r="T188" s="150">
        <f>S188*H188</f>
        <v>12.629392000000001</v>
      </c>
      <c r="U188" s="34"/>
      <c r="V188" s="34"/>
      <c r="W188" s="34"/>
      <c r="X188" s="34"/>
      <c r="Y188" s="34"/>
      <c r="Z188" s="34"/>
      <c r="AA188" s="34"/>
      <c r="AB188" s="34"/>
      <c r="AC188" s="34"/>
      <c r="AD188" s="34"/>
      <c r="AE188" s="34"/>
      <c r="AR188" s="151" t="s">
        <v>185</v>
      </c>
      <c r="AT188" s="151" t="s">
        <v>180</v>
      </c>
      <c r="AU188" s="151" t="s">
        <v>87</v>
      </c>
      <c r="AY188" s="19" t="s">
        <v>177</v>
      </c>
      <c r="BE188" s="152">
        <f>IF(N188="základní",J188,0)</f>
        <v>0</v>
      </c>
      <c r="BF188" s="152">
        <f>IF(N188="snížená",J188,0)</f>
        <v>0</v>
      </c>
      <c r="BG188" s="152">
        <f>IF(N188="zákl. přenesená",J188,0)</f>
        <v>0</v>
      </c>
      <c r="BH188" s="152">
        <f>IF(N188="sníž. přenesená",J188,0)</f>
        <v>0</v>
      </c>
      <c r="BI188" s="152">
        <f>IF(N188="nulová",J188,0)</f>
        <v>0</v>
      </c>
      <c r="BJ188" s="19" t="s">
        <v>85</v>
      </c>
      <c r="BK188" s="152">
        <f>ROUND(I188*H188,2)</f>
        <v>0</v>
      </c>
      <c r="BL188" s="19" t="s">
        <v>185</v>
      </c>
      <c r="BM188" s="151" t="s">
        <v>1848</v>
      </c>
    </row>
    <row r="189" spans="1:65" s="2" customFormat="1" ht="19.5">
      <c r="A189" s="34"/>
      <c r="B189" s="35"/>
      <c r="C189" s="34"/>
      <c r="D189" s="153" t="s">
        <v>187</v>
      </c>
      <c r="E189" s="34"/>
      <c r="F189" s="154" t="s">
        <v>1521</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187</v>
      </c>
      <c r="AU189" s="19" t="s">
        <v>87</v>
      </c>
    </row>
    <row r="190" spans="1:65" s="2" customFormat="1">
      <c r="A190" s="34"/>
      <c r="B190" s="35"/>
      <c r="C190" s="34"/>
      <c r="D190" s="158" t="s">
        <v>189</v>
      </c>
      <c r="E190" s="34"/>
      <c r="F190" s="159" t="s">
        <v>1522</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189</v>
      </c>
      <c r="AU190" s="19" t="s">
        <v>87</v>
      </c>
    </row>
    <row r="191" spans="1:65" s="2" customFormat="1" ht="29.25">
      <c r="A191" s="34"/>
      <c r="B191" s="35"/>
      <c r="C191" s="34"/>
      <c r="D191" s="153" t="s">
        <v>191</v>
      </c>
      <c r="E191" s="34"/>
      <c r="F191" s="160" t="s">
        <v>1114</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191</v>
      </c>
      <c r="AU191" s="19" t="s">
        <v>87</v>
      </c>
    </row>
    <row r="192" spans="1:65" s="13" customFormat="1">
      <c r="B192" s="161"/>
      <c r="D192" s="153" t="s">
        <v>193</v>
      </c>
      <c r="E192" s="162" t="s">
        <v>3</v>
      </c>
      <c r="F192" s="163" t="s">
        <v>1849</v>
      </c>
      <c r="H192" s="164">
        <v>233.327</v>
      </c>
      <c r="I192" s="165"/>
      <c r="L192" s="161"/>
      <c r="M192" s="166"/>
      <c r="N192" s="167"/>
      <c r="O192" s="167"/>
      <c r="P192" s="167"/>
      <c r="Q192" s="167"/>
      <c r="R192" s="167"/>
      <c r="S192" s="167"/>
      <c r="T192" s="168"/>
      <c r="AT192" s="162" t="s">
        <v>193</v>
      </c>
      <c r="AU192" s="162" t="s">
        <v>87</v>
      </c>
      <c r="AV192" s="13" t="s">
        <v>87</v>
      </c>
      <c r="AW192" s="13" t="s">
        <v>36</v>
      </c>
      <c r="AX192" s="13" t="s">
        <v>77</v>
      </c>
      <c r="AY192" s="162" t="s">
        <v>177</v>
      </c>
    </row>
    <row r="193" spans="1:65" s="13" customFormat="1">
      <c r="B193" s="161"/>
      <c r="D193" s="153" t="s">
        <v>193</v>
      </c>
      <c r="E193" s="162" t="s">
        <v>3</v>
      </c>
      <c r="F193" s="163" t="s">
        <v>1850</v>
      </c>
      <c r="H193" s="164">
        <v>-7.83</v>
      </c>
      <c r="I193" s="165"/>
      <c r="L193" s="161"/>
      <c r="M193" s="166"/>
      <c r="N193" s="167"/>
      <c r="O193" s="167"/>
      <c r="P193" s="167"/>
      <c r="Q193" s="167"/>
      <c r="R193" s="167"/>
      <c r="S193" s="167"/>
      <c r="T193" s="168"/>
      <c r="AT193" s="162" t="s">
        <v>193</v>
      </c>
      <c r="AU193" s="162" t="s">
        <v>87</v>
      </c>
      <c r="AV193" s="13" t="s">
        <v>87</v>
      </c>
      <c r="AW193" s="13" t="s">
        <v>36</v>
      </c>
      <c r="AX193" s="13" t="s">
        <v>77</v>
      </c>
      <c r="AY193" s="162" t="s">
        <v>177</v>
      </c>
    </row>
    <row r="194" spans="1:65" s="13" customFormat="1">
      <c r="B194" s="161"/>
      <c r="D194" s="153" t="s">
        <v>193</v>
      </c>
      <c r="E194" s="162" t="s">
        <v>3</v>
      </c>
      <c r="F194" s="163" t="s">
        <v>1851</v>
      </c>
      <c r="H194" s="164">
        <v>-5.76</v>
      </c>
      <c r="I194" s="165"/>
      <c r="L194" s="161"/>
      <c r="M194" s="166"/>
      <c r="N194" s="167"/>
      <c r="O194" s="167"/>
      <c r="P194" s="167"/>
      <c r="Q194" s="167"/>
      <c r="R194" s="167"/>
      <c r="S194" s="167"/>
      <c r="T194" s="168"/>
      <c r="AT194" s="162" t="s">
        <v>193</v>
      </c>
      <c r="AU194" s="162" t="s">
        <v>87</v>
      </c>
      <c r="AV194" s="13" t="s">
        <v>87</v>
      </c>
      <c r="AW194" s="13" t="s">
        <v>36</v>
      </c>
      <c r="AX194" s="13" t="s">
        <v>77</v>
      </c>
      <c r="AY194" s="162" t="s">
        <v>177</v>
      </c>
    </row>
    <row r="195" spans="1:65" s="13" customFormat="1">
      <c r="B195" s="161"/>
      <c r="D195" s="153" t="s">
        <v>193</v>
      </c>
      <c r="E195" s="162" t="s">
        <v>3</v>
      </c>
      <c r="F195" s="163" t="s">
        <v>1852</v>
      </c>
      <c r="H195" s="164">
        <v>-9.0299999999999994</v>
      </c>
      <c r="I195" s="165"/>
      <c r="L195" s="161"/>
      <c r="M195" s="166"/>
      <c r="N195" s="167"/>
      <c r="O195" s="167"/>
      <c r="P195" s="167"/>
      <c r="Q195" s="167"/>
      <c r="R195" s="167"/>
      <c r="S195" s="167"/>
      <c r="T195" s="168"/>
      <c r="AT195" s="162" t="s">
        <v>193</v>
      </c>
      <c r="AU195" s="162" t="s">
        <v>87</v>
      </c>
      <c r="AV195" s="13" t="s">
        <v>87</v>
      </c>
      <c r="AW195" s="13" t="s">
        <v>36</v>
      </c>
      <c r="AX195" s="13" t="s">
        <v>77</v>
      </c>
      <c r="AY195" s="162" t="s">
        <v>177</v>
      </c>
    </row>
    <row r="196" spans="1:65" s="15" customFormat="1">
      <c r="B196" s="176"/>
      <c r="D196" s="153" t="s">
        <v>193</v>
      </c>
      <c r="E196" s="177" t="s">
        <v>3</v>
      </c>
      <c r="F196" s="178" t="s">
        <v>197</v>
      </c>
      <c r="H196" s="179">
        <v>210.70699999999999</v>
      </c>
      <c r="I196" s="180"/>
      <c r="L196" s="176"/>
      <c r="M196" s="181"/>
      <c r="N196" s="182"/>
      <c r="O196" s="182"/>
      <c r="P196" s="182"/>
      <c r="Q196" s="182"/>
      <c r="R196" s="182"/>
      <c r="S196" s="182"/>
      <c r="T196" s="183"/>
      <c r="AT196" s="177" t="s">
        <v>193</v>
      </c>
      <c r="AU196" s="177" t="s">
        <v>87</v>
      </c>
      <c r="AV196" s="15" t="s">
        <v>198</v>
      </c>
      <c r="AW196" s="15" t="s">
        <v>36</v>
      </c>
      <c r="AX196" s="15" t="s">
        <v>77</v>
      </c>
      <c r="AY196" s="177" t="s">
        <v>177</v>
      </c>
    </row>
    <row r="197" spans="1:65" s="14" customFormat="1">
      <c r="B197" s="169"/>
      <c r="D197" s="153" t="s">
        <v>193</v>
      </c>
      <c r="E197" s="170" t="s">
        <v>3</v>
      </c>
      <c r="F197" s="171" t="s">
        <v>779</v>
      </c>
      <c r="H197" s="170" t="s">
        <v>3</v>
      </c>
      <c r="I197" s="172"/>
      <c r="L197" s="169"/>
      <c r="M197" s="173"/>
      <c r="N197" s="174"/>
      <c r="O197" s="174"/>
      <c r="P197" s="174"/>
      <c r="Q197" s="174"/>
      <c r="R197" s="174"/>
      <c r="S197" s="174"/>
      <c r="T197" s="175"/>
      <c r="AT197" s="170" t="s">
        <v>193</v>
      </c>
      <c r="AU197" s="170" t="s">
        <v>87</v>
      </c>
      <c r="AV197" s="14" t="s">
        <v>85</v>
      </c>
      <c r="AW197" s="14" t="s">
        <v>36</v>
      </c>
      <c r="AX197" s="14" t="s">
        <v>77</v>
      </c>
      <c r="AY197" s="170" t="s">
        <v>177</v>
      </c>
    </row>
    <row r="198" spans="1:65" s="13" customFormat="1">
      <c r="B198" s="161"/>
      <c r="D198" s="153" t="s">
        <v>193</v>
      </c>
      <c r="E198" s="162" t="s">
        <v>3</v>
      </c>
      <c r="F198" s="163" t="s">
        <v>1853</v>
      </c>
      <c r="H198" s="164">
        <v>63.844999999999999</v>
      </c>
      <c r="I198" s="165"/>
      <c r="L198" s="161"/>
      <c r="M198" s="166"/>
      <c r="N198" s="167"/>
      <c r="O198" s="167"/>
      <c r="P198" s="167"/>
      <c r="Q198" s="167"/>
      <c r="R198" s="167"/>
      <c r="S198" s="167"/>
      <c r="T198" s="168"/>
      <c r="AT198" s="162" t="s">
        <v>193</v>
      </c>
      <c r="AU198" s="162" t="s">
        <v>87</v>
      </c>
      <c r="AV198" s="13" t="s">
        <v>87</v>
      </c>
      <c r="AW198" s="13" t="s">
        <v>36</v>
      </c>
      <c r="AX198" s="13" t="s">
        <v>77</v>
      </c>
      <c r="AY198" s="162" t="s">
        <v>177</v>
      </c>
    </row>
    <row r="199" spans="1:65" s="16" customFormat="1">
      <c r="B199" s="184"/>
      <c r="D199" s="153" t="s">
        <v>193</v>
      </c>
      <c r="E199" s="185" t="s">
        <v>3</v>
      </c>
      <c r="F199" s="186" t="s">
        <v>201</v>
      </c>
      <c r="H199" s="187">
        <v>274.55200000000002</v>
      </c>
      <c r="I199" s="188"/>
      <c r="L199" s="184"/>
      <c r="M199" s="189"/>
      <c r="N199" s="190"/>
      <c r="O199" s="190"/>
      <c r="P199" s="190"/>
      <c r="Q199" s="190"/>
      <c r="R199" s="190"/>
      <c r="S199" s="190"/>
      <c r="T199" s="191"/>
      <c r="AT199" s="185" t="s">
        <v>193</v>
      </c>
      <c r="AU199" s="185" t="s">
        <v>87</v>
      </c>
      <c r="AV199" s="16" t="s">
        <v>185</v>
      </c>
      <c r="AW199" s="16" t="s">
        <v>36</v>
      </c>
      <c r="AX199" s="16" t="s">
        <v>85</v>
      </c>
      <c r="AY199" s="185" t="s">
        <v>177</v>
      </c>
    </row>
    <row r="200" spans="1:65" s="2" customFormat="1" ht="16.5" customHeight="1">
      <c r="A200" s="34"/>
      <c r="B200" s="139"/>
      <c r="C200" s="140" t="s">
        <v>461</v>
      </c>
      <c r="D200" s="140" t="s">
        <v>180</v>
      </c>
      <c r="E200" s="141" t="s">
        <v>1120</v>
      </c>
      <c r="F200" s="142" t="s">
        <v>1121</v>
      </c>
      <c r="G200" s="143" t="s">
        <v>332</v>
      </c>
      <c r="H200" s="144">
        <v>23.343</v>
      </c>
      <c r="I200" s="145"/>
      <c r="J200" s="146">
        <f>ROUND(I200*H200,2)</f>
        <v>0</v>
      </c>
      <c r="K200" s="142" t="s">
        <v>184</v>
      </c>
      <c r="L200" s="35"/>
      <c r="M200" s="147" t="s">
        <v>3</v>
      </c>
      <c r="N200" s="148" t="s">
        <v>48</v>
      </c>
      <c r="O200" s="55"/>
      <c r="P200" s="149">
        <f>O200*H200</f>
        <v>0</v>
      </c>
      <c r="Q200" s="149">
        <v>0</v>
      </c>
      <c r="R200" s="149">
        <f>Q200*H200</f>
        <v>0</v>
      </c>
      <c r="S200" s="149">
        <v>6.6000000000000003E-2</v>
      </c>
      <c r="T200" s="150">
        <f>S200*H200</f>
        <v>1.5406380000000002</v>
      </c>
      <c r="U200" s="34"/>
      <c r="V200" s="34"/>
      <c r="W200" s="34"/>
      <c r="X200" s="34"/>
      <c r="Y200" s="34"/>
      <c r="Z200" s="34"/>
      <c r="AA200" s="34"/>
      <c r="AB200" s="34"/>
      <c r="AC200" s="34"/>
      <c r="AD200" s="34"/>
      <c r="AE200" s="34"/>
      <c r="AR200" s="151" t="s">
        <v>185</v>
      </c>
      <c r="AT200" s="151" t="s">
        <v>180</v>
      </c>
      <c r="AU200" s="151" t="s">
        <v>87</v>
      </c>
      <c r="AY200" s="19" t="s">
        <v>177</v>
      </c>
      <c r="BE200" s="152">
        <f>IF(N200="základní",J200,0)</f>
        <v>0</v>
      </c>
      <c r="BF200" s="152">
        <f>IF(N200="snížená",J200,0)</f>
        <v>0</v>
      </c>
      <c r="BG200" s="152">
        <f>IF(N200="zákl. přenesená",J200,0)</f>
        <v>0</v>
      </c>
      <c r="BH200" s="152">
        <f>IF(N200="sníž. přenesená",J200,0)</f>
        <v>0</v>
      </c>
      <c r="BI200" s="152">
        <f>IF(N200="nulová",J200,0)</f>
        <v>0</v>
      </c>
      <c r="BJ200" s="19" t="s">
        <v>85</v>
      </c>
      <c r="BK200" s="152">
        <f>ROUND(I200*H200,2)</f>
        <v>0</v>
      </c>
      <c r="BL200" s="19" t="s">
        <v>185</v>
      </c>
      <c r="BM200" s="151" t="s">
        <v>1854</v>
      </c>
    </row>
    <row r="201" spans="1:65" s="2" customFormat="1">
      <c r="A201" s="34"/>
      <c r="B201" s="35"/>
      <c r="C201" s="34"/>
      <c r="D201" s="153" t="s">
        <v>187</v>
      </c>
      <c r="E201" s="34"/>
      <c r="F201" s="154" t="s">
        <v>1123</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187</v>
      </c>
      <c r="AU201" s="19" t="s">
        <v>87</v>
      </c>
    </row>
    <row r="202" spans="1:65" s="2" customFormat="1">
      <c r="A202" s="34"/>
      <c r="B202" s="35"/>
      <c r="C202" s="34"/>
      <c r="D202" s="158" t="s">
        <v>189</v>
      </c>
      <c r="E202" s="34"/>
      <c r="F202" s="159" t="s">
        <v>1124</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189</v>
      </c>
      <c r="AU202" s="19" t="s">
        <v>87</v>
      </c>
    </row>
    <row r="203" spans="1:65" s="2" customFormat="1" ht="39">
      <c r="A203" s="34"/>
      <c r="B203" s="35"/>
      <c r="C203" s="34"/>
      <c r="D203" s="153" t="s">
        <v>191</v>
      </c>
      <c r="E203" s="34"/>
      <c r="F203" s="160" t="s">
        <v>350</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191</v>
      </c>
      <c r="AU203" s="19" t="s">
        <v>87</v>
      </c>
    </row>
    <row r="204" spans="1:65" s="2" customFormat="1" ht="16.5" customHeight="1">
      <c r="A204" s="34"/>
      <c r="B204" s="139"/>
      <c r="C204" s="140" t="s">
        <v>467</v>
      </c>
      <c r="D204" s="140" t="s">
        <v>180</v>
      </c>
      <c r="E204" s="141" t="s">
        <v>1127</v>
      </c>
      <c r="F204" s="142" t="s">
        <v>1128</v>
      </c>
      <c r="G204" s="143" t="s">
        <v>332</v>
      </c>
      <c r="H204" s="144">
        <v>62.249000000000002</v>
      </c>
      <c r="I204" s="145"/>
      <c r="J204" s="146">
        <f>ROUND(I204*H204,2)</f>
        <v>0</v>
      </c>
      <c r="K204" s="142" t="s">
        <v>184</v>
      </c>
      <c r="L204" s="35"/>
      <c r="M204" s="147" t="s">
        <v>3</v>
      </c>
      <c r="N204" s="148" t="s">
        <v>48</v>
      </c>
      <c r="O204" s="55"/>
      <c r="P204" s="149">
        <f>O204*H204</f>
        <v>0</v>
      </c>
      <c r="Q204" s="149">
        <v>0</v>
      </c>
      <c r="R204" s="149">
        <f>Q204*H204</f>
        <v>0</v>
      </c>
      <c r="S204" s="149">
        <v>0.11</v>
      </c>
      <c r="T204" s="150">
        <f>S204*H204</f>
        <v>6.8473899999999999</v>
      </c>
      <c r="U204" s="34"/>
      <c r="V204" s="34"/>
      <c r="W204" s="34"/>
      <c r="X204" s="34"/>
      <c r="Y204" s="34"/>
      <c r="Z204" s="34"/>
      <c r="AA204" s="34"/>
      <c r="AB204" s="34"/>
      <c r="AC204" s="34"/>
      <c r="AD204" s="34"/>
      <c r="AE204" s="34"/>
      <c r="AR204" s="151" t="s">
        <v>185</v>
      </c>
      <c r="AT204" s="151" t="s">
        <v>180</v>
      </c>
      <c r="AU204" s="151" t="s">
        <v>87</v>
      </c>
      <c r="AY204" s="19" t="s">
        <v>177</v>
      </c>
      <c r="BE204" s="152">
        <f>IF(N204="základní",J204,0)</f>
        <v>0</v>
      </c>
      <c r="BF204" s="152">
        <f>IF(N204="snížená",J204,0)</f>
        <v>0</v>
      </c>
      <c r="BG204" s="152">
        <f>IF(N204="zákl. přenesená",J204,0)</f>
        <v>0</v>
      </c>
      <c r="BH204" s="152">
        <f>IF(N204="sníž. přenesená",J204,0)</f>
        <v>0</v>
      </c>
      <c r="BI204" s="152">
        <f>IF(N204="nulová",J204,0)</f>
        <v>0</v>
      </c>
      <c r="BJ204" s="19" t="s">
        <v>85</v>
      </c>
      <c r="BK204" s="152">
        <f>ROUND(I204*H204,2)</f>
        <v>0</v>
      </c>
      <c r="BL204" s="19" t="s">
        <v>185</v>
      </c>
      <c r="BM204" s="151" t="s">
        <v>1855</v>
      </c>
    </row>
    <row r="205" spans="1:65" s="2" customFormat="1">
      <c r="A205" s="34"/>
      <c r="B205" s="35"/>
      <c r="C205" s="34"/>
      <c r="D205" s="153" t="s">
        <v>187</v>
      </c>
      <c r="E205" s="34"/>
      <c r="F205" s="154" t="s">
        <v>1130</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187</v>
      </c>
      <c r="AU205" s="19" t="s">
        <v>87</v>
      </c>
    </row>
    <row r="206" spans="1:65" s="2" customFormat="1">
      <c r="A206" s="34"/>
      <c r="B206" s="35"/>
      <c r="C206" s="34"/>
      <c r="D206" s="158" t="s">
        <v>189</v>
      </c>
      <c r="E206" s="34"/>
      <c r="F206" s="159" t="s">
        <v>1131</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189</v>
      </c>
      <c r="AU206" s="19" t="s">
        <v>87</v>
      </c>
    </row>
    <row r="207" spans="1:65" s="2" customFormat="1" ht="39">
      <c r="A207" s="34"/>
      <c r="B207" s="35"/>
      <c r="C207" s="34"/>
      <c r="D207" s="153" t="s">
        <v>191</v>
      </c>
      <c r="E207" s="34"/>
      <c r="F207" s="160" t="s">
        <v>350</v>
      </c>
      <c r="G207" s="34"/>
      <c r="H207" s="34"/>
      <c r="I207" s="155"/>
      <c r="J207" s="34"/>
      <c r="K207" s="34"/>
      <c r="L207" s="35"/>
      <c r="M207" s="156"/>
      <c r="N207" s="157"/>
      <c r="O207" s="55"/>
      <c r="P207" s="55"/>
      <c r="Q207" s="55"/>
      <c r="R207" s="55"/>
      <c r="S207" s="55"/>
      <c r="T207" s="56"/>
      <c r="U207" s="34"/>
      <c r="V207" s="34"/>
      <c r="W207" s="34"/>
      <c r="X207" s="34"/>
      <c r="Y207" s="34"/>
      <c r="Z207" s="34"/>
      <c r="AA207" s="34"/>
      <c r="AB207" s="34"/>
      <c r="AC207" s="34"/>
      <c r="AD207" s="34"/>
      <c r="AE207" s="34"/>
      <c r="AT207" s="19" t="s">
        <v>191</v>
      </c>
      <c r="AU207" s="19" t="s">
        <v>87</v>
      </c>
    </row>
    <row r="208" spans="1:65" s="2" customFormat="1" ht="16.5" customHeight="1">
      <c r="A208" s="34"/>
      <c r="B208" s="139"/>
      <c r="C208" s="140" t="s">
        <v>8</v>
      </c>
      <c r="D208" s="140" t="s">
        <v>180</v>
      </c>
      <c r="E208" s="141" t="s">
        <v>367</v>
      </c>
      <c r="F208" s="142" t="s">
        <v>368</v>
      </c>
      <c r="G208" s="143" t="s">
        <v>332</v>
      </c>
      <c r="H208" s="144">
        <v>108.93600000000001</v>
      </c>
      <c r="I208" s="145"/>
      <c r="J208" s="146">
        <f>ROUND(I208*H208,2)</f>
        <v>0</v>
      </c>
      <c r="K208" s="142" t="s">
        <v>184</v>
      </c>
      <c r="L208" s="35"/>
      <c r="M208" s="147" t="s">
        <v>3</v>
      </c>
      <c r="N208" s="148" t="s">
        <v>48</v>
      </c>
      <c r="O208" s="55"/>
      <c r="P208" s="149">
        <f>O208*H208</f>
        <v>0</v>
      </c>
      <c r="Q208" s="149">
        <v>0</v>
      </c>
      <c r="R208" s="149">
        <f>Q208*H208</f>
        <v>0</v>
      </c>
      <c r="S208" s="149">
        <v>7.0000000000000007E-2</v>
      </c>
      <c r="T208" s="150">
        <f>S208*H208</f>
        <v>7.6255200000000016</v>
      </c>
      <c r="U208" s="34"/>
      <c r="V208" s="34"/>
      <c r="W208" s="34"/>
      <c r="X208" s="34"/>
      <c r="Y208" s="34"/>
      <c r="Z208" s="34"/>
      <c r="AA208" s="34"/>
      <c r="AB208" s="34"/>
      <c r="AC208" s="34"/>
      <c r="AD208" s="34"/>
      <c r="AE208" s="34"/>
      <c r="AR208" s="151" t="s">
        <v>185</v>
      </c>
      <c r="AT208" s="151" t="s">
        <v>180</v>
      </c>
      <c r="AU208" s="151" t="s">
        <v>87</v>
      </c>
      <c r="AY208" s="19" t="s">
        <v>177</v>
      </c>
      <c r="BE208" s="152">
        <f>IF(N208="základní",J208,0)</f>
        <v>0</v>
      </c>
      <c r="BF208" s="152">
        <f>IF(N208="snížená",J208,0)</f>
        <v>0</v>
      </c>
      <c r="BG208" s="152">
        <f>IF(N208="zákl. přenesená",J208,0)</f>
        <v>0</v>
      </c>
      <c r="BH208" s="152">
        <f>IF(N208="sníž. přenesená",J208,0)</f>
        <v>0</v>
      </c>
      <c r="BI208" s="152">
        <f>IF(N208="nulová",J208,0)</f>
        <v>0</v>
      </c>
      <c r="BJ208" s="19" t="s">
        <v>85</v>
      </c>
      <c r="BK208" s="152">
        <f>ROUND(I208*H208,2)</f>
        <v>0</v>
      </c>
      <c r="BL208" s="19" t="s">
        <v>185</v>
      </c>
      <c r="BM208" s="151" t="s">
        <v>1856</v>
      </c>
    </row>
    <row r="209" spans="1:65" s="2" customFormat="1">
      <c r="A209" s="34"/>
      <c r="B209" s="35"/>
      <c r="C209" s="34"/>
      <c r="D209" s="153" t="s">
        <v>187</v>
      </c>
      <c r="E209" s="34"/>
      <c r="F209" s="154" t="s">
        <v>370</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187</v>
      </c>
      <c r="AU209" s="19" t="s">
        <v>87</v>
      </c>
    </row>
    <row r="210" spans="1:65" s="2" customFormat="1">
      <c r="A210" s="34"/>
      <c r="B210" s="35"/>
      <c r="C210" s="34"/>
      <c r="D210" s="158" t="s">
        <v>189</v>
      </c>
      <c r="E210" s="34"/>
      <c r="F210" s="159" t="s">
        <v>371</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189</v>
      </c>
      <c r="AU210" s="19" t="s">
        <v>87</v>
      </c>
    </row>
    <row r="211" spans="1:65" s="2" customFormat="1" ht="58.5">
      <c r="A211" s="34"/>
      <c r="B211" s="35"/>
      <c r="C211" s="34"/>
      <c r="D211" s="153" t="s">
        <v>191</v>
      </c>
      <c r="E211" s="34"/>
      <c r="F211" s="160" t="s">
        <v>372</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191</v>
      </c>
      <c r="AU211" s="19" t="s">
        <v>87</v>
      </c>
    </row>
    <row r="212" spans="1:65" s="2" customFormat="1" ht="16.5" customHeight="1">
      <c r="A212" s="34"/>
      <c r="B212" s="139"/>
      <c r="C212" s="140" t="s">
        <v>483</v>
      </c>
      <c r="D212" s="140" t="s">
        <v>180</v>
      </c>
      <c r="E212" s="141" t="s">
        <v>378</v>
      </c>
      <c r="F212" s="142" t="s">
        <v>379</v>
      </c>
      <c r="G212" s="143" t="s">
        <v>332</v>
      </c>
      <c r="H212" s="144">
        <v>108.93600000000001</v>
      </c>
      <c r="I212" s="145"/>
      <c r="J212" s="146">
        <f>ROUND(I212*H212,2)</f>
        <v>0</v>
      </c>
      <c r="K212" s="142" t="s">
        <v>184</v>
      </c>
      <c r="L212" s="35"/>
      <c r="M212" s="147" t="s">
        <v>3</v>
      </c>
      <c r="N212" s="148" t="s">
        <v>48</v>
      </c>
      <c r="O212" s="55"/>
      <c r="P212" s="149">
        <f>O212*H212</f>
        <v>0</v>
      </c>
      <c r="Q212" s="149">
        <v>0</v>
      </c>
      <c r="R212" s="149">
        <f>Q212*H212</f>
        <v>0</v>
      </c>
      <c r="S212" s="149">
        <v>0</v>
      </c>
      <c r="T212" s="150">
        <f>S212*H212</f>
        <v>0</v>
      </c>
      <c r="U212" s="34"/>
      <c r="V212" s="34"/>
      <c r="W212" s="34"/>
      <c r="X212" s="34"/>
      <c r="Y212" s="34"/>
      <c r="Z212" s="34"/>
      <c r="AA212" s="34"/>
      <c r="AB212" s="34"/>
      <c r="AC212" s="34"/>
      <c r="AD212" s="34"/>
      <c r="AE212" s="34"/>
      <c r="AR212" s="151" t="s">
        <v>185</v>
      </c>
      <c r="AT212" s="151" t="s">
        <v>180</v>
      </c>
      <c r="AU212" s="151" t="s">
        <v>87</v>
      </c>
      <c r="AY212" s="19" t="s">
        <v>177</v>
      </c>
      <c r="BE212" s="152">
        <f>IF(N212="základní",J212,0)</f>
        <v>0</v>
      </c>
      <c r="BF212" s="152">
        <f>IF(N212="snížená",J212,0)</f>
        <v>0</v>
      </c>
      <c r="BG212" s="152">
        <f>IF(N212="zákl. přenesená",J212,0)</f>
        <v>0</v>
      </c>
      <c r="BH212" s="152">
        <f>IF(N212="sníž. přenesená",J212,0)</f>
        <v>0</v>
      </c>
      <c r="BI212" s="152">
        <f>IF(N212="nulová",J212,0)</f>
        <v>0</v>
      </c>
      <c r="BJ212" s="19" t="s">
        <v>85</v>
      </c>
      <c r="BK212" s="152">
        <f>ROUND(I212*H212,2)</f>
        <v>0</v>
      </c>
      <c r="BL212" s="19" t="s">
        <v>185</v>
      </c>
      <c r="BM212" s="151" t="s">
        <v>1857</v>
      </c>
    </row>
    <row r="213" spans="1:65" s="2" customFormat="1">
      <c r="A213" s="34"/>
      <c r="B213" s="35"/>
      <c r="C213" s="34"/>
      <c r="D213" s="153" t="s">
        <v>187</v>
      </c>
      <c r="E213" s="34"/>
      <c r="F213" s="154" t="s">
        <v>381</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187</v>
      </c>
      <c r="AU213" s="19" t="s">
        <v>87</v>
      </c>
    </row>
    <row r="214" spans="1:65" s="2" customFormat="1">
      <c r="A214" s="34"/>
      <c r="B214" s="35"/>
      <c r="C214" s="34"/>
      <c r="D214" s="158" t="s">
        <v>189</v>
      </c>
      <c r="E214" s="34"/>
      <c r="F214" s="159" t="s">
        <v>382</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189</v>
      </c>
      <c r="AU214" s="19" t="s">
        <v>87</v>
      </c>
    </row>
    <row r="215" spans="1:65" s="2" customFormat="1" ht="58.5">
      <c r="A215" s="34"/>
      <c r="B215" s="35"/>
      <c r="C215" s="34"/>
      <c r="D215" s="153" t="s">
        <v>191</v>
      </c>
      <c r="E215" s="34"/>
      <c r="F215" s="160" t="s">
        <v>383</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191</v>
      </c>
      <c r="AU215" s="19" t="s">
        <v>87</v>
      </c>
    </row>
    <row r="216" spans="1:65" s="2" customFormat="1" ht="16.5" customHeight="1">
      <c r="A216" s="34"/>
      <c r="B216" s="139"/>
      <c r="C216" s="140" t="s">
        <v>490</v>
      </c>
      <c r="D216" s="140" t="s">
        <v>180</v>
      </c>
      <c r="E216" s="141" t="s">
        <v>1151</v>
      </c>
      <c r="F216" s="142" t="s">
        <v>1152</v>
      </c>
      <c r="G216" s="143" t="s">
        <v>332</v>
      </c>
      <c r="H216" s="144">
        <v>46.686999999999998</v>
      </c>
      <c r="I216" s="145"/>
      <c r="J216" s="146">
        <f>ROUND(I216*H216,2)</f>
        <v>0</v>
      </c>
      <c r="K216" s="142" t="s">
        <v>184</v>
      </c>
      <c r="L216" s="35"/>
      <c r="M216" s="147" t="s">
        <v>3</v>
      </c>
      <c r="N216" s="148" t="s">
        <v>48</v>
      </c>
      <c r="O216" s="55"/>
      <c r="P216" s="149">
        <f>O216*H216</f>
        <v>0</v>
      </c>
      <c r="Q216" s="149">
        <v>4.0289999999999999E-2</v>
      </c>
      <c r="R216" s="149">
        <f>Q216*H216</f>
        <v>1.8810192299999999</v>
      </c>
      <c r="S216" s="149">
        <v>0</v>
      </c>
      <c r="T216" s="150">
        <f>S216*H216</f>
        <v>0</v>
      </c>
      <c r="U216" s="34"/>
      <c r="V216" s="34"/>
      <c r="W216" s="34"/>
      <c r="X216" s="34"/>
      <c r="Y216" s="34"/>
      <c r="Z216" s="34"/>
      <c r="AA216" s="34"/>
      <c r="AB216" s="34"/>
      <c r="AC216" s="34"/>
      <c r="AD216" s="34"/>
      <c r="AE216" s="34"/>
      <c r="AR216" s="151" t="s">
        <v>185</v>
      </c>
      <c r="AT216" s="151" t="s">
        <v>180</v>
      </c>
      <c r="AU216" s="151" t="s">
        <v>87</v>
      </c>
      <c r="AY216" s="19" t="s">
        <v>177</v>
      </c>
      <c r="BE216" s="152">
        <f>IF(N216="základní",J216,0)</f>
        <v>0</v>
      </c>
      <c r="BF216" s="152">
        <f>IF(N216="snížená",J216,0)</f>
        <v>0</v>
      </c>
      <c r="BG216" s="152">
        <f>IF(N216="zákl. přenesená",J216,0)</f>
        <v>0</v>
      </c>
      <c r="BH216" s="152">
        <f>IF(N216="sníž. přenesená",J216,0)</f>
        <v>0</v>
      </c>
      <c r="BI216" s="152">
        <f>IF(N216="nulová",J216,0)</f>
        <v>0</v>
      </c>
      <c r="BJ216" s="19" t="s">
        <v>85</v>
      </c>
      <c r="BK216" s="152">
        <f>ROUND(I216*H216,2)</f>
        <v>0</v>
      </c>
      <c r="BL216" s="19" t="s">
        <v>185</v>
      </c>
      <c r="BM216" s="151" t="s">
        <v>1858</v>
      </c>
    </row>
    <row r="217" spans="1:65" s="2" customFormat="1">
      <c r="A217" s="34"/>
      <c r="B217" s="35"/>
      <c r="C217" s="34"/>
      <c r="D217" s="153" t="s">
        <v>187</v>
      </c>
      <c r="E217" s="34"/>
      <c r="F217" s="154" t="s">
        <v>1154</v>
      </c>
      <c r="G217" s="34"/>
      <c r="H217" s="34"/>
      <c r="I217" s="155"/>
      <c r="J217" s="34"/>
      <c r="K217" s="34"/>
      <c r="L217" s="35"/>
      <c r="M217" s="156"/>
      <c r="N217" s="157"/>
      <c r="O217" s="55"/>
      <c r="P217" s="55"/>
      <c r="Q217" s="55"/>
      <c r="R217" s="55"/>
      <c r="S217" s="55"/>
      <c r="T217" s="56"/>
      <c r="U217" s="34"/>
      <c r="V217" s="34"/>
      <c r="W217" s="34"/>
      <c r="X217" s="34"/>
      <c r="Y217" s="34"/>
      <c r="Z217" s="34"/>
      <c r="AA217" s="34"/>
      <c r="AB217" s="34"/>
      <c r="AC217" s="34"/>
      <c r="AD217" s="34"/>
      <c r="AE217" s="34"/>
      <c r="AT217" s="19" t="s">
        <v>187</v>
      </c>
      <c r="AU217" s="19" t="s">
        <v>87</v>
      </c>
    </row>
    <row r="218" spans="1:65" s="2" customFormat="1">
      <c r="A218" s="34"/>
      <c r="B218" s="35"/>
      <c r="C218" s="34"/>
      <c r="D218" s="158" t="s">
        <v>189</v>
      </c>
      <c r="E218" s="34"/>
      <c r="F218" s="159" t="s">
        <v>1155</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189</v>
      </c>
      <c r="AU218" s="19" t="s">
        <v>87</v>
      </c>
    </row>
    <row r="219" spans="1:65" s="2" customFormat="1" ht="107.25">
      <c r="A219" s="34"/>
      <c r="B219" s="35"/>
      <c r="C219" s="34"/>
      <c r="D219" s="153" t="s">
        <v>191</v>
      </c>
      <c r="E219" s="34"/>
      <c r="F219" s="160" t="s">
        <v>396</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191</v>
      </c>
      <c r="AU219" s="19" t="s">
        <v>87</v>
      </c>
    </row>
    <row r="220" spans="1:65" s="14" customFormat="1">
      <c r="B220" s="169"/>
      <c r="D220" s="153" t="s">
        <v>193</v>
      </c>
      <c r="E220" s="170" t="s">
        <v>3</v>
      </c>
      <c r="F220" s="171" t="s">
        <v>1859</v>
      </c>
      <c r="H220" s="170" t="s">
        <v>3</v>
      </c>
      <c r="I220" s="172"/>
      <c r="L220" s="169"/>
      <c r="M220" s="173"/>
      <c r="N220" s="174"/>
      <c r="O220" s="174"/>
      <c r="P220" s="174"/>
      <c r="Q220" s="174"/>
      <c r="R220" s="174"/>
      <c r="S220" s="174"/>
      <c r="T220" s="175"/>
      <c r="AT220" s="170" t="s">
        <v>193</v>
      </c>
      <c r="AU220" s="170" t="s">
        <v>87</v>
      </c>
      <c r="AV220" s="14" t="s">
        <v>85</v>
      </c>
      <c r="AW220" s="14" t="s">
        <v>36</v>
      </c>
      <c r="AX220" s="14" t="s">
        <v>77</v>
      </c>
      <c r="AY220" s="170" t="s">
        <v>177</v>
      </c>
    </row>
    <row r="221" spans="1:65" s="13" customFormat="1">
      <c r="B221" s="161"/>
      <c r="D221" s="153" t="s">
        <v>193</v>
      </c>
      <c r="E221" s="162" t="s">
        <v>3</v>
      </c>
      <c r="F221" s="163" t="s">
        <v>1860</v>
      </c>
      <c r="H221" s="164">
        <v>46.686999999999998</v>
      </c>
      <c r="I221" s="165"/>
      <c r="L221" s="161"/>
      <c r="M221" s="166"/>
      <c r="N221" s="167"/>
      <c r="O221" s="167"/>
      <c r="P221" s="167"/>
      <c r="Q221" s="167"/>
      <c r="R221" s="167"/>
      <c r="S221" s="167"/>
      <c r="T221" s="168"/>
      <c r="AT221" s="162" t="s">
        <v>193</v>
      </c>
      <c r="AU221" s="162" t="s">
        <v>87</v>
      </c>
      <c r="AV221" s="13" t="s">
        <v>87</v>
      </c>
      <c r="AW221" s="13" t="s">
        <v>36</v>
      </c>
      <c r="AX221" s="13" t="s">
        <v>85</v>
      </c>
      <c r="AY221" s="162" t="s">
        <v>177</v>
      </c>
    </row>
    <row r="222" spans="1:65" s="2" customFormat="1" ht="16.5" customHeight="1">
      <c r="A222" s="34"/>
      <c r="B222" s="139"/>
      <c r="C222" s="140" t="s">
        <v>496</v>
      </c>
      <c r="D222" s="140" t="s">
        <v>180</v>
      </c>
      <c r="E222" s="141" t="s">
        <v>1159</v>
      </c>
      <c r="F222" s="142" t="s">
        <v>1160</v>
      </c>
      <c r="G222" s="143" t="s">
        <v>332</v>
      </c>
      <c r="H222" s="144">
        <v>62.249000000000002</v>
      </c>
      <c r="I222" s="145"/>
      <c r="J222" s="146">
        <f>ROUND(I222*H222,2)</f>
        <v>0</v>
      </c>
      <c r="K222" s="142" t="s">
        <v>184</v>
      </c>
      <c r="L222" s="35"/>
      <c r="M222" s="147" t="s">
        <v>3</v>
      </c>
      <c r="N222" s="148" t="s">
        <v>48</v>
      </c>
      <c r="O222" s="55"/>
      <c r="P222" s="149">
        <f>O222*H222</f>
        <v>0</v>
      </c>
      <c r="Q222" s="149">
        <v>8.3739999999999995E-2</v>
      </c>
      <c r="R222" s="149">
        <f>Q222*H222</f>
        <v>5.21273126</v>
      </c>
      <c r="S222" s="149">
        <v>0</v>
      </c>
      <c r="T222" s="150">
        <f>S222*H222</f>
        <v>0</v>
      </c>
      <c r="U222" s="34"/>
      <c r="V222" s="34"/>
      <c r="W222" s="34"/>
      <c r="X222" s="34"/>
      <c r="Y222" s="34"/>
      <c r="Z222" s="34"/>
      <c r="AA222" s="34"/>
      <c r="AB222" s="34"/>
      <c r="AC222" s="34"/>
      <c r="AD222" s="34"/>
      <c r="AE222" s="34"/>
      <c r="AR222" s="151" t="s">
        <v>185</v>
      </c>
      <c r="AT222" s="151" t="s">
        <v>180</v>
      </c>
      <c r="AU222" s="151" t="s">
        <v>87</v>
      </c>
      <c r="AY222" s="19" t="s">
        <v>177</v>
      </c>
      <c r="BE222" s="152">
        <f>IF(N222="základní",J222,0)</f>
        <v>0</v>
      </c>
      <c r="BF222" s="152">
        <f>IF(N222="snížená",J222,0)</f>
        <v>0</v>
      </c>
      <c r="BG222" s="152">
        <f>IF(N222="zákl. přenesená",J222,0)</f>
        <v>0</v>
      </c>
      <c r="BH222" s="152">
        <f>IF(N222="sníž. přenesená",J222,0)</f>
        <v>0</v>
      </c>
      <c r="BI222" s="152">
        <f>IF(N222="nulová",J222,0)</f>
        <v>0</v>
      </c>
      <c r="BJ222" s="19" t="s">
        <v>85</v>
      </c>
      <c r="BK222" s="152">
        <f>ROUND(I222*H222,2)</f>
        <v>0</v>
      </c>
      <c r="BL222" s="19" t="s">
        <v>185</v>
      </c>
      <c r="BM222" s="151" t="s">
        <v>1861</v>
      </c>
    </row>
    <row r="223" spans="1:65" s="2" customFormat="1">
      <c r="A223" s="34"/>
      <c r="B223" s="35"/>
      <c r="C223" s="34"/>
      <c r="D223" s="153" t="s">
        <v>187</v>
      </c>
      <c r="E223" s="34"/>
      <c r="F223" s="154" t="s">
        <v>1162</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187</v>
      </c>
      <c r="AU223" s="19" t="s">
        <v>87</v>
      </c>
    </row>
    <row r="224" spans="1:65" s="2" customFormat="1">
      <c r="A224" s="34"/>
      <c r="B224" s="35"/>
      <c r="C224" s="34"/>
      <c r="D224" s="158" t="s">
        <v>189</v>
      </c>
      <c r="E224" s="34"/>
      <c r="F224" s="159" t="s">
        <v>1163</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189</v>
      </c>
      <c r="AU224" s="19" t="s">
        <v>87</v>
      </c>
    </row>
    <row r="225" spans="1:65" s="2" customFormat="1" ht="107.25">
      <c r="A225" s="34"/>
      <c r="B225" s="35"/>
      <c r="C225" s="34"/>
      <c r="D225" s="153" t="s">
        <v>191</v>
      </c>
      <c r="E225" s="34"/>
      <c r="F225" s="160" t="s">
        <v>396</v>
      </c>
      <c r="G225" s="34"/>
      <c r="H225" s="34"/>
      <c r="I225" s="155"/>
      <c r="J225" s="34"/>
      <c r="K225" s="34"/>
      <c r="L225" s="35"/>
      <c r="M225" s="156"/>
      <c r="N225" s="157"/>
      <c r="O225" s="55"/>
      <c r="P225" s="55"/>
      <c r="Q225" s="55"/>
      <c r="R225" s="55"/>
      <c r="S225" s="55"/>
      <c r="T225" s="56"/>
      <c r="U225" s="34"/>
      <c r="V225" s="34"/>
      <c r="W225" s="34"/>
      <c r="X225" s="34"/>
      <c r="Y225" s="34"/>
      <c r="Z225" s="34"/>
      <c r="AA225" s="34"/>
      <c r="AB225" s="34"/>
      <c r="AC225" s="34"/>
      <c r="AD225" s="34"/>
      <c r="AE225" s="34"/>
      <c r="AT225" s="19" t="s">
        <v>191</v>
      </c>
      <c r="AU225" s="19" t="s">
        <v>87</v>
      </c>
    </row>
    <row r="226" spans="1:65" s="14" customFormat="1">
      <c r="B226" s="169"/>
      <c r="D226" s="153" t="s">
        <v>193</v>
      </c>
      <c r="E226" s="170" t="s">
        <v>3</v>
      </c>
      <c r="F226" s="171" t="s">
        <v>1862</v>
      </c>
      <c r="H226" s="170" t="s">
        <v>3</v>
      </c>
      <c r="I226" s="172"/>
      <c r="L226" s="169"/>
      <c r="M226" s="173"/>
      <c r="N226" s="174"/>
      <c r="O226" s="174"/>
      <c r="P226" s="174"/>
      <c r="Q226" s="174"/>
      <c r="R226" s="174"/>
      <c r="S226" s="174"/>
      <c r="T226" s="175"/>
      <c r="AT226" s="170" t="s">
        <v>193</v>
      </c>
      <c r="AU226" s="170" t="s">
        <v>87</v>
      </c>
      <c r="AV226" s="14" t="s">
        <v>85</v>
      </c>
      <c r="AW226" s="14" t="s">
        <v>36</v>
      </c>
      <c r="AX226" s="14" t="s">
        <v>77</v>
      </c>
      <c r="AY226" s="170" t="s">
        <v>177</v>
      </c>
    </row>
    <row r="227" spans="1:65" s="13" customFormat="1">
      <c r="B227" s="161"/>
      <c r="D227" s="153" t="s">
        <v>193</v>
      </c>
      <c r="E227" s="162" t="s">
        <v>3</v>
      </c>
      <c r="F227" s="163" t="s">
        <v>1863</v>
      </c>
      <c r="H227" s="164">
        <v>62.249000000000002</v>
      </c>
      <c r="I227" s="165"/>
      <c r="L227" s="161"/>
      <c r="M227" s="166"/>
      <c r="N227" s="167"/>
      <c r="O227" s="167"/>
      <c r="P227" s="167"/>
      <c r="Q227" s="167"/>
      <c r="R227" s="167"/>
      <c r="S227" s="167"/>
      <c r="T227" s="168"/>
      <c r="AT227" s="162" t="s">
        <v>193</v>
      </c>
      <c r="AU227" s="162" t="s">
        <v>87</v>
      </c>
      <c r="AV227" s="13" t="s">
        <v>87</v>
      </c>
      <c r="AW227" s="13" t="s">
        <v>36</v>
      </c>
      <c r="AX227" s="13" t="s">
        <v>85</v>
      </c>
      <c r="AY227" s="162" t="s">
        <v>177</v>
      </c>
    </row>
    <row r="228" spans="1:65" s="2" customFormat="1" ht="16.5" customHeight="1">
      <c r="A228" s="34"/>
      <c r="B228" s="139"/>
      <c r="C228" s="140" t="s">
        <v>502</v>
      </c>
      <c r="D228" s="140" t="s">
        <v>180</v>
      </c>
      <c r="E228" s="141" t="s">
        <v>1535</v>
      </c>
      <c r="F228" s="142" t="s">
        <v>1536</v>
      </c>
      <c r="G228" s="143" t="s">
        <v>332</v>
      </c>
      <c r="H228" s="144">
        <v>23.343</v>
      </c>
      <c r="I228" s="145"/>
      <c r="J228" s="146">
        <f>ROUND(I228*H228,2)</f>
        <v>0</v>
      </c>
      <c r="K228" s="142" t="s">
        <v>184</v>
      </c>
      <c r="L228" s="35"/>
      <c r="M228" s="147" t="s">
        <v>3</v>
      </c>
      <c r="N228" s="148" t="s">
        <v>48</v>
      </c>
      <c r="O228" s="55"/>
      <c r="P228" s="149">
        <f>O228*H228</f>
        <v>0</v>
      </c>
      <c r="Q228" s="149">
        <v>3.5899999999999999E-3</v>
      </c>
      <c r="R228" s="149">
        <f>Q228*H228</f>
        <v>8.380137E-2</v>
      </c>
      <c r="S228" s="149">
        <v>0</v>
      </c>
      <c r="T228" s="150">
        <f>S228*H228</f>
        <v>0</v>
      </c>
      <c r="U228" s="34"/>
      <c r="V228" s="34"/>
      <c r="W228" s="34"/>
      <c r="X228" s="34"/>
      <c r="Y228" s="34"/>
      <c r="Z228" s="34"/>
      <c r="AA228" s="34"/>
      <c r="AB228" s="34"/>
      <c r="AC228" s="34"/>
      <c r="AD228" s="34"/>
      <c r="AE228" s="34"/>
      <c r="AR228" s="151" t="s">
        <v>185</v>
      </c>
      <c r="AT228" s="151" t="s">
        <v>180</v>
      </c>
      <c r="AU228" s="151" t="s">
        <v>87</v>
      </c>
      <c r="AY228" s="19" t="s">
        <v>177</v>
      </c>
      <c r="BE228" s="152">
        <f>IF(N228="základní",J228,0)</f>
        <v>0</v>
      </c>
      <c r="BF228" s="152">
        <f>IF(N228="snížená",J228,0)</f>
        <v>0</v>
      </c>
      <c r="BG228" s="152">
        <f>IF(N228="zákl. přenesená",J228,0)</f>
        <v>0</v>
      </c>
      <c r="BH228" s="152">
        <f>IF(N228="sníž. přenesená",J228,0)</f>
        <v>0</v>
      </c>
      <c r="BI228" s="152">
        <f>IF(N228="nulová",J228,0)</f>
        <v>0</v>
      </c>
      <c r="BJ228" s="19" t="s">
        <v>85</v>
      </c>
      <c r="BK228" s="152">
        <f>ROUND(I228*H228,2)</f>
        <v>0</v>
      </c>
      <c r="BL228" s="19" t="s">
        <v>185</v>
      </c>
      <c r="BM228" s="151" t="s">
        <v>1864</v>
      </c>
    </row>
    <row r="229" spans="1:65" s="2" customFormat="1">
      <c r="A229" s="34"/>
      <c r="B229" s="35"/>
      <c r="C229" s="34"/>
      <c r="D229" s="153" t="s">
        <v>187</v>
      </c>
      <c r="E229" s="34"/>
      <c r="F229" s="154" t="s">
        <v>1538</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187</v>
      </c>
      <c r="AU229" s="19" t="s">
        <v>87</v>
      </c>
    </row>
    <row r="230" spans="1:65" s="2" customFormat="1">
      <c r="A230" s="34"/>
      <c r="B230" s="35"/>
      <c r="C230" s="34"/>
      <c r="D230" s="158" t="s">
        <v>189</v>
      </c>
      <c r="E230" s="34"/>
      <c r="F230" s="159" t="s">
        <v>1539</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189</v>
      </c>
      <c r="AU230" s="19" t="s">
        <v>87</v>
      </c>
    </row>
    <row r="231" spans="1:65" s="2" customFormat="1" ht="29.25">
      <c r="A231" s="34"/>
      <c r="B231" s="35"/>
      <c r="C231" s="34"/>
      <c r="D231" s="153" t="s">
        <v>191</v>
      </c>
      <c r="E231" s="34"/>
      <c r="F231" s="160" t="s">
        <v>448</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191</v>
      </c>
      <c r="AU231" s="19" t="s">
        <v>87</v>
      </c>
    </row>
    <row r="232" spans="1:65" s="2" customFormat="1" ht="16.5" customHeight="1">
      <c r="A232" s="34"/>
      <c r="B232" s="139"/>
      <c r="C232" s="140" t="s">
        <v>504</v>
      </c>
      <c r="D232" s="140" t="s">
        <v>180</v>
      </c>
      <c r="E232" s="141" t="s">
        <v>1170</v>
      </c>
      <c r="F232" s="142" t="s">
        <v>1171</v>
      </c>
      <c r="G232" s="143" t="s">
        <v>332</v>
      </c>
      <c r="H232" s="144">
        <v>62.249000000000002</v>
      </c>
      <c r="I232" s="145"/>
      <c r="J232" s="146">
        <f>ROUND(I232*H232,2)</f>
        <v>0</v>
      </c>
      <c r="K232" s="142" t="s">
        <v>184</v>
      </c>
      <c r="L232" s="35"/>
      <c r="M232" s="147" t="s">
        <v>3</v>
      </c>
      <c r="N232" s="148" t="s">
        <v>48</v>
      </c>
      <c r="O232" s="55"/>
      <c r="P232" s="149">
        <f>O232*H232</f>
        <v>0</v>
      </c>
      <c r="Q232" s="149">
        <v>1.34E-3</v>
      </c>
      <c r="R232" s="149">
        <f>Q232*H232</f>
        <v>8.3413660000000001E-2</v>
      </c>
      <c r="S232" s="149">
        <v>0</v>
      </c>
      <c r="T232" s="150">
        <f>S232*H232</f>
        <v>0</v>
      </c>
      <c r="U232" s="34"/>
      <c r="V232" s="34"/>
      <c r="W232" s="34"/>
      <c r="X232" s="34"/>
      <c r="Y232" s="34"/>
      <c r="Z232" s="34"/>
      <c r="AA232" s="34"/>
      <c r="AB232" s="34"/>
      <c r="AC232" s="34"/>
      <c r="AD232" s="34"/>
      <c r="AE232" s="34"/>
      <c r="AR232" s="151" t="s">
        <v>185</v>
      </c>
      <c r="AT232" s="151" t="s">
        <v>180</v>
      </c>
      <c r="AU232" s="151" t="s">
        <v>87</v>
      </c>
      <c r="AY232" s="19" t="s">
        <v>177</v>
      </c>
      <c r="BE232" s="152">
        <f>IF(N232="základní",J232,0)</f>
        <v>0</v>
      </c>
      <c r="BF232" s="152">
        <f>IF(N232="snížená",J232,0)</f>
        <v>0</v>
      </c>
      <c r="BG232" s="152">
        <f>IF(N232="zákl. přenesená",J232,0)</f>
        <v>0</v>
      </c>
      <c r="BH232" s="152">
        <f>IF(N232="sníž. přenesená",J232,0)</f>
        <v>0</v>
      </c>
      <c r="BI232" s="152">
        <f>IF(N232="nulová",J232,0)</f>
        <v>0</v>
      </c>
      <c r="BJ232" s="19" t="s">
        <v>85</v>
      </c>
      <c r="BK232" s="152">
        <f>ROUND(I232*H232,2)</f>
        <v>0</v>
      </c>
      <c r="BL232" s="19" t="s">
        <v>185</v>
      </c>
      <c r="BM232" s="151" t="s">
        <v>1865</v>
      </c>
    </row>
    <row r="233" spans="1:65" s="2" customFormat="1">
      <c r="A233" s="34"/>
      <c r="B233" s="35"/>
      <c r="C233" s="34"/>
      <c r="D233" s="153" t="s">
        <v>187</v>
      </c>
      <c r="E233" s="34"/>
      <c r="F233" s="154" t="s">
        <v>1173</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187</v>
      </c>
      <c r="AU233" s="19" t="s">
        <v>87</v>
      </c>
    </row>
    <row r="234" spans="1:65" s="2" customFormat="1">
      <c r="A234" s="34"/>
      <c r="B234" s="35"/>
      <c r="C234" s="34"/>
      <c r="D234" s="158" t="s">
        <v>189</v>
      </c>
      <c r="E234" s="34"/>
      <c r="F234" s="159" t="s">
        <v>1174</v>
      </c>
      <c r="G234" s="34"/>
      <c r="H234" s="34"/>
      <c r="I234" s="155"/>
      <c r="J234" s="34"/>
      <c r="K234" s="34"/>
      <c r="L234" s="35"/>
      <c r="M234" s="156"/>
      <c r="N234" s="157"/>
      <c r="O234" s="55"/>
      <c r="P234" s="55"/>
      <c r="Q234" s="55"/>
      <c r="R234" s="55"/>
      <c r="S234" s="55"/>
      <c r="T234" s="56"/>
      <c r="U234" s="34"/>
      <c r="V234" s="34"/>
      <c r="W234" s="34"/>
      <c r="X234" s="34"/>
      <c r="Y234" s="34"/>
      <c r="Z234" s="34"/>
      <c r="AA234" s="34"/>
      <c r="AB234" s="34"/>
      <c r="AC234" s="34"/>
      <c r="AD234" s="34"/>
      <c r="AE234" s="34"/>
      <c r="AT234" s="19" t="s">
        <v>189</v>
      </c>
      <c r="AU234" s="19" t="s">
        <v>87</v>
      </c>
    </row>
    <row r="235" spans="1:65" s="2" customFormat="1" ht="39">
      <c r="A235" s="34"/>
      <c r="B235" s="35"/>
      <c r="C235" s="34"/>
      <c r="D235" s="153" t="s">
        <v>191</v>
      </c>
      <c r="E235" s="34"/>
      <c r="F235" s="160" t="s">
        <v>459</v>
      </c>
      <c r="G235" s="34"/>
      <c r="H235" s="34"/>
      <c r="I235" s="155"/>
      <c r="J235" s="34"/>
      <c r="K235" s="34"/>
      <c r="L235" s="35"/>
      <c r="M235" s="156"/>
      <c r="N235" s="157"/>
      <c r="O235" s="55"/>
      <c r="P235" s="55"/>
      <c r="Q235" s="55"/>
      <c r="R235" s="55"/>
      <c r="S235" s="55"/>
      <c r="T235" s="56"/>
      <c r="U235" s="34"/>
      <c r="V235" s="34"/>
      <c r="W235" s="34"/>
      <c r="X235" s="34"/>
      <c r="Y235" s="34"/>
      <c r="Z235" s="34"/>
      <c r="AA235" s="34"/>
      <c r="AB235" s="34"/>
      <c r="AC235" s="34"/>
      <c r="AD235" s="34"/>
      <c r="AE235" s="34"/>
      <c r="AT235" s="19" t="s">
        <v>191</v>
      </c>
      <c r="AU235" s="19" t="s">
        <v>87</v>
      </c>
    </row>
    <row r="236" spans="1:65" s="2" customFormat="1" ht="16.5" customHeight="1">
      <c r="A236" s="34"/>
      <c r="B236" s="139"/>
      <c r="C236" s="140" t="s">
        <v>507</v>
      </c>
      <c r="D236" s="140" t="s">
        <v>180</v>
      </c>
      <c r="E236" s="141" t="s">
        <v>462</v>
      </c>
      <c r="F236" s="142" t="s">
        <v>463</v>
      </c>
      <c r="G236" s="143" t="s">
        <v>332</v>
      </c>
      <c r="H236" s="144">
        <v>108.93600000000001</v>
      </c>
      <c r="I236" s="145"/>
      <c r="J236" s="146">
        <f>ROUND(I236*H236,2)</f>
        <v>0</v>
      </c>
      <c r="K236" s="142" t="s">
        <v>184</v>
      </c>
      <c r="L236" s="35"/>
      <c r="M236" s="147" t="s">
        <v>3</v>
      </c>
      <c r="N236" s="148" t="s">
        <v>48</v>
      </c>
      <c r="O236" s="55"/>
      <c r="P236" s="149">
        <f>O236*H236</f>
        <v>0</v>
      </c>
      <c r="Q236" s="149">
        <v>2.0999999999999999E-3</v>
      </c>
      <c r="R236" s="149">
        <f>Q236*H236</f>
        <v>0.22876560000000001</v>
      </c>
      <c r="S236" s="149">
        <v>0</v>
      </c>
      <c r="T236" s="150">
        <f>S236*H236</f>
        <v>0</v>
      </c>
      <c r="U236" s="34"/>
      <c r="V236" s="34"/>
      <c r="W236" s="34"/>
      <c r="X236" s="34"/>
      <c r="Y236" s="34"/>
      <c r="Z236" s="34"/>
      <c r="AA236" s="34"/>
      <c r="AB236" s="34"/>
      <c r="AC236" s="34"/>
      <c r="AD236" s="34"/>
      <c r="AE236" s="34"/>
      <c r="AR236" s="151" t="s">
        <v>185</v>
      </c>
      <c r="AT236" s="151" t="s">
        <v>180</v>
      </c>
      <c r="AU236" s="151" t="s">
        <v>87</v>
      </c>
      <c r="AY236" s="19" t="s">
        <v>177</v>
      </c>
      <c r="BE236" s="152">
        <f>IF(N236="základní",J236,0)</f>
        <v>0</v>
      </c>
      <c r="BF236" s="152">
        <f>IF(N236="snížená",J236,0)</f>
        <v>0</v>
      </c>
      <c r="BG236" s="152">
        <f>IF(N236="zákl. přenesená",J236,0)</f>
        <v>0</v>
      </c>
      <c r="BH236" s="152">
        <f>IF(N236="sníž. přenesená",J236,0)</f>
        <v>0</v>
      </c>
      <c r="BI236" s="152">
        <f>IF(N236="nulová",J236,0)</f>
        <v>0</v>
      </c>
      <c r="BJ236" s="19" t="s">
        <v>85</v>
      </c>
      <c r="BK236" s="152">
        <f>ROUND(I236*H236,2)</f>
        <v>0</v>
      </c>
      <c r="BL236" s="19" t="s">
        <v>185</v>
      </c>
      <c r="BM236" s="151" t="s">
        <v>1866</v>
      </c>
    </row>
    <row r="237" spans="1:65" s="2" customFormat="1">
      <c r="A237" s="34"/>
      <c r="B237" s="35"/>
      <c r="C237" s="34"/>
      <c r="D237" s="153" t="s">
        <v>187</v>
      </c>
      <c r="E237" s="34"/>
      <c r="F237" s="154" t="s">
        <v>465</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187</v>
      </c>
      <c r="AU237" s="19" t="s">
        <v>87</v>
      </c>
    </row>
    <row r="238" spans="1:65" s="2" customFormat="1">
      <c r="A238" s="34"/>
      <c r="B238" s="35"/>
      <c r="C238" s="34"/>
      <c r="D238" s="158" t="s">
        <v>189</v>
      </c>
      <c r="E238" s="34"/>
      <c r="F238" s="159" t="s">
        <v>466</v>
      </c>
      <c r="G238" s="34"/>
      <c r="H238" s="34"/>
      <c r="I238" s="155"/>
      <c r="J238" s="34"/>
      <c r="K238" s="34"/>
      <c r="L238" s="35"/>
      <c r="M238" s="156"/>
      <c r="N238" s="157"/>
      <c r="O238" s="55"/>
      <c r="P238" s="55"/>
      <c r="Q238" s="55"/>
      <c r="R238" s="55"/>
      <c r="S238" s="55"/>
      <c r="T238" s="56"/>
      <c r="U238" s="34"/>
      <c r="V238" s="34"/>
      <c r="W238" s="34"/>
      <c r="X238" s="34"/>
      <c r="Y238" s="34"/>
      <c r="Z238" s="34"/>
      <c r="AA238" s="34"/>
      <c r="AB238" s="34"/>
      <c r="AC238" s="34"/>
      <c r="AD238" s="34"/>
      <c r="AE238" s="34"/>
      <c r="AT238" s="19" t="s">
        <v>189</v>
      </c>
      <c r="AU238" s="19" t="s">
        <v>87</v>
      </c>
    </row>
    <row r="239" spans="1:65" s="13" customFormat="1">
      <c r="B239" s="161"/>
      <c r="D239" s="153" t="s">
        <v>193</v>
      </c>
      <c r="E239" s="162" t="s">
        <v>3</v>
      </c>
      <c r="F239" s="163" t="s">
        <v>1867</v>
      </c>
      <c r="H239" s="164">
        <v>108.93600000000001</v>
      </c>
      <c r="I239" s="165"/>
      <c r="L239" s="161"/>
      <c r="M239" s="166"/>
      <c r="N239" s="167"/>
      <c r="O239" s="167"/>
      <c r="P239" s="167"/>
      <c r="Q239" s="167"/>
      <c r="R239" s="167"/>
      <c r="S239" s="167"/>
      <c r="T239" s="168"/>
      <c r="AT239" s="162" t="s">
        <v>193</v>
      </c>
      <c r="AU239" s="162" t="s">
        <v>87</v>
      </c>
      <c r="AV239" s="13" t="s">
        <v>87</v>
      </c>
      <c r="AW239" s="13" t="s">
        <v>36</v>
      </c>
      <c r="AX239" s="13" t="s">
        <v>85</v>
      </c>
      <c r="AY239" s="162" t="s">
        <v>177</v>
      </c>
    </row>
    <row r="240" spans="1:65" s="2" customFormat="1" ht="16.5" customHeight="1">
      <c r="A240" s="34"/>
      <c r="B240" s="139"/>
      <c r="C240" s="140" t="s">
        <v>509</v>
      </c>
      <c r="D240" s="140" t="s">
        <v>180</v>
      </c>
      <c r="E240" s="141" t="s">
        <v>474</v>
      </c>
      <c r="F240" s="142" t="s">
        <v>475</v>
      </c>
      <c r="G240" s="143" t="s">
        <v>476</v>
      </c>
      <c r="H240" s="144">
        <v>77.811000000000007</v>
      </c>
      <c r="I240" s="145"/>
      <c r="J240" s="146">
        <f>ROUND(I240*H240,2)</f>
        <v>0</v>
      </c>
      <c r="K240" s="142" t="s">
        <v>184</v>
      </c>
      <c r="L240" s="35"/>
      <c r="M240" s="147" t="s">
        <v>3</v>
      </c>
      <c r="N240" s="148" t="s">
        <v>48</v>
      </c>
      <c r="O240" s="55"/>
      <c r="P240" s="149">
        <f>O240*H240</f>
        <v>0</v>
      </c>
      <c r="Q240" s="149">
        <v>4.3140000000000002E-4</v>
      </c>
      <c r="R240" s="149">
        <f>Q240*H240</f>
        <v>3.3567665400000002E-2</v>
      </c>
      <c r="S240" s="149">
        <v>0</v>
      </c>
      <c r="T240" s="150">
        <f>S240*H240</f>
        <v>0</v>
      </c>
      <c r="U240" s="34"/>
      <c r="V240" s="34"/>
      <c r="W240" s="34"/>
      <c r="X240" s="34"/>
      <c r="Y240" s="34"/>
      <c r="Z240" s="34"/>
      <c r="AA240" s="34"/>
      <c r="AB240" s="34"/>
      <c r="AC240" s="34"/>
      <c r="AD240" s="34"/>
      <c r="AE240" s="34"/>
      <c r="AR240" s="151" t="s">
        <v>185</v>
      </c>
      <c r="AT240" s="151" t="s">
        <v>180</v>
      </c>
      <c r="AU240" s="151" t="s">
        <v>87</v>
      </c>
      <c r="AY240" s="19" t="s">
        <v>177</v>
      </c>
      <c r="BE240" s="152">
        <f>IF(N240="základní",J240,0)</f>
        <v>0</v>
      </c>
      <c r="BF240" s="152">
        <f>IF(N240="snížená",J240,0)</f>
        <v>0</v>
      </c>
      <c r="BG240" s="152">
        <f>IF(N240="zákl. přenesená",J240,0)</f>
        <v>0</v>
      </c>
      <c r="BH240" s="152">
        <f>IF(N240="sníž. přenesená",J240,0)</f>
        <v>0</v>
      </c>
      <c r="BI240" s="152">
        <f>IF(N240="nulová",J240,0)</f>
        <v>0</v>
      </c>
      <c r="BJ240" s="19" t="s">
        <v>85</v>
      </c>
      <c r="BK240" s="152">
        <f>ROUND(I240*H240,2)</f>
        <v>0</v>
      </c>
      <c r="BL240" s="19" t="s">
        <v>185</v>
      </c>
      <c r="BM240" s="151" t="s">
        <v>1868</v>
      </c>
    </row>
    <row r="241" spans="1:65" s="2" customFormat="1">
      <c r="A241" s="34"/>
      <c r="B241" s="35"/>
      <c r="C241" s="34"/>
      <c r="D241" s="153" t="s">
        <v>187</v>
      </c>
      <c r="E241" s="34"/>
      <c r="F241" s="154" t="s">
        <v>478</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187</v>
      </c>
      <c r="AU241" s="19" t="s">
        <v>87</v>
      </c>
    </row>
    <row r="242" spans="1:65" s="2" customFormat="1">
      <c r="A242" s="34"/>
      <c r="B242" s="35"/>
      <c r="C242" s="34"/>
      <c r="D242" s="158" t="s">
        <v>189</v>
      </c>
      <c r="E242" s="34"/>
      <c r="F242" s="159" t="s">
        <v>479</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189</v>
      </c>
      <c r="AU242" s="19" t="s">
        <v>87</v>
      </c>
    </row>
    <row r="243" spans="1:65" s="2" customFormat="1" ht="78">
      <c r="A243" s="34"/>
      <c r="B243" s="35"/>
      <c r="C243" s="34"/>
      <c r="D243" s="153" t="s">
        <v>191</v>
      </c>
      <c r="E243" s="34"/>
      <c r="F243" s="160" t="s">
        <v>480</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191</v>
      </c>
      <c r="AU243" s="19" t="s">
        <v>87</v>
      </c>
    </row>
    <row r="244" spans="1:65" s="14" customFormat="1">
      <c r="B244" s="169"/>
      <c r="D244" s="153" t="s">
        <v>193</v>
      </c>
      <c r="E244" s="170" t="s">
        <v>3</v>
      </c>
      <c r="F244" s="171" t="s">
        <v>481</v>
      </c>
      <c r="H244" s="170" t="s">
        <v>3</v>
      </c>
      <c r="I244" s="172"/>
      <c r="L244" s="169"/>
      <c r="M244" s="173"/>
      <c r="N244" s="174"/>
      <c r="O244" s="174"/>
      <c r="P244" s="174"/>
      <c r="Q244" s="174"/>
      <c r="R244" s="174"/>
      <c r="S244" s="174"/>
      <c r="T244" s="175"/>
      <c r="AT244" s="170" t="s">
        <v>193</v>
      </c>
      <c r="AU244" s="170" t="s">
        <v>87</v>
      </c>
      <c r="AV244" s="14" t="s">
        <v>85</v>
      </c>
      <c r="AW244" s="14" t="s">
        <v>36</v>
      </c>
      <c r="AX244" s="14" t="s">
        <v>77</v>
      </c>
      <c r="AY244" s="170" t="s">
        <v>177</v>
      </c>
    </row>
    <row r="245" spans="1:65" s="13" customFormat="1">
      <c r="B245" s="161"/>
      <c r="D245" s="153" t="s">
        <v>193</v>
      </c>
      <c r="E245" s="162" t="s">
        <v>3</v>
      </c>
      <c r="F245" s="163" t="s">
        <v>1869</v>
      </c>
      <c r="H245" s="164">
        <v>77.811000000000007</v>
      </c>
      <c r="I245" s="165"/>
      <c r="L245" s="161"/>
      <c r="M245" s="166"/>
      <c r="N245" s="167"/>
      <c r="O245" s="167"/>
      <c r="P245" s="167"/>
      <c r="Q245" s="167"/>
      <c r="R245" s="167"/>
      <c r="S245" s="167"/>
      <c r="T245" s="168"/>
      <c r="AT245" s="162" t="s">
        <v>193</v>
      </c>
      <c r="AU245" s="162" t="s">
        <v>87</v>
      </c>
      <c r="AV245" s="13" t="s">
        <v>87</v>
      </c>
      <c r="AW245" s="13" t="s">
        <v>36</v>
      </c>
      <c r="AX245" s="13" t="s">
        <v>85</v>
      </c>
      <c r="AY245" s="162" t="s">
        <v>177</v>
      </c>
    </row>
    <row r="246" spans="1:65" s="2" customFormat="1" ht="16.5" customHeight="1">
      <c r="A246" s="34"/>
      <c r="B246" s="139"/>
      <c r="C246" s="195" t="s">
        <v>512</v>
      </c>
      <c r="D246" s="195" t="s">
        <v>484</v>
      </c>
      <c r="E246" s="196" t="s">
        <v>485</v>
      </c>
      <c r="F246" s="197" t="s">
        <v>486</v>
      </c>
      <c r="G246" s="198" t="s">
        <v>183</v>
      </c>
      <c r="H246" s="199">
        <v>7.5999999999999998E-2</v>
      </c>
      <c r="I246" s="200"/>
      <c r="J246" s="201">
        <f>ROUND(I246*H246,2)</f>
        <v>0</v>
      </c>
      <c r="K246" s="197" t="s">
        <v>184</v>
      </c>
      <c r="L246" s="202"/>
      <c r="M246" s="203" t="s">
        <v>3</v>
      </c>
      <c r="N246" s="204" t="s">
        <v>48</v>
      </c>
      <c r="O246" s="55"/>
      <c r="P246" s="149">
        <f>O246*H246</f>
        <v>0</v>
      </c>
      <c r="Q246" s="149">
        <v>1</v>
      </c>
      <c r="R246" s="149">
        <f>Q246*H246</f>
        <v>7.5999999999999998E-2</v>
      </c>
      <c r="S246" s="149">
        <v>0</v>
      </c>
      <c r="T246" s="150">
        <f>S246*H246</f>
        <v>0</v>
      </c>
      <c r="U246" s="34"/>
      <c r="V246" s="34"/>
      <c r="W246" s="34"/>
      <c r="X246" s="34"/>
      <c r="Y246" s="34"/>
      <c r="Z246" s="34"/>
      <c r="AA246" s="34"/>
      <c r="AB246" s="34"/>
      <c r="AC246" s="34"/>
      <c r="AD246" s="34"/>
      <c r="AE246" s="34"/>
      <c r="AR246" s="151" t="s">
        <v>248</v>
      </c>
      <c r="AT246" s="151" t="s">
        <v>484</v>
      </c>
      <c r="AU246" s="151" t="s">
        <v>87</v>
      </c>
      <c r="AY246" s="19" t="s">
        <v>177</v>
      </c>
      <c r="BE246" s="152">
        <f>IF(N246="základní",J246,0)</f>
        <v>0</v>
      </c>
      <c r="BF246" s="152">
        <f>IF(N246="snížená",J246,0)</f>
        <v>0</v>
      </c>
      <c r="BG246" s="152">
        <f>IF(N246="zákl. přenesená",J246,0)</f>
        <v>0</v>
      </c>
      <c r="BH246" s="152">
        <f>IF(N246="sníž. přenesená",J246,0)</f>
        <v>0</v>
      </c>
      <c r="BI246" s="152">
        <f>IF(N246="nulová",J246,0)</f>
        <v>0</v>
      </c>
      <c r="BJ246" s="19" t="s">
        <v>85</v>
      </c>
      <c r="BK246" s="152">
        <f>ROUND(I246*H246,2)</f>
        <v>0</v>
      </c>
      <c r="BL246" s="19" t="s">
        <v>185</v>
      </c>
      <c r="BM246" s="151" t="s">
        <v>1870</v>
      </c>
    </row>
    <row r="247" spans="1:65" s="2" customFormat="1">
      <c r="A247" s="34"/>
      <c r="B247" s="35"/>
      <c r="C247" s="34"/>
      <c r="D247" s="153" t="s">
        <v>187</v>
      </c>
      <c r="E247" s="34"/>
      <c r="F247" s="154" t="s">
        <v>488</v>
      </c>
      <c r="G247" s="34"/>
      <c r="H247" s="34"/>
      <c r="I247" s="155"/>
      <c r="J247" s="34"/>
      <c r="K247" s="34"/>
      <c r="L247" s="35"/>
      <c r="M247" s="156"/>
      <c r="N247" s="157"/>
      <c r="O247" s="55"/>
      <c r="P247" s="55"/>
      <c r="Q247" s="55"/>
      <c r="R247" s="55"/>
      <c r="S247" s="55"/>
      <c r="T247" s="56"/>
      <c r="U247" s="34"/>
      <c r="V247" s="34"/>
      <c r="W247" s="34"/>
      <c r="X247" s="34"/>
      <c r="Y247" s="34"/>
      <c r="Z247" s="34"/>
      <c r="AA247" s="34"/>
      <c r="AB247" s="34"/>
      <c r="AC247" s="34"/>
      <c r="AD247" s="34"/>
      <c r="AE247" s="34"/>
      <c r="AT247" s="19" t="s">
        <v>187</v>
      </c>
      <c r="AU247" s="19" t="s">
        <v>87</v>
      </c>
    </row>
    <row r="248" spans="1:65" s="13" customFormat="1">
      <c r="B248" s="161"/>
      <c r="D248" s="153" t="s">
        <v>193</v>
      </c>
      <c r="E248" s="162" t="s">
        <v>3</v>
      </c>
      <c r="F248" s="163" t="s">
        <v>1871</v>
      </c>
      <c r="H248" s="164">
        <v>7.5999999999999998E-2</v>
      </c>
      <c r="I248" s="165"/>
      <c r="L248" s="161"/>
      <c r="M248" s="166"/>
      <c r="N248" s="167"/>
      <c r="O248" s="167"/>
      <c r="P248" s="167"/>
      <c r="Q248" s="167"/>
      <c r="R248" s="167"/>
      <c r="S248" s="167"/>
      <c r="T248" s="168"/>
      <c r="AT248" s="162" t="s">
        <v>193</v>
      </c>
      <c r="AU248" s="162" t="s">
        <v>87</v>
      </c>
      <c r="AV248" s="13" t="s">
        <v>87</v>
      </c>
      <c r="AW248" s="13" t="s">
        <v>36</v>
      </c>
      <c r="AX248" s="13" t="s">
        <v>85</v>
      </c>
      <c r="AY248" s="162" t="s">
        <v>177</v>
      </c>
    </row>
    <row r="249" spans="1:65" s="2" customFormat="1" ht="16.5" customHeight="1">
      <c r="A249" s="34"/>
      <c r="B249" s="139"/>
      <c r="C249" s="140" t="s">
        <v>520</v>
      </c>
      <c r="D249" s="140" t="s">
        <v>180</v>
      </c>
      <c r="E249" s="141" t="s">
        <v>491</v>
      </c>
      <c r="F249" s="142" t="s">
        <v>492</v>
      </c>
      <c r="G249" s="143" t="s">
        <v>476</v>
      </c>
      <c r="H249" s="144">
        <v>77.811000000000007</v>
      </c>
      <c r="I249" s="145"/>
      <c r="J249" s="146">
        <f>ROUND(I249*H249,2)</f>
        <v>0</v>
      </c>
      <c r="K249" s="142" t="s">
        <v>184</v>
      </c>
      <c r="L249" s="35"/>
      <c r="M249" s="147" t="s">
        <v>3</v>
      </c>
      <c r="N249" s="148" t="s">
        <v>48</v>
      </c>
      <c r="O249" s="55"/>
      <c r="P249" s="149">
        <f>O249*H249</f>
        <v>0</v>
      </c>
      <c r="Q249" s="149">
        <v>1.0064099999999999E-3</v>
      </c>
      <c r="R249" s="149">
        <f>Q249*H249</f>
        <v>7.8309768510000002E-2</v>
      </c>
      <c r="S249" s="149">
        <v>1E-3</v>
      </c>
      <c r="T249" s="150">
        <f>S249*H249</f>
        <v>7.7811000000000005E-2</v>
      </c>
      <c r="U249" s="34"/>
      <c r="V249" s="34"/>
      <c r="W249" s="34"/>
      <c r="X249" s="34"/>
      <c r="Y249" s="34"/>
      <c r="Z249" s="34"/>
      <c r="AA249" s="34"/>
      <c r="AB249" s="34"/>
      <c r="AC249" s="34"/>
      <c r="AD249" s="34"/>
      <c r="AE249" s="34"/>
      <c r="AR249" s="151" t="s">
        <v>185</v>
      </c>
      <c r="AT249" s="151" t="s">
        <v>180</v>
      </c>
      <c r="AU249" s="151" t="s">
        <v>87</v>
      </c>
      <c r="AY249" s="19" t="s">
        <v>177</v>
      </c>
      <c r="BE249" s="152">
        <f>IF(N249="základní",J249,0)</f>
        <v>0</v>
      </c>
      <c r="BF249" s="152">
        <f>IF(N249="snížená",J249,0)</f>
        <v>0</v>
      </c>
      <c r="BG249" s="152">
        <f>IF(N249="zákl. přenesená",J249,0)</f>
        <v>0</v>
      </c>
      <c r="BH249" s="152">
        <f>IF(N249="sníž. přenesená",J249,0)</f>
        <v>0</v>
      </c>
      <c r="BI249" s="152">
        <f>IF(N249="nulová",J249,0)</f>
        <v>0</v>
      </c>
      <c r="BJ249" s="19" t="s">
        <v>85</v>
      </c>
      <c r="BK249" s="152">
        <f>ROUND(I249*H249,2)</f>
        <v>0</v>
      </c>
      <c r="BL249" s="19" t="s">
        <v>185</v>
      </c>
      <c r="BM249" s="151" t="s">
        <v>1872</v>
      </c>
    </row>
    <row r="250" spans="1:65" s="2" customFormat="1">
      <c r="A250" s="34"/>
      <c r="B250" s="35"/>
      <c r="C250" s="34"/>
      <c r="D250" s="153" t="s">
        <v>187</v>
      </c>
      <c r="E250" s="34"/>
      <c r="F250" s="154" t="s">
        <v>494</v>
      </c>
      <c r="G250" s="34"/>
      <c r="H250" s="34"/>
      <c r="I250" s="155"/>
      <c r="J250" s="34"/>
      <c r="K250" s="34"/>
      <c r="L250" s="35"/>
      <c r="M250" s="156"/>
      <c r="N250" s="157"/>
      <c r="O250" s="55"/>
      <c r="P250" s="55"/>
      <c r="Q250" s="55"/>
      <c r="R250" s="55"/>
      <c r="S250" s="55"/>
      <c r="T250" s="56"/>
      <c r="U250" s="34"/>
      <c r="V250" s="34"/>
      <c r="W250" s="34"/>
      <c r="X250" s="34"/>
      <c r="Y250" s="34"/>
      <c r="Z250" s="34"/>
      <c r="AA250" s="34"/>
      <c r="AB250" s="34"/>
      <c r="AC250" s="34"/>
      <c r="AD250" s="34"/>
      <c r="AE250" s="34"/>
      <c r="AT250" s="19" t="s">
        <v>187</v>
      </c>
      <c r="AU250" s="19" t="s">
        <v>87</v>
      </c>
    </row>
    <row r="251" spans="1:65" s="2" customFormat="1">
      <c r="A251" s="34"/>
      <c r="B251" s="35"/>
      <c r="C251" s="34"/>
      <c r="D251" s="158" t="s">
        <v>189</v>
      </c>
      <c r="E251" s="34"/>
      <c r="F251" s="159" t="s">
        <v>495</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189</v>
      </c>
      <c r="AU251" s="19" t="s">
        <v>87</v>
      </c>
    </row>
    <row r="252" spans="1:65" s="2" customFormat="1" ht="78">
      <c r="A252" s="34"/>
      <c r="B252" s="35"/>
      <c r="C252" s="34"/>
      <c r="D252" s="153" t="s">
        <v>191</v>
      </c>
      <c r="E252" s="34"/>
      <c r="F252" s="160" t="s">
        <v>480</v>
      </c>
      <c r="G252" s="34"/>
      <c r="H252" s="34"/>
      <c r="I252" s="155"/>
      <c r="J252" s="34"/>
      <c r="K252" s="34"/>
      <c r="L252" s="35"/>
      <c r="M252" s="156"/>
      <c r="N252" s="157"/>
      <c r="O252" s="55"/>
      <c r="P252" s="55"/>
      <c r="Q252" s="55"/>
      <c r="R252" s="55"/>
      <c r="S252" s="55"/>
      <c r="T252" s="56"/>
      <c r="U252" s="34"/>
      <c r="V252" s="34"/>
      <c r="W252" s="34"/>
      <c r="X252" s="34"/>
      <c r="Y252" s="34"/>
      <c r="Z252" s="34"/>
      <c r="AA252" s="34"/>
      <c r="AB252" s="34"/>
      <c r="AC252" s="34"/>
      <c r="AD252" s="34"/>
      <c r="AE252" s="34"/>
      <c r="AT252" s="19" t="s">
        <v>191</v>
      </c>
      <c r="AU252" s="19" t="s">
        <v>87</v>
      </c>
    </row>
    <row r="253" spans="1:65" s="14" customFormat="1">
      <c r="B253" s="169"/>
      <c r="D253" s="153" t="s">
        <v>193</v>
      </c>
      <c r="E253" s="170" t="s">
        <v>3</v>
      </c>
      <c r="F253" s="171" t="s">
        <v>481</v>
      </c>
      <c r="H253" s="170" t="s">
        <v>3</v>
      </c>
      <c r="I253" s="172"/>
      <c r="L253" s="169"/>
      <c r="M253" s="173"/>
      <c r="N253" s="174"/>
      <c r="O253" s="174"/>
      <c r="P253" s="174"/>
      <c r="Q253" s="174"/>
      <c r="R253" s="174"/>
      <c r="S253" s="174"/>
      <c r="T253" s="175"/>
      <c r="AT253" s="170" t="s">
        <v>193</v>
      </c>
      <c r="AU253" s="170" t="s">
        <v>87</v>
      </c>
      <c r="AV253" s="14" t="s">
        <v>85</v>
      </c>
      <c r="AW253" s="14" t="s">
        <v>36</v>
      </c>
      <c r="AX253" s="14" t="s">
        <v>77</v>
      </c>
      <c r="AY253" s="170" t="s">
        <v>177</v>
      </c>
    </row>
    <row r="254" spans="1:65" s="13" customFormat="1">
      <c r="B254" s="161"/>
      <c r="D254" s="153" t="s">
        <v>193</v>
      </c>
      <c r="E254" s="162" t="s">
        <v>3</v>
      </c>
      <c r="F254" s="163" t="s">
        <v>1869</v>
      </c>
      <c r="H254" s="164">
        <v>77.811000000000007</v>
      </c>
      <c r="I254" s="165"/>
      <c r="L254" s="161"/>
      <c r="M254" s="166"/>
      <c r="N254" s="167"/>
      <c r="O254" s="167"/>
      <c r="P254" s="167"/>
      <c r="Q254" s="167"/>
      <c r="R254" s="167"/>
      <c r="S254" s="167"/>
      <c r="T254" s="168"/>
      <c r="AT254" s="162" t="s">
        <v>193</v>
      </c>
      <c r="AU254" s="162" t="s">
        <v>87</v>
      </c>
      <c r="AV254" s="13" t="s">
        <v>87</v>
      </c>
      <c r="AW254" s="13" t="s">
        <v>36</v>
      </c>
      <c r="AX254" s="13" t="s">
        <v>85</v>
      </c>
      <c r="AY254" s="162" t="s">
        <v>177</v>
      </c>
    </row>
    <row r="255" spans="1:65" s="2" customFormat="1" ht="16.5" customHeight="1">
      <c r="A255" s="34"/>
      <c r="B255" s="139"/>
      <c r="C255" s="195" t="s">
        <v>527</v>
      </c>
      <c r="D255" s="195" t="s">
        <v>484</v>
      </c>
      <c r="E255" s="196" t="s">
        <v>497</v>
      </c>
      <c r="F255" s="197" t="s">
        <v>498</v>
      </c>
      <c r="G255" s="198" t="s">
        <v>183</v>
      </c>
      <c r="H255" s="199">
        <v>0.21099999999999999</v>
      </c>
      <c r="I255" s="200"/>
      <c r="J255" s="201">
        <f>ROUND(I255*H255,2)</f>
        <v>0</v>
      </c>
      <c r="K255" s="197" t="s">
        <v>184</v>
      </c>
      <c r="L255" s="202"/>
      <c r="M255" s="203" t="s">
        <v>3</v>
      </c>
      <c r="N255" s="204" t="s">
        <v>48</v>
      </c>
      <c r="O255" s="55"/>
      <c r="P255" s="149">
        <f>O255*H255</f>
        <v>0</v>
      </c>
      <c r="Q255" s="149">
        <v>1</v>
      </c>
      <c r="R255" s="149">
        <f>Q255*H255</f>
        <v>0.21099999999999999</v>
      </c>
      <c r="S255" s="149">
        <v>0</v>
      </c>
      <c r="T255" s="150">
        <f>S255*H255</f>
        <v>0</v>
      </c>
      <c r="U255" s="34"/>
      <c r="V255" s="34"/>
      <c r="W255" s="34"/>
      <c r="X255" s="34"/>
      <c r="Y255" s="34"/>
      <c r="Z255" s="34"/>
      <c r="AA255" s="34"/>
      <c r="AB255" s="34"/>
      <c r="AC255" s="34"/>
      <c r="AD255" s="34"/>
      <c r="AE255" s="34"/>
      <c r="AR255" s="151" t="s">
        <v>248</v>
      </c>
      <c r="AT255" s="151" t="s">
        <v>484</v>
      </c>
      <c r="AU255" s="151" t="s">
        <v>87</v>
      </c>
      <c r="AY255" s="19" t="s">
        <v>177</v>
      </c>
      <c r="BE255" s="152">
        <f>IF(N255="základní",J255,0)</f>
        <v>0</v>
      </c>
      <c r="BF255" s="152">
        <f>IF(N255="snížená",J255,0)</f>
        <v>0</v>
      </c>
      <c r="BG255" s="152">
        <f>IF(N255="zákl. přenesená",J255,0)</f>
        <v>0</v>
      </c>
      <c r="BH255" s="152">
        <f>IF(N255="sníž. přenesená",J255,0)</f>
        <v>0</v>
      </c>
      <c r="BI255" s="152">
        <f>IF(N255="nulová",J255,0)</f>
        <v>0</v>
      </c>
      <c r="BJ255" s="19" t="s">
        <v>85</v>
      </c>
      <c r="BK255" s="152">
        <f>ROUND(I255*H255,2)</f>
        <v>0</v>
      </c>
      <c r="BL255" s="19" t="s">
        <v>185</v>
      </c>
      <c r="BM255" s="151" t="s">
        <v>1873</v>
      </c>
    </row>
    <row r="256" spans="1:65" s="2" customFormat="1">
      <c r="A256" s="34"/>
      <c r="B256" s="35"/>
      <c r="C256" s="34"/>
      <c r="D256" s="153" t="s">
        <v>187</v>
      </c>
      <c r="E256" s="34"/>
      <c r="F256" s="154" t="s">
        <v>500</v>
      </c>
      <c r="G256" s="34"/>
      <c r="H256" s="34"/>
      <c r="I256" s="155"/>
      <c r="J256" s="34"/>
      <c r="K256" s="34"/>
      <c r="L256" s="35"/>
      <c r="M256" s="156"/>
      <c r="N256" s="157"/>
      <c r="O256" s="55"/>
      <c r="P256" s="55"/>
      <c r="Q256" s="55"/>
      <c r="R256" s="55"/>
      <c r="S256" s="55"/>
      <c r="T256" s="56"/>
      <c r="U256" s="34"/>
      <c r="V256" s="34"/>
      <c r="W256" s="34"/>
      <c r="X256" s="34"/>
      <c r="Y256" s="34"/>
      <c r="Z256" s="34"/>
      <c r="AA256" s="34"/>
      <c r="AB256" s="34"/>
      <c r="AC256" s="34"/>
      <c r="AD256" s="34"/>
      <c r="AE256" s="34"/>
      <c r="AT256" s="19" t="s">
        <v>187</v>
      </c>
      <c r="AU256" s="19" t="s">
        <v>87</v>
      </c>
    </row>
    <row r="257" spans="1:65" s="13" customFormat="1">
      <c r="B257" s="161"/>
      <c r="D257" s="153" t="s">
        <v>193</v>
      </c>
      <c r="E257" s="162" t="s">
        <v>3</v>
      </c>
      <c r="F257" s="163" t="s">
        <v>1874</v>
      </c>
      <c r="H257" s="164">
        <v>0.21099999999999999</v>
      </c>
      <c r="I257" s="165"/>
      <c r="L257" s="161"/>
      <c r="M257" s="166"/>
      <c r="N257" s="167"/>
      <c r="O257" s="167"/>
      <c r="P257" s="167"/>
      <c r="Q257" s="167"/>
      <c r="R257" s="167"/>
      <c r="S257" s="167"/>
      <c r="T257" s="168"/>
      <c r="AT257" s="162" t="s">
        <v>193</v>
      </c>
      <c r="AU257" s="162" t="s">
        <v>87</v>
      </c>
      <c r="AV257" s="13" t="s">
        <v>87</v>
      </c>
      <c r="AW257" s="13" t="s">
        <v>36</v>
      </c>
      <c r="AX257" s="13" t="s">
        <v>85</v>
      </c>
      <c r="AY257" s="162" t="s">
        <v>177</v>
      </c>
    </row>
    <row r="258" spans="1:65" s="12" customFormat="1" ht="22.9" customHeight="1">
      <c r="B258" s="126"/>
      <c r="D258" s="127" t="s">
        <v>76</v>
      </c>
      <c r="E258" s="137" t="s">
        <v>178</v>
      </c>
      <c r="F258" s="137" t="s">
        <v>179</v>
      </c>
      <c r="I258" s="129"/>
      <c r="J258" s="138">
        <f>BK258</f>
        <v>0</v>
      </c>
      <c r="L258" s="126"/>
      <c r="M258" s="131"/>
      <c r="N258" s="132"/>
      <c r="O258" s="132"/>
      <c r="P258" s="133">
        <f>SUM(P259:P280)</f>
        <v>0</v>
      </c>
      <c r="Q258" s="132"/>
      <c r="R258" s="133">
        <f>SUM(R259:R280)</f>
        <v>0</v>
      </c>
      <c r="S258" s="132"/>
      <c r="T258" s="134">
        <f>SUM(T259:T280)</f>
        <v>0</v>
      </c>
      <c r="AR258" s="127" t="s">
        <v>85</v>
      </c>
      <c r="AT258" s="135" t="s">
        <v>76</v>
      </c>
      <c r="AU258" s="135" t="s">
        <v>85</v>
      </c>
      <c r="AY258" s="127" t="s">
        <v>177</v>
      </c>
      <c r="BK258" s="136">
        <f>SUM(BK259:BK280)</f>
        <v>0</v>
      </c>
    </row>
    <row r="259" spans="1:65" s="2" customFormat="1" ht="16.5" customHeight="1">
      <c r="A259" s="34"/>
      <c r="B259" s="139"/>
      <c r="C259" s="140" t="s">
        <v>537</v>
      </c>
      <c r="D259" s="140" t="s">
        <v>180</v>
      </c>
      <c r="E259" s="141" t="s">
        <v>181</v>
      </c>
      <c r="F259" s="142" t="s">
        <v>182</v>
      </c>
      <c r="G259" s="143" t="s">
        <v>183</v>
      </c>
      <c r="H259" s="144">
        <v>193.268</v>
      </c>
      <c r="I259" s="145"/>
      <c r="J259" s="146">
        <f>ROUND(I259*H259,2)</f>
        <v>0</v>
      </c>
      <c r="K259" s="142" t="s">
        <v>184</v>
      </c>
      <c r="L259" s="35"/>
      <c r="M259" s="147" t="s">
        <v>3</v>
      </c>
      <c r="N259" s="148" t="s">
        <v>48</v>
      </c>
      <c r="O259" s="55"/>
      <c r="P259" s="149">
        <f>O259*H259</f>
        <v>0</v>
      </c>
      <c r="Q259" s="149">
        <v>0</v>
      </c>
      <c r="R259" s="149">
        <f>Q259*H259</f>
        <v>0</v>
      </c>
      <c r="S259" s="149">
        <v>0</v>
      </c>
      <c r="T259" s="150">
        <f>S259*H259</f>
        <v>0</v>
      </c>
      <c r="U259" s="34"/>
      <c r="V259" s="34"/>
      <c r="W259" s="34"/>
      <c r="X259" s="34"/>
      <c r="Y259" s="34"/>
      <c r="Z259" s="34"/>
      <c r="AA259" s="34"/>
      <c r="AB259" s="34"/>
      <c r="AC259" s="34"/>
      <c r="AD259" s="34"/>
      <c r="AE259" s="34"/>
      <c r="AR259" s="151" t="s">
        <v>185</v>
      </c>
      <c r="AT259" s="151" t="s">
        <v>180</v>
      </c>
      <c r="AU259" s="151" t="s">
        <v>87</v>
      </c>
      <c r="AY259" s="19" t="s">
        <v>177</v>
      </c>
      <c r="BE259" s="152">
        <f>IF(N259="základní",J259,0)</f>
        <v>0</v>
      </c>
      <c r="BF259" s="152">
        <f>IF(N259="snížená",J259,0)</f>
        <v>0</v>
      </c>
      <c r="BG259" s="152">
        <f>IF(N259="zákl. přenesená",J259,0)</f>
        <v>0</v>
      </c>
      <c r="BH259" s="152">
        <f>IF(N259="sníž. přenesená",J259,0)</f>
        <v>0</v>
      </c>
      <c r="BI259" s="152">
        <f>IF(N259="nulová",J259,0)</f>
        <v>0</v>
      </c>
      <c r="BJ259" s="19" t="s">
        <v>85</v>
      </c>
      <c r="BK259" s="152">
        <f>ROUND(I259*H259,2)</f>
        <v>0</v>
      </c>
      <c r="BL259" s="19" t="s">
        <v>185</v>
      </c>
      <c r="BM259" s="151" t="s">
        <v>1875</v>
      </c>
    </row>
    <row r="260" spans="1:65" s="2" customFormat="1">
      <c r="A260" s="34"/>
      <c r="B260" s="35"/>
      <c r="C260" s="34"/>
      <c r="D260" s="153" t="s">
        <v>187</v>
      </c>
      <c r="E260" s="34"/>
      <c r="F260" s="154" t="s">
        <v>188</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187</v>
      </c>
      <c r="AU260" s="19" t="s">
        <v>87</v>
      </c>
    </row>
    <row r="261" spans="1:65" s="2" customFormat="1">
      <c r="A261" s="34"/>
      <c r="B261" s="35"/>
      <c r="C261" s="34"/>
      <c r="D261" s="158" t="s">
        <v>189</v>
      </c>
      <c r="E261" s="34"/>
      <c r="F261" s="159" t="s">
        <v>190</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189</v>
      </c>
      <c r="AU261" s="19" t="s">
        <v>87</v>
      </c>
    </row>
    <row r="262" spans="1:65" s="2" customFormat="1" ht="107.25">
      <c r="A262" s="34"/>
      <c r="B262" s="35"/>
      <c r="C262" s="34"/>
      <c r="D262" s="153" t="s">
        <v>191</v>
      </c>
      <c r="E262" s="34"/>
      <c r="F262" s="160" t="s">
        <v>192</v>
      </c>
      <c r="G262" s="34"/>
      <c r="H262" s="34"/>
      <c r="I262" s="155"/>
      <c r="J262" s="34"/>
      <c r="K262" s="34"/>
      <c r="L262" s="35"/>
      <c r="M262" s="156"/>
      <c r="N262" s="157"/>
      <c r="O262" s="55"/>
      <c r="P262" s="55"/>
      <c r="Q262" s="55"/>
      <c r="R262" s="55"/>
      <c r="S262" s="55"/>
      <c r="T262" s="56"/>
      <c r="U262" s="34"/>
      <c r="V262" s="34"/>
      <c r="W262" s="34"/>
      <c r="X262" s="34"/>
      <c r="Y262" s="34"/>
      <c r="Z262" s="34"/>
      <c r="AA262" s="34"/>
      <c r="AB262" s="34"/>
      <c r="AC262" s="34"/>
      <c r="AD262" s="34"/>
      <c r="AE262" s="34"/>
      <c r="AT262" s="19" t="s">
        <v>191</v>
      </c>
      <c r="AU262" s="19" t="s">
        <v>87</v>
      </c>
    </row>
    <row r="263" spans="1:65" s="2" customFormat="1" ht="21.75" customHeight="1">
      <c r="A263" s="34"/>
      <c r="B263" s="139"/>
      <c r="C263" s="140" t="s">
        <v>757</v>
      </c>
      <c r="D263" s="140" t="s">
        <v>180</v>
      </c>
      <c r="E263" s="141" t="s">
        <v>202</v>
      </c>
      <c r="F263" s="142" t="s">
        <v>203</v>
      </c>
      <c r="G263" s="143" t="s">
        <v>183</v>
      </c>
      <c r="H263" s="144">
        <v>386.536</v>
      </c>
      <c r="I263" s="145"/>
      <c r="J263" s="146">
        <f>ROUND(I263*H263,2)</f>
        <v>0</v>
      </c>
      <c r="K263" s="142" t="s">
        <v>184</v>
      </c>
      <c r="L263" s="35"/>
      <c r="M263" s="147" t="s">
        <v>3</v>
      </c>
      <c r="N263" s="148" t="s">
        <v>48</v>
      </c>
      <c r="O263" s="55"/>
      <c r="P263" s="149">
        <f>O263*H263</f>
        <v>0</v>
      </c>
      <c r="Q263" s="149">
        <v>0</v>
      </c>
      <c r="R263" s="149">
        <f>Q263*H263</f>
        <v>0</v>
      </c>
      <c r="S263" s="149">
        <v>0</v>
      </c>
      <c r="T263" s="150">
        <f>S263*H263</f>
        <v>0</v>
      </c>
      <c r="U263" s="34"/>
      <c r="V263" s="34"/>
      <c r="W263" s="34"/>
      <c r="X263" s="34"/>
      <c r="Y263" s="34"/>
      <c r="Z263" s="34"/>
      <c r="AA263" s="34"/>
      <c r="AB263" s="34"/>
      <c r="AC263" s="34"/>
      <c r="AD263" s="34"/>
      <c r="AE263" s="34"/>
      <c r="AR263" s="151" t="s">
        <v>185</v>
      </c>
      <c r="AT263" s="151" t="s">
        <v>180</v>
      </c>
      <c r="AU263" s="151" t="s">
        <v>87</v>
      </c>
      <c r="AY263" s="19" t="s">
        <v>177</v>
      </c>
      <c r="BE263" s="152">
        <f>IF(N263="základní",J263,0)</f>
        <v>0</v>
      </c>
      <c r="BF263" s="152">
        <f>IF(N263="snížená",J263,0)</f>
        <v>0</v>
      </c>
      <c r="BG263" s="152">
        <f>IF(N263="zákl. přenesená",J263,0)</f>
        <v>0</v>
      </c>
      <c r="BH263" s="152">
        <f>IF(N263="sníž. přenesená",J263,0)</f>
        <v>0</v>
      </c>
      <c r="BI263" s="152">
        <f>IF(N263="nulová",J263,0)</f>
        <v>0</v>
      </c>
      <c r="BJ263" s="19" t="s">
        <v>85</v>
      </c>
      <c r="BK263" s="152">
        <f>ROUND(I263*H263,2)</f>
        <v>0</v>
      </c>
      <c r="BL263" s="19" t="s">
        <v>185</v>
      </c>
      <c r="BM263" s="151" t="s">
        <v>1876</v>
      </c>
    </row>
    <row r="264" spans="1:65" s="2" customFormat="1" ht="19.5">
      <c r="A264" s="34"/>
      <c r="B264" s="35"/>
      <c r="C264" s="34"/>
      <c r="D264" s="153" t="s">
        <v>187</v>
      </c>
      <c r="E264" s="34"/>
      <c r="F264" s="154" t="s">
        <v>205</v>
      </c>
      <c r="G264" s="34"/>
      <c r="H264" s="34"/>
      <c r="I264" s="155"/>
      <c r="J264" s="34"/>
      <c r="K264" s="34"/>
      <c r="L264" s="35"/>
      <c r="M264" s="156"/>
      <c r="N264" s="157"/>
      <c r="O264" s="55"/>
      <c r="P264" s="55"/>
      <c r="Q264" s="55"/>
      <c r="R264" s="55"/>
      <c r="S264" s="55"/>
      <c r="T264" s="56"/>
      <c r="U264" s="34"/>
      <c r="V264" s="34"/>
      <c r="W264" s="34"/>
      <c r="X264" s="34"/>
      <c r="Y264" s="34"/>
      <c r="Z264" s="34"/>
      <c r="AA264" s="34"/>
      <c r="AB264" s="34"/>
      <c r="AC264" s="34"/>
      <c r="AD264" s="34"/>
      <c r="AE264" s="34"/>
      <c r="AT264" s="19" t="s">
        <v>187</v>
      </c>
      <c r="AU264" s="19" t="s">
        <v>87</v>
      </c>
    </row>
    <row r="265" spans="1:65" s="2" customFormat="1">
      <c r="A265" s="34"/>
      <c r="B265" s="35"/>
      <c r="C265" s="34"/>
      <c r="D265" s="158" t="s">
        <v>189</v>
      </c>
      <c r="E265" s="34"/>
      <c r="F265" s="159" t="s">
        <v>206</v>
      </c>
      <c r="G265" s="34"/>
      <c r="H265" s="34"/>
      <c r="I265" s="155"/>
      <c r="J265" s="34"/>
      <c r="K265" s="34"/>
      <c r="L265" s="35"/>
      <c r="M265" s="156"/>
      <c r="N265" s="157"/>
      <c r="O265" s="55"/>
      <c r="P265" s="55"/>
      <c r="Q265" s="55"/>
      <c r="R265" s="55"/>
      <c r="S265" s="55"/>
      <c r="T265" s="56"/>
      <c r="U265" s="34"/>
      <c r="V265" s="34"/>
      <c r="W265" s="34"/>
      <c r="X265" s="34"/>
      <c r="Y265" s="34"/>
      <c r="Z265" s="34"/>
      <c r="AA265" s="34"/>
      <c r="AB265" s="34"/>
      <c r="AC265" s="34"/>
      <c r="AD265" s="34"/>
      <c r="AE265" s="34"/>
      <c r="AT265" s="19" t="s">
        <v>189</v>
      </c>
      <c r="AU265" s="19" t="s">
        <v>87</v>
      </c>
    </row>
    <row r="266" spans="1:65" s="2" customFormat="1" ht="107.25">
      <c r="A266" s="34"/>
      <c r="B266" s="35"/>
      <c r="C266" s="34"/>
      <c r="D266" s="153" t="s">
        <v>191</v>
      </c>
      <c r="E266" s="34"/>
      <c r="F266" s="160" t="s">
        <v>192</v>
      </c>
      <c r="G266" s="34"/>
      <c r="H266" s="34"/>
      <c r="I266" s="155"/>
      <c r="J266" s="34"/>
      <c r="K266" s="34"/>
      <c r="L266" s="35"/>
      <c r="M266" s="156"/>
      <c r="N266" s="157"/>
      <c r="O266" s="55"/>
      <c r="P266" s="55"/>
      <c r="Q266" s="55"/>
      <c r="R266" s="55"/>
      <c r="S266" s="55"/>
      <c r="T266" s="56"/>
      <c r="U266" s="34"/>
      <c r="V266" s="34"/>
      <c r="W266" s="34"/>
      <c r="X266" s="34"/>
      <c r="Y266" s="34"/>
      <c r="Z266" s="34"/>
      <c r="AA266" s="34"/>
      <c r="AB266" s="34"/>
      <c r="AC266" s="34"/>
      <c r="AD266" s="34"/>
      <c r="AE266" s="34"/>
      <c r="AT266" s="19" t="s">
        <v>191</v>
      </c>
      <c r="AU266" s="19" t="s">
        <v>87</v>
      </c>
    </row>
    <row r="267" spans="1:65" s="13" customFormat="1">
      <c r="B267" s="161"/>
      <c r="D267" s="153" t="s">
        <v>193</v>
      </c>
      <c r="F267" s="163" t="s">
        <v>1877</v>
      </c>
      <c r="H267" s="164">
        <v>386.536</v>
      </c>
      <c r="I267" s="165"/>
      <c r="L267" s="161"/>
      <c r="M267" s="166"/>
      <c r="N267" s="167"/>
      <c r="O267" s="167"/>
      <c r="P267" s="167"/>
      <c r="Q267" s="167"/>
      <c r="R267" s="167"/>
      <c r="S267" s="167"/>
      <c r="T267" s="168"/>
      <c r="AT267" s="162" t="s">
        <v>193</v>
      </c>
      <c r="AU267" s="162" t="s">
        <v>87</v>
      </c>
      <c r="AV267" s="13" t="s">
        <v>87</v>
      </c>
      <c r="AW267" s="13" t="s">
        <v>4</v>
      </c>
      <c r="AX267" s="13" t="s">
        <v>85</v>
      </c>
      <c r="AY267" s="162" t="s">
        <v>177</v>
      </c>
    </row>
    <row r="268" spans="1:65" s="2" customFormat="1" ht="16.5" customHeight="1">
      <c r="A268" s="34"/>
      <c r="B268" s="139"/>
      <c r="C268" s="140" t="s">
        <v>764</v>
      </c>
      <c r="D268" s="140" t="s">
        <v>180</v>
      </c>
      <c r="E268" s="141" t="s">
        <v>208</v>
      </c>
      <c r="F268" s="142" t="s">
        <v>209</v>
      </c>
      <c r="G268" s="143" t="s">
        <v>183</v>
      </c>
      <c r="H268" s="144">
        <v>193.268</v>
      </c>
      <c r="I268" s="145"/>
      <c r="J268" s="146">
        <f>ROUND(I268*H268,2)</f>
        <v>0</v>
      </c>
      <c r="K268" s="142" t="s">
        <v>184</v>
      </c>
      <c r="L268" s="35"/>
      <c r="M268" s="147" t="s">
        <v>3</v>
      </c>
      <c r="N268" s="148" t="s">
        <v>48</v>
      </c>
      <c r="O268" s="55"/>
      <c r="P268" s="149">
        <f>O268*H268</f>
        <v>0</v>
      </c>
      <c r="Q268" s="149">
        <v>0</v>
      </c>
      <c r="R268" s="149">
        <f>Q268*H268</f>
        <v>0</v>
      </c>
      <c r="S268" s="149">
        <v>0</v>
      </c>
      <c r="T268" s="150">
        <f>S268*H268</f>
        <v>0</v>
      </c>
      <c r="U268" s="34"/>
      <c r="V268" s="34"/>
      <c r="W268" s="34"/>
      <c r="X268" s="34"/>
      <c r="Y268" s="34"/>
      <c r="Z268" s="34"/>
      <c r="AA268" s="34"/>
      <c r="AB268" s="34"/>
      <c r="AC268" s="34"/>
      <c r="AD268" s="34"/>
      <c r="AE268" s="34"/>
      <c r="AR268" s="151" t="s">
        <v>185</v>
      </c>
      <c r="AT268" s="151" t="s">
        <v>180</v>
      </c>
      <c r="AU268" s="151" t="s">
        <v>87</v>
      </c>
      <c r="AY268" s="19" t="s">
        <v>177</v>
      </c>
      <c r="BE268" s="152">
        <f>IF(N268="základní",J268,0)</f>
        <v>0</v>
      </c>
      <c r="BF268" s="152">
        <f>IF(N268="snížená",J268,0)</f>
        <v>0</v>
      </c>
      <c r="BG268" s="152">
        <f>IF(N268="zákl. přenesená",J268,0)</f>
        <v>0</v>
      </c>
      <c r="BH268" s="152">
        <f>IF(N268="sníž. přenesená",J268,0)</f>
        <v>0</v>
      </c>
      <c r="BI268" s="152">
        <f>IF(N268="nulová",J268,0)</f>
        <v>0</v>
      </c>
      <c r="BJ268" s="19" t="s">
        <v>85</v>
      </c>
      <c r="BK268" s="152">
        <f>ROUND(I268*H268,2)</f>
        <v>0</v>
      </c>
      <c r="BL268" s="19" t="s">
        <v>185</v>
      </c>
      <c r="BM268" s="151" t="s">
        <v>1878</v>
      </c>
    </row>
    <row r="269" spans="1:65" s="2" customFormat="1">
      <c r="A269" s="34"/>
      <c r="B269" s="35"/>
      <c r="C269" s="34"/>
      <c r="D269" s="153" t="s">
        <v>187</v>
      </c>
      <c r="E269" s="34"/>
      <c r="F269" s="154" t="s">
        <v>211</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187</v>
      </c>
      <c r="AU269" s="19" t="s">
        <v>87</v>
      </c>
    </row>
    <row r="270" spans="1:65" s="2" customFormat="1">
      <c r="A270" s="34"/>
      <c r="B270" s="35"/>
      <c r="C270" s="34"/>
      <c r="D270" s="158" t="s">
        <v>189</v>
      </c>
      <c r="E270" s="34"/>
      <c r="F270" s="159" t="s">
        <v>212</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189</v>
      </c>
      <c r="AU270" s="19" t="s">
        <v>87</v>
      </c>
    </row>
    <row r="271" spans="1:65" s="2" customFormat="1" ht="58.5">
      <c r="A271" s="34"/>
      <c r="B271" s="35"/>
      <c r="C271" s="34"/>
      <c r="D271" s="153" t="s">
        <v>191</v>
      </c>
      <c r="E271" s="34"/>
      <c r="F271" s="160" t="s">
        <v>213</v>
      </c>
      <c r="G271" s="34"/>
      <c r="H271" s="34"/>
      <c r="I271" s="155"/>
      <c r="J271" s="34"/>
      <c r="K271" s="34"/>
      <c r="L271" s="35"/>
      <c r="M271" s="156"/>
      <c r="N271" s="157"/>
      <c r="O271" s="55"/>
      <c r="P271" s="55"/>
      <c r="Q271" s="55"/>
      <c r="R271" s="55"/>
      <c r="S271" s="55"/>
      <c r="T271" s="56"/>
      <c r="U271" s="34"/>
      <c r="V271" s="34"/>
      <c r="W271" s="34"/>
      <c r="X271" s="34"/>
      <c r="Y271" s="34"/>
      <c r="Z271" s="34"/>
      <c r="AA271" s="34"/>
      <c r="AB271" s="34"/>
      <c r="AC271" s="34"/>
      <c r="AD271" s="34"/>
      <c r="AE271" s="34"/>
      <c r="AT271" s="19" t="s">
        <v>191</v>
      </c>
      <c r="AU271" s="19" t="s">
        <v>87</v>
      </c>
    </row>
    <row r="272" spans="1:65" s="2" customFormat="1" ht="16.5" customHeight="1">
      <c r="A272" s="34"/>
      <c r="B272" s="139"/>
      <c r="C272" s="140" t="s">
        <v>772</v>
      </c>
      <c r="D272" s="140" t="s">
        <v>180</v>
      </c>
      <c r="E272" s="141" t="s">
        <v>214</v>
      </c>
      <c r="F272" s="142" t="s">
        <v>215</v>
      </c>
      <c r="G272" s="143" t="s">
        <v>183</v>
      </c>
      <c r="H272" s="144">
        <v>3672.0920000000001</v>
      </c>
      <c r="I272" s="145"/>
      <c r="J272" s="146">
        <f>ROUND(I272*H272,2)</f>
        <v>0</v>
      </c>
      <c r="K272" s="142" t="s">
        <v>184</v>
      </c>
      <c r="L272" s="35"/>
      <c r="M272" s="147" t="s">
        <v>3</v>
      </c>
      <c r="N272" s="148" t="s">
        <v>48</v>
      </c>
      <c r="O272" s="55"/>
      <c r="P272" s="149">
        <f>O272*H272</f>
        <v>0</v>
      </c>
      <c r="Q272" s="149">
        <v>0</v>
      </c>
      <c r="R272" s="149">
        <f>Q272*H272</f>
        <v>0</v>
      </c>
      <c r="S272" s="149">
        <v>0</v>
      </c>
      <c r="T272" s="150">
        <f>S272*H272</f>
        <v>0</v>
      </c>
      <c r="U272" s="34"/>
      <c r="V272" s="34"/>
      <c r="W272" s="34"/>
      <c r="X272" s="34"/>
      <c r="Y272" s="34"/>
      <c r="Z272" s="34"/>
      <c r="AA272" s="34"/>
      <c r="AB272" s="34"/>
      <c r="AC272" s="34"/>
      <c r="AD272" s="34"/>
      <c r="AE272" s="34"/>
      <c r="AR272" s="151" t="s">
        <v>185</v>
      </c>
      <c r="AT272" s="151" t="s">
        <v>180</v>
      </c>
      <c r="AU272" s="151" t="s">
        <v>87</v>
      </c>
      <c r="AY272" s="19" t="s">
        <v>177</v>
      </c>
      <c r="BE272" s="152">
        <f>IF(N272="základní",J272,0)</f>
        <v>0</v>
      </c>
      <c r="BF272" s="152">
        <f>IF(N272="snížená",J272,0)</f>
        <v>0</v>
      </c>
      <c r="BG272" s="152">
        <f>IF(N272="zákl. přenesená",J272,0)</f>
        <v>0</v>
      </c>
      <c r="BH272" s="152">
        <f>IF(N272="sníž. přenesená",J272,0)</f>
        <v>0</v>
      </c>
      <c r="BI272" s="152">
        <f>IF(N272="nulová",J272,0)</f>
        <v>0</v>
      </c>
      <c r="BJ272" s="19" t="s">
        <v>85</v>
      </c>
      <c r="BK272" s="152">
        <f>ROUND(I272*H272,2)</f>
        <v>0</v>
      </c>
      <c r="BL272" s="19" t="s">
        <v>185</v>
      </c>
      <c r="BM272" s="151" t="s">
        <v>1879</v>
      </c>
    </row>
    <row r="273" spans="1:65" s="2" customFormat="1" ht="19.5">
      <c r="A273" s="34"/>
      <c r="B273" s="35"/>
      <c r="C273" s="34"/>
      <c r="D273" s="153" t="s">
        <v>187</v>
      </c>
      <c r="E273" s="34"/>
      <c r="F273" s="154" t="s">
        <v>217</v>
      </c>
      <c r="G273" s="34"/>
      <c r="H273" s="34"/>
      <c r="I273" s="155"/>
      <c r="J273" s="34"/>
      <c r="K273" s="34"/>
      <c r="L273" s="35"/>
      <c r="M273" s="156"/>
      <c r="N273" s="157"/>
      <c r="O273" s="55"/>
      <c r="P273" s="55"/>
      <c r="Q273" s="55"/>
      <c r="R273" s="55"/>
      <c r="S273" s="55"/>
      <c r="T273" s="56"/>
      <c r="U273" s="34"/>
      <c r="V273" s="34"/>
      <c r="W273" s="34"/>
      <c r="X273" s="34"/>
      <c r="Y273" s="34"/>
      <c r="Z273" s="34"/>
      <c r="AA273" s="34"/>
      <c r="AB273" s="34"/>
      <c r="AC273" s="34"/>
      <c r="AD273" s="34"/>
      <c r="AE273" s="34"/>
      <c r="AT273" s="19" t="s">
        <v>187</v>
      </c>
      <c r="AU273" s="19" t="s">
        <v>87</v>
      </c>
    </row>
    <row r="274" spans="1:65" s="2" customFormat="1">
      <c r="A274" s="34"/>
      <c r="B274" s="35"/>
      <c r="C274" s="34"/>
      <c r="D274" s="158" t="s">
        <v>189</v>
      </c>
      <c r="E274" s="34"/>
      <c r="F274" s="159" t="s">
        <v>218</v>
      </c>
      <c r="G274" s="34"/>
      <c r="H274" s="34"/>
      <c r="I274" s="155"/>
      <c r="J274" s="34"/>
      <c r="K274" s="34"/>
      <c r="L274" s="35"/>
      <c r="M274" s="156"/>
      <c r="N274" s="157"/>
      <c r="O274" s="55"/>
      <c r="P274" s="55"/>
      <c r="Q274" s="55"/>
      <c r="R274" s="55"/>
      <c r="S274" s="55"/>
      <c r="T274" s="56"/>
      <c r="U274" s="34"/>
      <c r="V274" s="34"/>
      <c r="W274" s="34"/>
      <c r="X274" s="34"/>
      <c r="Y274" s="34"/>
      <c r="Z274" s="34"/>
      <c r="AA274" s="34"/>
      <c r="AB274" s="34"/>
      <c r="AC274" s="34"/>
      <c r="AD274" s="34"/>
      <c r="AE274" s="34"/>
      <c r="AT274" s="19" t="s">
        <v>189</v>
      </c>
      <c r="AU274" s="19" t="s">
        <v>87</v>
      </c>
    </row>
    <row r="275" spans="1:65" s="2" customFormat="1" ht="58.5">
      <c r="A275" s="34"/>
      <c r="B275" s="35"/>
      <c r="C275" s="34"/>
      <c r="D275" s="153" t="s">
        <v>191</v>
      </c>
      <c r="E275" s="34"/>
      <c r="F275" s="160" t="s">
        <v>213</v>
      </c>
      <c r="G275" s="34"/>
      <c r="H275" s="34"/>
      <c r="I275" s="155"/>
      <c r="J275" s="34"/>
      <c r="K275" s="34"/>
      <c r="L275" s="35"/>
      <c r="M275" s="156"/>
      <c r="N275" s="157"/>
      <c r="O275" s="55"/>
      <c r="P275" s="55"/>
      <c r="Q275" s="55"/>
      <c r="R275" s="55"/>
      <c r="S275" s="55"/>
      <c r="T275" s="56"/>
      <c r="U275" s="34"/>
      <c r="V275" s="34"/>
      <c r="W275" s="34"/>
      <c r="X275" s="34"/>
      <c r="Y275" s="34"/>
      <c r="Z275" s="34"/>
      <c r="AA275" s="34"/>
      <c r="AB275" s="34"/>
      <c r="AC275" s="34"/>
      <c r="AD275" s="34"/>
      <c r="AE275" s="34"/>
      <c r="AT275" s="19" t="s">
        <v>191</v>
      </c>
      <c r="AU275" s="19" t="s">
        <v>87</v>
      </c>
    </row>
    <row r="276" spans="1:65" s="13" customFormat="1">
      <c r="B276" s="161"/>
      <c r="D276" s="153" t="s">
        <v>193</v>
      </c>
      <c r="F276" s="163" t="s">
        <v>1880</v>
      </c>
      <c r="H276" s="164">
        <v>3672.0920000000001</v>
      </c>
      <c r="I276" s="165"/>
      <c r="L276" s="161"/>
      <c r="M276" s="166"/>
      <c r="N276" s="167"/>
      <c r="O276" s="167"/>
      <c r="P276" s="167"/>
      <c r="Q276" s="167"/>
      <c r="R276" s="167"/>
      <c r="S276" s="167"/>
      <c r="T276" s="168"/>
      <c r="AT276" s="162" t="s">
        <v>193</v>
      </c>
      <c r="AU276" s="162" t="s">
        <v>87</v>
      </c>
      <c r="AV276" s="13" t="s">
        <v>87</v>
      </c>
      <c r="AW276" s="13" t="s">
        <v>4</v>
      </c>
      <c r="AX276" s="13" t="s">
        <v>85</v>
      </c>
      <c r="AY276" s="162" t="s">
        <v>177</v>
      </c>
    </row>
    <row r="277" spans="1:65" s="2" customFormat="1" ht="24.2" customHeight="1">
      <c r="A277" s="34"/>
      <c r="B277" s="139"/>
      <c r="C277" s="140" t="s">
        <v>781</v>
      </c>
      <c r="D277" s="140" t="s">
        <v>180</v>
      </c>
      <c r="E277" s="141" t="s">
        <v>223</v>
      </c>
      <c r="F277" s="142" t="s">
        <v>224</v>
      </c>
      <c r="G277" s="143" t="s">
        <v>183</v>
      </c>
      <c r="H277" s="144">
        <v>193.268</v>
      </c>
      <c r="I277" s="145"/>
      <c r="J277" s="146">
        <f>ROUND(I277*H277,2)</f>
        <v>0</v>
      </c>
      <c r="K277" s="142" t="s">
        <v>184</v>
      </c>
      <c r="L277" s="35"/>
      <c r="M277" s="147" t="s">
        <v>3</v>
      </c>
      <c r="N277" s="148" t="s">
        <v>48</v>
      </c>
      <c r="O277" s="55"/>
      <c r="P277" s="149">
        <f>O277*H277</f>
        <v>0</v>
      </c>
      <c r="Q277" s="149">
        <v>0</v>
      </c>
      <c r="R277" s="149">
        <f>Q277*H277</f>
        <v>0</v>
      </c>
      <c r="S277" s="149">
        <v>0</v>
      </c>
      <c r="T277" s="150">
        <f>S277*H277</f>
        <v>0</v>
      </c>
      <c r="U277" s="34"/>
      <c r="V277" s="34"/>
      <c r="W277" s="34"/>
      <c r="X277" s="34"/>
      <c r="Y277" s="34"/>
      <c r="Z277" s="34"/>
      <c r="AA277" s="34"/>
      <c r="AB277" s="34"/>
      <c r="AC277" s="34"/>
      <c r="AD277" s="34"/>
      <c r="AE277" s="34"/>
      <c r="AR277" s="151" t="s">
        <v>185</v>
      </c>
      <c r="AT277" s="151" t="s">
        <v>180</v>
      </c>
      <c r="AU277" s="151" t="s">
        <v>87</v>
      </c>
      <c r="AY277" s="19" t="s">
        <v>177</v>
      </c>
      <c r="BE277" s="152">
        <f>IF(N277="základní",J277,0)</f>
        <v>0</v>
      </c>
      <c r="BF277" s="152">
        <f>IF(N277="snížená",J277,0)</f>
        <v>0</v>
      </c>
      <c r="BG277" s="152">
        <f>IF(N277="zákl. přenesená",J277,0)</f>
        <v>0</v>
      </c>
      <c r="BH277" s="152">
        <f>IF(N277="sníž. přenesená",J277,0)</f>
        <v>0</v>
      </c>
      <c r="BI277" s="152">
        <f>IF(N277="nulová",J277,0)</f>
        <v>0</v>
      </c>
      <c r="BJ277" s="19" t="s">
        <v>85</v>
      </c>
      <c r="BK277" s="152">
        <f>ROUND(I277*H277,2)</f>
        <v>0</v>
      </c>
      <c r="BL277" s="19" t="s">
        <v>185</v>
      </c>
      <c r="BM277" s="151" t="s">
        <v>1881</v>
      </c>
    </row>
    <row r="278" spans="1:65" s="2" customFormat="1" ht="19.5">
      <c r="A278" s="34"/>
      <c r="B278" s="35"/>
      <c r="C278" s="34"/>
      <c r="D278" s="153" t="s">
        <v>187</v>
      </c>
      <c r="E278" s="34"/>
      <c r="F278" s="154" t="s">
        <v>226</v>
      </c>
      <c r="G278" s="34"/>
      <c r="H278" s="34"/>
      <c r="I278" s="155"/>
      <c r="J278" s="34"/>
      <c r="K278" s="34"/>
      <c r="L278" s="35"/>
      <c r="M278" s="156"/>
      <c r="N278" s="157"/>
      <c r="O278" s="55"/>
      <c r="P278" s="55"/>
      <c r="Q278" s="55"/>
      <c r="R278" s="55"/>
      <c r="S278" s="55"/>
      <c r="T278" s="56"/>
      <c r="U278" s="34"/>
      <c r="V278" s="34"/>
      <c r="W278" s="34"/>
      <c r="X278" s="34"/>
      <c r="Y278" s="34"/>
      <c r="Z278" s="34"/>
      <c r="AA278" s="34"/>
      <c r="AB278" s="34"/>
      <c r="AC278" s="34"/>
      <c r="AD278" s="34"/>
      <c r="AE278" s="34"/>
      <c r="AT278" s="19" t="s">
        <v>187</v>
      </c>
      <c r="AU278" s="19" t="s">
        <v>87</v>
      </c>
    </row>
    <row r="279" spans="1:65" s="2" customFormat="1">
      <c r="A279" s="34"/>
      <c r="B279" s="35"/>
      <c r="C279" s="34"/>
      <c r="D279" s="158" t="s">
        <v>189</v>
      </c>
      <c r="E279" s="34"/>
      <c r="F279" s="159" t="s">
        <v>227</v>
      </c>
      <c r="G279" s="34"/>
      <c r="H279" s="34"/>
      <c r="I279" s="155"/>
      <c r="J279" s="34"/>
      <c r="K279" s="34"/>
      <c r="L279" s="35"/>
      <c r="M279" s="156"/>
      <c r="N279" s="157"/>
      <c r="O279" s="55"/>
      <c r="P279" s="55"/>
      <c r="Q279" s="55"/>
      <c r="R279" s="55"/>
      <c r="S279" s="55"/>
      <c r="T279" s="56"/>
      <c r="U279" s="34"/>
      <c r="V279" s="34"/>
      <c r="W279" s="34"/>
      <c r="X279" s="34"/>
      <c r="Y279" s="34"/>
      <c r="Z279" s="34"/>
      <c r="AA279" s="34"/>
      <c r="AB279" s="34"/>
      <c r="AC279" s="34"/>
      <c r="AD279" s="34"/>
      <c r="AE279" s="34"/>
      <c r="AT279" s="19" t="s">
        <v>189</v>
      </c>
      <c r="AU279" s="19" t="s">
        <v>87</v>
      </c>
    </row>
    <row r="280" spans="1:65" s="2" customFormat="1" ht="39">
      <c r="A280" s="34"/>
      <c r="B280" s="35"/>
      <c r="C280" s="34"/>
      <c r="D280" s="153" t="s">
        <v>191</v>
      </c>
      <c r="E280" s="34"/>
      <c r="F280" s="160" t="s">
        <v>228</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191</v>
      </c>
      <c r="AU280" s="19" t="s">
        <v>87</v>
      </c>
    </row>
    <row r="281" spans="1:65" s="12" customFormat="1" ht="22.9" customHeight="1">
      <c r="B281" s="126"/>
      <c r="D281" s="127" t="s">
        <v>76</v>
      </c>
      <c r="E281" s="137" t="s">
        <v>518</v>
      </c>
      <c r="F281" s="137" t="s">
        <v>519</v>
      </c>
      <c r="I281" s="129"/>
      <c r="J281" s="138">
        <f>BK281</f>
        <v>0</v>
      </c>
      <c r="L281" s="126"/>
      <c r="M281" s="131"/>
      <c r="N281" s="132"/>
      <c r="O281" s="132"/>
      <c r="P281" s="133">
        <f>SUM(P282:P285)</f>
        <v>0</v>
      </c>
      <c r="Q281" s="132"/>
      <c r="R281" s="133">
        <f>SUM(R282:R285)</f>
        <v>0</v>
      </c>
      <c r="S281" s="132"/>
      <c r="T281" s="134">
        <f>SUM(T282:T285)</f>
        <v>0</v>
      </c>
      <c r="AR281" s="127" t="s">
        <v>85</v>
      </c>
      <c r="AT281" s="135" t="s">
        <v>76</v>
      </c>
      <c r="AU281" s="135" t="s">
        <v>85</v>
      </c>
      <c r="AY281" s="127" t="s">
        <v>177</v>
      </c>
      <c r="BK281" s="136">
        <f>SUM(BK282:BK285)</f>
        <v>0</v>
      </c>
    </row>
    <row r="282" spans="1:65" s="2" customFormat="1" ht="16.5" customHeight="1">
      <c r="A282" s="34"/>
      <c r="B282" s="139"/>
      <c r="C282" s="140" t="s">
        <v>787</v>
      </c>
      <c r="D282" s="140" t="s">
        <v>180</v>
      </c>
      <c r="E282" s="141" t="s">
        <v>521</v>
      </c>
      <c r="F282" s="142" t="s">
        <v>522</v>
      </c>
      <c r="G282" s="143" t="s">
        <v>183</v>
      </c>
      <c r="H282" s="144">
        <v>8.0250000000000004</v>
      </c>
      <c r="I282" s="145"/>
      <c r="J282" s="146">
        <f>ROUND(I282*H282,2)</f>
        <v>0</v>
      </c>
      <c r="K282" s="142" t="s">
        <v>184</v>
      </c>
      <c r="L282" s="35"/>
      <c r="M282" s="147" t="s">
        <v>3</v>
      </c>
      <c r="N282" s="148" t="s">
        <v>48</v>
      </c>
      <c r="O282" s="55"/>
      <c r="P282" s="149">
        <f>O282*H282</f>
        <v>0</v>
      </c>
      <c r="Q282" s="149">
        <v>0</v>
      </c>
      <c r="R282" s="149">
        <f>Q282*H282</f>
        <v>0</v>
      </c>
      <c r="S282" s="149">
        <v>0</v>
      </c>
      <c r="T282" s="150">
        <f>S282*H282</f>
        <v>0</v>
      </c>
      <c r="U282" s="34"/>
      <c r="V282" s="34"/>
      <c r="W282" s="34"/>
      <c r="X282" s="34"/>
      <c r="Y282" s="34"/>
      <c r="Z282" s="34"/>
      <c r="AA282" s="34"/>
      <c r="AB282" s="34"/>
      <c r="AC282" s="34"/>
      <c r="AD282" s="34"/>
      <c r="AE282" s="34"/>
      <c r="AR282" s="151" t="s">
        <v>185</v>
      </c>
      <c r="AT282" s="151" t="s">
        <v>180</v>
      </c>
      <c r="AU282" s="151" t="s">
        <v>87</v>
      </c>
      <c r="AY282" s="19" t="s">
        <v>177</v>
      </c>
      <c r="BE282" s="152">
        <f>IF(N282="základní",J282,0)</f>
        <v>0</v>
      </c>
      <c r="BF282" s="152">
        <f>IF(N282="snížená",J282,0)</f>
        <v>0</v>
      </c>
      <c r="BG282" s="152">
        <f>IF(N282="zákl. přenesená",J282,0)</f>
        <v>0</v>
      </c>
      <c r="BH282" s="152">
        <f>IF(N282="sníž. přenesená",J282,0)</f>
        <v>0</v>
      </c>
      <c r="BI282" s="152">
        <f>IF(N282="nulová",J282,0)</f>
        <v>0</v>
      </c>
      <c r="BJ282" s="19" t="s">
        <v>85</v>
      </c>
      <c r="BK282" s="152">
        <f>ROUND(I282*H282,2)</f>
        <v>0</v>
      </c>
      <c r="BL282" s="19" t="s">
        <v>185</v>
      </c>
      <c r="BM282" s="151" t="s">
        <v>1882</v>
      </c>
    </row>
    <row r="283" spans="1:65" s="2" customFormat="1" ht="19.5">
      <c r="A283" s="34"/>
      <c r="B283" s="35"/>
      <c r="C283" s="34"/>
      <c r="D283" s="153" t="s">
        <v>187</v>
      </c>
      <c r="E283" s="34"/>
      <c r="F283" s="154" t="s">
        <v>524</v>
      </c>
      <c r="G283" s="34"/>
      <c r="H283" s="34"/>
      <c r="I283" s="155"/>
      <c r="J283" s="34"/>
      <c r="K283" s="34"/>
      <c r="L283" s="35"/>
      <c r="M283" s="156"/>
      <c r="N283" s="157"/>
      <c r="O283" s="55"/>
      <c r="P283" s="55"/>
      <c r="Q283" s="55"/>
      <c r="R283" s="55"/>
      <c r="S283" s="55"/>
      <c r="T283" s="56"/>
      <c r="U283" s="34"/>
      <c r="V283" s="34"/>
      <c r="W283" s="34"/>
      <c r="X283" s="34"/>
      <c r="Y283" s="34"/>
      <c r="Z283" s="34"/>
      <c r="AA283" s="34"/>
      <c r="AB283" s="34"/>
      <c r="AC283" s="34"/>
      <c r="AD283" s="34"/>
      <c r="AE283" s="34"/>
      <c r="AT283" s="19" t="s">
        <v>187</v>
      </c>
      <c r="AU283" s="19" t="s">
        <v>87</v>
      </c>
    </row>
    <row r="284" spans="1:65" s="2" customFormat="1">
      <c r="A284" s="34"/>
      <c r="B284" s="35"/>
      <c r="C284" s="34"/>
      <c r="D284" s="158" t="s">
        <v>189</v>
      </c>
      <c r="E284" s="34"/>
      <c r="F284" s="159" t="s">
        <v>525</v>
      </c>
      <c r="G284" s="34"/>
      <c r="H284" s="34"/>
      <c r="I284" s="155"/>
      <c r="J284" s="34"/>
      <c r="K284" s="34"/>
      <c r="L284" s="35"/>
      <c r="M284" s="156"/>
      <c r="N284" s="157"/>
      <c r="O284" s="55"/>
      <c r="P284" s="55"/>
      <c r="Q284" s="55"/>
      <c r="R284" s="55"/>
      <c r="S284" s="55"/>
      <c r="T284" s="56"/>
      <c r="U284" s="34"/>
      <c r="V284" s="34"/>
      <c r="W284" s="34"/>
      <c r="X284" s="34"/>
      <c r="Y284" s="34"/>
      <c r="Z284" s="34"/>
      <c r="AA284" s="34"/>
      <c r="AB284" s="34"/>
      <c r="AC284" s="34"/>
      <c r="AD284" s="34"/>
      <c r="AE284" s="34"/>
      <c r="AT284" s="19" t="s">
        <v>189</v>
      </c>
      <c r="AU284" s="19" t="s">
        <v>87</v>
      </c>
    </row>
    <row r="285" spans="1:65" s="2" customFormat="1" ht="58.5">
      <c r="A285" s="34"/>
      <c r="B285" s="35"/>
      <c r="C285" s="34"/>
      <c r="D285" s="153" t="s">
        <v>191</v>
      </c>
      <c r="E285" s="34"/>
      <c r="F285" s="160" t="s">
        <v>526</v>
      </c>
      <c r="G285" s="34"/>
      <c r="H285" s="34"/>
      <c r="I285" s="155"/>
      <c r="J285" s="34"/>
      <c r="K285" s="34"/>
      <c r="L285" s="35"/>
      <c r="M285" s="156"/>
      <c r="N285" s="157"/>
      <c r="O285" s="55"/>
      <c r="P285" s="55"/>
      <c r="Q285" s="55"/>
      <c r="R285" s="55"/>
      <c r="S285" s="55"/>
      <c r="T285" s="56"/>
      <c r="U285" s="34"/>
      <c r="V285" s="34"/>
      <c r="W285" s="34"/>
      <c r="X285" s="34"/>
      <c r="Y285" s="34"/>
      <c r="Z285" s="34"/>
      <c r="AA285" s="34"/>
      <c r="AB285" s="34"/>
      <c r="AC285" s="34"/>
      <c r="AD285" s="34"/>
      <c r="AE285" s="34"/>
      <c r="AT285" s="19" t="s">
        <v>191</v>
      </c>
      <c r="AU285" s="19" t="s">
        <v>87</v>
      </c>
    </row>
    <row r="286" spans="1:65" s="12" customFormat="1" ht="25.9" customHeight="1">
      <c r="B286" s="126"/>
      <c r="D286" s="127" t="s">
        <v>76</v>
      </c>
      <c r="E286" s="128" t="s">
        <v>229</v>
      </c>
      <c r="F286" s="128" t="s">
        <v>230</v>
      </c>
      <c r="I286" s="129"/>
      <c r="J286" s="130">
        <f>BK286</f>
        <v>0</v>
      </c>
      <c r="L286" s="126"/>
      <c r="M286" s="131"/>
      <c r="N286" s="132"/>
      <c r="O286" s="132"/>
      <c r="P286" s="133">
        <f>P287</f>
        <v>0</v>
      </c>
      <c r="Q286" s="132"/>
      <c r="R286" s="133">
        <f>R287</f>
        <v>0</v>
      </c>
      <c r="S286" s="132"/>
      <c r="T286" s="134">
        <f>T287</f>
        <v>0.32800000000000001</v>
      </c>
      <c r="AR286" s="127" t="s">
        <v>87</v>
      </c>
      <c r="AT286" s="135" t="s">
        <v>76</v>
      </c>
      <c r="AU286" s="135" t="s">
        <v>77</v>
      </c>
      <c r="AY286" s="127" t="s">
        <v>177</v>
      </c>
      <c r="BK286" s="136">
        <f>BK287</f>
        <v>0</v>
      </c>
    </row>
    <row r="287" spans="1:65" s="12" customFormat="1" ht="22.9" customHeight="1">
      <c r="B287" s="126"/>
      <c r="D287" s="127" t="s">
        <v>76</v>
      </c>
      <c r="E287" s="137" t="s">
        <v>1559</v>
      </c>
      <c r="F287" s="137" t="s">
        <v>1560</v>
      </c>
      <c r="I287" s="129"/>
      <c r="J287" s="138">
        <f>BK287</f>
        <v>0</v>
      </c>
      <c r="L287" s="126"/>
      <c r="M287" s="131"/>
      <c r="N287" s="132"/>
      <c r="O287" s="132"/>
      <c r="P287" s="133">
        <f>SUM(P288:P295)</f>
        <v>0</v>
      </c>
      <c r="Q287" s="132"/>
      <c r="R287" s="133">
        <f>SUM(R288:R295)</f>
        <v>0</v>
      </c>
      <c r="S287" s="132"/>
      <c r="T287" s="134">
        <f>SUM(T288:T295)</f>
        <v>0.32800000000000001</v>
      </c>
      <c r="AR287" s="127" t="s">
        <v>87</v>
      </c>
      <c r="AT287" s="135" t="s">
        <v>76</v>
      </c>
      <c r="AU287" s="135" t="s">
        <v>85</v>
      </c>
      <c r="AY287" s="127" t="s">
        <v>177</v>
      </c>
      <c r="BK287" s="136">
        <f>SUM(BK288:BK295)</f>
        <v>0</v>
      </c>
    </row>
    <row r="288" spans="1:65" s="2" customFormat="1" ht="16.5" customHeight="1">
      <c r="A288" s="34"/>
      <c r="B288" s="139"/>
      <c r="C288" s="140" t="s">
        <v>794</v>
      </c>
      <c r="D288" s="140" t="s">
        <v>180</v>
      </c>
      <c r="E288" s="141" t="s">
        <v>1561</v>
      </c>
      <c r="F288" s="142" t="s">
        <v>1562</v>
      </c>
      <c r="G288" s="143" t="s">
        <v>236</v>
      </c>
      <c r="H288" s="144">
        <v>9</v>
      </c>
      <c r="I288" s="145"/>
      <c r="J288" s="146">
        <f>ROUND(I288*H288,2)</f>
        <v>0</v>
      </c>
      <c r="K288" s="142" t="s">
        <v>184</v>
      </c>
      <c r="L288" s="35"/>
      <c r="M288" s="147" t="s">
        <v>3</v>
      </c>
      <c r="N288" s="148" t="s">
        <v>48</v>
      </c>
      <c r="O288" s="55"/>
      <c r="P288" s="149">
        <f>O288*H288</f>
        <v>0</v>
      </c>
      <c r="Q288" s="149">
        <v>0</v>
      </c>
      <c r="R288" s="149">
        <f>Q288*H288</f>
        <v>0</v>
      </c>
      <c r="S288" s="149">
        <v>2.4E-2</v>
      </c>
      <c r="T288" s="150">
        <f>S288*H288</f>
        <v>0.216</v>
      </c>
      <c r="U288" s="34"/>
      <c r="V288" s="34"/>
      <c r="W288" s="34"/>
      <c r="X288" s="34"/>
      <c r="Y288" s="34"/>
      <c r="Z288" s="34"/>
      <c r="AA288" s="34"/>
      <c r="AB288" s="34"/>
      <c r="AC288" s="34"/>
      <c r="AD288" s="34"/>
      <c r="AE288" s="34"/>
      <c r="AR288" s="151" t="s">
        <v>237</v>
      </c>
      <c r="AT288" s="151" t="s">
        <v>180</v>
      </c>
      <c r="AU288" s="151" t="s">
        <v>87</v>
      </c>
      <c r="AY288" s="19" t="s">
        <v>177</v>
      </c>
      <c r="BE288" s="152">
        <f>IF(N288="základní",J288,0)</f>
        <v>0</v>
      </c>
      <c r="BF288" s="152">
        <f>IF(N288="snížená",J288,0)</f>
        <v>0</v>
      </c>
      <c r="BG288" s="152">
        <f>IF(N288="zákl. přenesená",J288,0)</f>
        <v>0</v>
      </c>
      <c r="BH288" s="152">
        <f>IF(N288="sníž. přenesená",J288,0)</f>
        <v>0</v>
      </c>
      <c r="BI288" s="152">
        <f>IF(N288="nulová",J288,0)</f>
        <v>0</v>
      </c>
      <c r="BJ288" s="19" t="s">
        <v>85</v>
      </c>
      <c r="BK288" s="152">
        <f>ROUND(I288*H288,2)</f>
        <v>0</v>
      </c>
      <c r="BL288" s="19" t="s">
        <v>237</v>
      </c>
      <c r="BM288" s="151" t="s">
        <v>1883</v>
      </c>
    </row>
    <row r="289" spans="1:65" s="2" customFormat="1">
      <c r="A289" s="34"/>
      <c r="B289" s="35"/>
      <c r="C289" s="34"/>
      <c r="D289" s="153" t="s">
        <v>187</v>
      </c>
      <c r="E289" s="34"/>
      <c r="F289" s="154" t="s">
        <v>1564</v>
      </c>
      <c r="G289" s="34"/>
      <c r="H289" s="34"/>
      <c r="I289" s="155"/>
      <c r="J289" s="34"/>
      <c r="K289" s="34"/>
      <c r="L289" s="35"/>
      <c r="M289" s="156"/>
      <c r="N289" s="157"/>
      <c r="O289" s="55"/>
      <c r="P289" s="55"/>
      <c r="Q289" s="55"/>
      <c r="R289" s="55"/>
      <c r="S289" s="55"/>
      <c r="T289" s="56"/>
      <c r="U289" s="34"/>
      <c r="V289" s="34"/>
      <c r="W289" s="34"/>
      <c r="X289" s="34"/>
      <c r="Y289" s="34"/>
      <c r="Z289" s="34"/>
      <c r="AA289" s="34"/>
      <c r="AB289" s="34"/>
      <c r="AC289" s="34"/>
      <c r="AD289" s="34"/>
      <c r="AE289" s="34"/>
      <c r="AT289" s="19" t="s">
        <v>187</v>
      </c>
      <c r="AU289" s="19" t="s">
        <v>87</v>
      </c>
    </row>
    <row r="290" spans="1:65" s="2" customFormat="1">
      <c r="A290" s="34"/>
      <c r="B290" s="35"/>
      <c r="C290" s="34"/>
      <c r="D290" s="158" t="s">
        <v>189</v>
      </c>
      <c r="E290" s="34"/>
      <c r="F290" s="159" t="s">
        <v>1565</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189</v>
      </c>
      <c r="AU290" s="19" t="s">
        <v>87</v>
      </c>
    </row>
    <row r="291" spans="1:65" s="2" customFormat="1" ht="29.25">
      <c r="A291" s="34"/>
      <c r="B291" s="35"/>
      <c r="C291" s="34"/>
      <c r="D291" s="153" t="s">
        <v>191</v>
      </c>
      <c r="E291" s="34"/>
      <c r="F291" s="160" t="s">
        <v>1566</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191</v>
      </c>
      <c r="AU291" s="19" t="s">
        <v>87</v>
      </c>
    </row>
    <row r="292" spans="1:65" s="2" customFormat="1" ht="16.5" customHeight="1">
      <c r="A292" s="34"/>
      <c r="B292" s="139"/>
      <c r="C292" s="140" t="s">
        <v>800</v>
      </c>
      <c r="D292" s="140" t="s">
        <v>180</v>
      </c>
      <c r="E292" s="141" t="s">
        <v>1884</v>
      </c>
      <c r="F292" s="142" t="s">
        <v>1885</v>
      </c>
      <c r="G292" s="143" t="s">
        <v>236</v>
      </c>
      <c r="H292" s="144">
        <v>4</v>
      </c>
      <c r="I292" s="145"/>
      <c r="J292" s="146">
        <f>ROUND(I292*H292,2)</f>
        <v>0</v>
      </c>
      <c r="K292" s="142" t="s">
        <v>184</v>
      </c>
      <c r="L292" s="35"/>
      <c r="M292" s="147" t="s">
        <v>3</v>
      </c>
      <c r="N292" s="148" t="s">
        <v>48</v>
      </c>
      <c r="O292" s="55"/>
      <c r="P292" s="149">
        <f>O292*H292</f>
        <v>0</v>
      </c>
      <c r="Q292" s="149">
        <v>0</v>
      </c>
      <c r="R292" s="149">
        <f>Q292*H292</f>
        <v>0</v>
      </c>
      <c r="S292" s="149">
        <v>2.8000000000000001E-2</v>
      </c>
      <c r="T292" s="150">
        <f>S292*H292</f>
        <v>0.112</v>
      </c>
      <c r="U292" s="34"/>
      <c r="V292" s="34"/>
      <c r="W292" s="34"/>
      <c r="X292" s="34"/>
      <c r="Y292" s="34"/>
      <c r="Z292" s="34"/>
      <c r="AA292" s="34"/>
      <c r="AB292" s="34"/>
      <c r="AC292" s="34"/>
      <c r="AD292" s="34"/>
      <c r="AE292" s="34"/>
      <c r="AR292" s="151" t="s">
        <v>237</v>
      </c>
      <c r="AT292" s="151" t="s">
        <v>180</v>
      </c>
      <c r="AU292" s="151" t="s">
        <v>87</v>
      </c>
      <c r="AY292" s="19" t="s">
        <v>177</v>
      </c>
      <c r="BE292" s="152">
        <f>IF(N292="základní",J292,0)</f>
        <v>0</v>
      </c>
      <c r="BF292" s="152">
        <f>IF(N292="snížená",J292,0)</f>
        <v>0</v>
      </c>
      <c r="BG292" s="152">
        <f>IF(N292="zákl. přenesená",J292,0)</f>
        <v>0</v>
      </c>
      <c r="BH292" s="152">
        <f>IF(N292="sníž. přenesená",J292,0)</f>
        <v>0</v>
      </c>
      <c r="BI292" s="152">
        <f>IF(N292="nulová",J292,0)</f>
        <v>0</v>
      </c>
      <c r="BJ292" s="19" t="s">
        <v>85</v>
      </c>
      <c r="BK292" s="152">
        <f>ROUND(I292*H292,2)</f>
        <v>0</v>
      </c>
      <c r="BL292" s="19" t="s">
        <v>237</v>
      </c>
      <c r="BM292" s="151" t="s">
        <v>1886</v>
      </c>
    </row>
    <row r="293" spans="1:65" s="2" customFormat="1">
      <c r="A293" s="34"/>
      <c r="B293" s="35"/>
      <c r="C293" s="34"/>
      <c r="D293" s="153" t="s">
        <v>187</v>
      </c>
      <c r="E293" s="34"/>
      <c r="F293" s="154" t="s">
        <v>1887</v>
      </c>
      <c r="G293" s="34"/>
      <c r="H293" s="34"/>
      <c r="I293" s="155"/>
      <c r="J293" s="34"/>
      <c r="K293" s="34"/>
      <c r="L293" s="35"/>
      <c r="M293" s="156"/>
      <c r="N293" s="157"/>
      <c r="O293" s="55"/>
      <c r="P293" s="55"/>
      <c r="Q293" s="55"/>
      <c r="R293" s="55"/>
      <c r="S293" s="55"/>
      <c r="T293" s="56"/>
      <c r="U293" s="34"/>
      <c r="V293" s="34"/>
      <c r="W293" s="34"/>
      <c r="X293" s="34"/>
      <c r="Y293" s="34"/>
      <c r="Z293" s="34"/>
      <c r="AA293" s="34"/>
      <c r="AB293" s="34"/>
      <c r="AC293" s="34"/>
      <c r="AD293" s="34"/>
      <c r="AE293" s="34"/>
      <c r="AT293" s="19" t="s">
        <v>187</v>
      </c>
      <c r="AU293" s="19" t="s">
        <v>87</v>
      </c>
    </row>
    <row r="294" spans="1:65" s="2" customFormat="1">
      <c r="A294" s="34"/>
      <c r="B294" s="35"/>
      <c r="C294" s="34"/>
      <c r="D294" s="158" t="s">
        <v>189</v>
      </c>
      <c r="E294" s="34"/>
      <c r="F294" s="159" t="s">
        <v>1888</v>
      </c>
      <c r="G294" s="34"/>
      <c r="H294" s="34"/>
      <c r="I294" s="155"/>
      <c r="J294" s="34"/>
      <c r="K294" s="34"/>
      <c r="L294" s="35"/>
      <c r="M294" s="156"/>
      <c r="N294" s="157"/>
      <c r="O294" s="55"/>
      <c r="P294" s="55"/>
      <c r="Q294" s="55"/>
      <c r="R294" s="55"/>
      <c r="S294" s="55"/>
      <c r="T294" s="56"/>
      <c r="U294" s="34"/>
      <c r="V294" s="34"/>
      <c r="W294" s="34"/>
      <c r="X294" s="34"/>
      <c r="Y294" s="34"/>
      <c r="Z294" s="34"/>
      <c r="AA294" s="34"/>
      <c r="AB294" s="34"/>
      <c r="AC294" s="34"/>
      <c r="AD294" s="34"/>
      <c r="AE294" s="34"/>
      <c r="AT294" s="19" t="s">
        <v>189</v>
      </c>
      <c r="AU294" s="19" t="s">
        <v>87</v>
      </c>
    </row>
    <row r="295" spans="1:65" s="2" customFormat="1" ht="29.25">
      <c r="A295" s="34"/>
      <c r="B295" s="35"/>
      <c r="C295" s="34"/>
      <c r="D295" s="153" t="s">
        <v>191</v>
      </c>
      <c r="E295" s="34"/>
      <c r="F295" s="160" t="s">
        <v>1566</v>
      </c>
      <c r="G295" s="34"/>
      <c r="H295" s="34"/>
      <c r="I295" s="155"/>
      <c r="J295" s="34"/>
      <c r="K295" s="34"/>
      <c r="L295" s="35"/>
      <c r="M295" s="156"/>
      <c r="N295" s="157"/>
      <c r="O295" s="55"/>
      <c r="P295" s="55"/>
      <c r="Q295" s="55"/>
      <c r="R295" s="55"/>
      <c r="S295" s="55"/>
      <c r="T295" s="56"/>
      <c r="U295" s="34"/>
      <c r="V295" s="34"/>
      <c r="W295" s="34"/>
      <c r="X295" s="34"/>
      <c r="Y295" s="34"/>
      <c r="Z295" s="34"/>
      <c r="AA295" s="34"/>
      <c r="AB295" s="34"/>
      <c r="AC295" s="34"/>
      <c r="AD295" s="34"/>
      <c r="AE295" s="34"/>
      <c r="AT295" s="19" t="s">
        <v>191</v>
      </c>
      <c r="AU295" s="19" t="s">
        <v>87</v>
      </c>
    </row>
    <row r="296" spans="1:65" s="12" customFormat="1" ht="25.9" customHeight="1">
      <c r="B296" s="126"/>
      <c r="D296" s="127" t="s">
        <v>76</v>
      </c>
      <c r="E296" s="128" t="s">
        <v>313</v>
      </c>
      <c r="F296" s="128" t="s">
        <v>314</v>
      </c>
      <c r="I296" s="129"/>
      <c r="J296" s="130">
        <f>BK296</f>
        <v>0</v>
      </c>
      <c r="L296" s="126"/>
      <c r="M296" s="131"/>
      <c r="N296" s="132"/>
      <c r="O296" s="132"/>
      <c r="P296" s="133">
        <f>SUM(P297:P299)</f>
        <v>0</v>
      </c>
      <c r="Q296" s="132"/>
      <c r="R296" s="133">
        <f>SUM(R297:R299)</f>
        <v>0</v>
      </c>
      <c r="S296" s="132"/>
      <c r="T296" s="134">
        <f>SUM(T297:T299)</f>
        <v>0</v>
      </c>
      <c r="AR296" s="127" t="s">
        <v>185</v>
      </c>
      <c r="AT296" s="135" t="s">
        <v>76</v>
      </c>
      <c r="AU296" s="135" t="s">
        <v>77</v>
      </c>
      <c r="AY296" s="127" t="s">
        <v>177</v>
      </c>
      <c r="BK296" s="136">
        <f>SUM(BK297:BK299)</f>
        <v>0</v>
      </c>
    </row>
    <row r="297" spans="1:65" s="2" customFormat="1" ht="16.5" customHeight="1">
      <c r="A297" s="34"/>
      <c r="B297" s="139"/>
      <c r="C297" s="140" t="s">
        <v>1117</v>
      </c>
      <c r="D297" s="140" t="s">
        <v>180</v>
      </c>
      <c r="E297" s="141" t="s">
        <v>528</v>
      </c>
      <c r="F297" s="142" t="s">
        <v>529</v>
      </c>
      <c r="G297" s="143" t="s">
        <v>305</v>
      </c>
      <c r="H297" s="144">
        <v>100</v>
      </c>
      <c r="I297" s="145"/>
      <c r="J297" s="146">
        <f>ROUND(I297*H297,2)</f>
        <v>0</v>
      </c>
      <c r="K297" s="142" t="s">
        <v>184</v>
      </c>
      <c r="L297" s="35"/>
      <c r="M297" s="147" t="s">
        <v>3</v>
      </c>
      <c r="N297" s="148" t="s">
        <v>48</v>
      </c>
      <c r="O297" s="55"/>
      <c r="P297" s="149">
        <f>O297*H297</f>
        <v>0</v>
      </c>
      <c r="Q297" s="149">
        <v>0</v>
      </c>
      <c r="R297" s="149">
        <f>Q297*H297</f>
        <v>0</v>
      </c>
      <c r="S297" s="149">
        <v>0</v>
      </c>
      <c r="T297" s="150">
        <f>S297*H297</f>
        <v>0</v>
      </c>
      <c r="U297" s="34"/>
      <c r="V297" s="34"/>
      <c r="W297" s="34"/>
      <c r="X297" s="34"/>
      <c r="Y297" s="34"/>
      <c r="Z297" s="34"/>
      <c r="AA297" s="34"/>
      <c r="AB297" s="34"/>
      <c r="AC297" s="34"/>
      <c r="AD297" s="34"/>
      <c r="AE297" s="34"/>
      <c r="AR297" s="151" t="s">
        <v>318</v>
      </c>
      <c r="AT297" s="151" t="s">
        <v>180</v>
      </c>
      <c r="AU297" s="151" t="s">
        <v>85</v>
      </c>
      <c r="AY297" s="19" t="s">
        <v>177</v>
      </c>
      <c r="BE297" s="152">
        <f>IF(N297="základní",J297,0)</f>
        <v>0</v>
      </c>
      <c r="BF297" s="152">
        <f>IF(N297="snížená",J297,0)</f>
        <v>0</v>
      </c>
      <c r="BG297" s="152">
        <f>IF(N297="zákl. přenesená",J297,0)</f>
        <v>0</v>
      </c>
      <c r="BH297" s="152">
        <f>IF(N297="sníž. přenesená",J297,0)</f>
        <v>0</v>
      </c>
      <c r="BI297" s="152">
        <f>IF(N297="nulová",J297,0)</f>
        <v>0</v>
      </c>
      <c r="BJ297" s="19" t="s">
        <v>85</v>
      </c>
      <c r="BK297" s="152">
        <f>ROUND(I297*H297,2)</f>
        <v>0</v>
      </c>
      <c r="BL297" s="19" t="s">
        <v>318</v>
      </c>
      <c r="BM297" s="151" t="s">
        <v>1889</v>
      </c>
    </row>
    <row r="298" spans="1:65" s="2" customFormat="1">
      <c r="A298" s="34"/>
      <c r="B298" s="35"/>
      <c r="C298" s="34"/>
      <c r="D298" s="153" t="s">
        <v>187</v>
      </c>
      <c r="E298" s="34"/>
      <c r="F298" s="154" t="s">
        <v>531</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187</v>
      </c>
      <c r="AU298" s="19" t="s">
        <v>85</v>
      </c>
    </row>
    <row r="299" spans="1:65" s="2" customFormat="1">
      <c r="A299" s="34"/>
      <c r="B299" s="35"/>
      <c r="C299" s="34"/>
      <c r="D299" s="158" t="s">
        <v>189</v>
      </c>
      <c r="E299" s="34"/>
      <c r="F299" s="159" t="s">
        <v>532</v>
      </c>
      <c r="G299" s="34"/>
      <c r="H299" s="34"/>
      <c r="I299" s="155"/>
      <c r="J299" s="34"/>
      <c r="K299" s="34"/>
      <c r="L299" s="35"/>
      <c r="M299" s="205"/>
      <c r="N299" s="206"/>
      <c r="O299" s="207"/>
      <c r="P299" s="207"/>
      <c r="Q299" s="207"/>
      <c r="R299" s="207"/>
      <c r="S299" s="207"/>
      <c r="T299" s="208"/>
      <c r="U299" s="34"/>
      <c r="V299" s="34"/>
      <c r="W299" s="34"/>
      <c r="X299" s="34"/>
      <c r="Y299" s="34"/>
      <c r="Z299" s="34"/>
      <c r="AA299" s="34"/>
      <c r="AB299" s="34"/>
      <c r="AC299" s="34"/>
      <c r="AD299" s="34"/>
      <c r="AE299" s="34"/>
      <c r="AT299" s="19" t="s">
        <v>189</v>
      </c>
      <c r="AU299" s="19" t="s">
        <v>85</v>
      </c>
    </row>
    <row r="300" spans="1:65" s="2" customFormat="1" ht="6.95" customHeight="1">
      <c r="A300" s="34"/>
      <c r="B300" s="44"/>
      <c r="C300" s="45"/>
      <c r="D300" s="45"/>
      <c r="E300" s="45"/>
      <c r="F300" s="45"/>
      <c r="G300" s="45"/>
      <c r="H300" s="45"/>
      <c r="I300" s="45"/>
      <c r="J300" s="45"/>
      <c r="K300" s="45"/>
      <c r="L300" s="35"/>
      <c r="M300" s="34"/>
      <c r="O300" s="34"/>
      <c r="P300" s="34"/>
      <c r="Q300" s="34"/>
      <c r="R300" s="34"/>
      <c r="S300" s="34"/>
      <c r="T300" s="34"/>
      <c r="U300" s="34"/>
      <c r="V300" s="34"/>
      <c r="W300" s="34"/>
      <c r="X300" s="34"/>
      <c r="Y300" s="34"/>
      <c r="Z300" s="34"/>
      <c r="AA300" s="34"/>
      <c r="AB300" s="34"/>
      <c r="AC300" s="34"/>
      <c r="AD300" s="34"/>
      <c r="AE300" s="34"/>
    </row>
  </sheetData>
  <autoFilter ref="C86:K299"/>
  <mergeCells count="9">
    <mergeCell ref="E50:H50"/>
    <mergeCell ref="E77:H77"/>
    <mergeCell ref="E79:H79"/>
    <mergeCell ref="L2:V2"/>
    <mergeCell ref="E7:H7"/>
    <mergeCell ref="E9:H9"/>
    <mergeCell ref="E18:H18"/>
    <mergeCell ref="E27:H27"/>
    <mergeCell ref="E48:H48"/>
  </mergeCells>
  <hyperlinks>
    <hyperlink ref="F92" r:id="rId1"/>
    <hyperlink ref="F98" r:id="rId2"/>
    <hyperlink ref="F102" r:id="rId3"/>
    <hyperlink ref="F106" r:id="rId4"/>
    <hyperlink ref="F111" r:id="rId5"/>
    <hyperlink ref="F117" r:id="rId6"/>
    <hyperlink ref="F121" r:id="rId7"/>
    <hyperlink ref="F127" r:id="rId8"/>
    <hyperlink ref="F133" r:id="rId9"/>
    <hyperlink ref="F139" r:id="rId10"/>
    <hyperlink ref="F143" r:id="rId11"/>
    <hyperlink ref="F146" r:id="rId12"/>
    <hyperlink ref="F151" r:id="rId13"/>
    <hyperlink ref="F158" r:id="rId14"/>
    <hyperlink ref="F165" r:id="rId15"/>
    <hyperlink ref="F176" r:id="rId16"/>
    <hyperlink ref="F182" r:id="rId17"/>
    <hyperlink ref="F190" r:id="rId18"/>
    <hyperlink ref="F202" r:id="rId19"/>
    <hyperlink ref="F206" r:id="rId20"/>
    <hyperlink ref="F210" r:id="rId21"/>
    <hyperlink ref="F214" r:id="rId22"/>
    <hyperlink ref="F218" r:id="rId23"/>
    <hyperlink ref="F224" r:id="rId24"/>
    <hyperlink ref="F230" r:id="rId25"/>
    <hyperlink ref="F234" r:id="rId26"/>
    <hyperlink ref="F238" r:id="rId27"/>
    <hyperlink ref="F242" r:id="rId28"/>
    <hyperlink ref="F251" r:id="rId29"/>
    <hyperlink ref="F261" r:id="rId30"/>
    <hyperlink ref="F265" r:id="rId31"/>
    <hyperlink ref="F270" r:id="rId32"/>
    <hyperlink ref="F274" r:id="rId33"/>
    <hyperlink ref="F279" r:id="rId34"/>
    <hyperlink ref="F284" r:id="rId35"/>
    <hyperlink ref="F290" r:id="rId36"/>
    <hyperlink ref="F294" r:id="rId37"/>
    <hyperlink ref="F299" r:id="rId38"/>
  </hyperlinks>
  <pageMargins left="0.39374999999999999" right="0.39374999999999999" top="0.39374999999999999" bottom="0.39374999999999999" header="0" footer="0"/>
  <pageSetup paperSize="9" scale="84" fitToHeight="100" orientation="landscape" blackAndWhite="1" r:id="rId39"/>
  <headerFooter>
    <oddFooter>&amp;CStrana &amp;P z &amp;N</oddFooter>
  </headerFooter>
  <drawing r:id="rId4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5"/>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117</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1890</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ROUND(J91,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ROUND((SUM(BE91:BE374)),  2)</f>
        <v>0</v>
      </c>
      <c r="G33" s="34"/>
      <c r="H33" s="34"/>
      <c r="I33" s="98">
        <v>0.21</v>
      </c>
      <c r="J33" s="97">
        <f>ROUND(((SUM(BE91:BE374))*I33),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ROUND((SUM(BF91:BF374)),  2)</f>
        <v>0</v>
      </c>
      <c r="G34" s="34"/>
      <c r="H34" s="34"/>
      <c r="I34" s="98">
        <v>0.15</v>
      </c>
      <c r="J34" s="97">
        <f>ROUND(((SUM(BF91:BF374))*I34),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ROUND((SUM(BG91:BG374)),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ROUND((SUM(BH91:BH374)),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ROUND((SUM(BI91:BI374)),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E11 - Hrubá stavba nové dispozice 1. NP</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J91</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J92</f>
        <v>0</v>
      </c>
      <c r="L60" s="108"/>
    </row>
    <row r="61" spans="1:47" s="10" customFormat="1" ht="19.899999999999999" customHeight="1">
      <c r="B61" s="112"/>
      <c r="D61" s="113" t="s">
        <v>546</v>
      </c>
      <c r="E61" s="114"/>
      <c r="F61" s="114"/>
      <c r="G61" s="114"/>
      <c r="H61" s="114"/>
      <c r="I61" s="114"/>
      <c r="J61" s="115">
        <f>J93</f>
        <v>0</v>
      </c>
      <c r="L61" s="112"/>
    </row>
    <row r="62" spans="1:47" s="10" customFormat="1" ht="19.899999999999999" customHeight="1">
      <c r="B62" s="112"/>
      <c r="D62" s="113" t="s">
        <v>1570</v>
      </c>
      <c r="E62" s="114"/>
      <c r="F62" s="114"/>
      <c r="G62" s="114"/>
      <c r="H62" s="114"/>
      <c r="I62" s="114"/>
      <c r="J62" s="115">
        <f>J145</f>
        <v>0</v>
      </c>
      <c r="L62" s="112"/>
    </row>
    <row r="63" spans="1:47" s="10" customFormat="1" ht="14.85" customHeight="1">
      <c r="B63" s="112"/>
      <c r="D63" s="113" t="s">
        <v>1891</v>
      </c>
      <c r="E63" s="114"/>
      <c r="F63" s="114"/>
      <c r="G63" s="114"/>
      <c r="H63" s="114"/>
      <c r="I63" s="114"/>
      <c r="J63" s="115">
        <f>J185</f>
        <v>0</v>
      </c>
      <c r="L63" s="112"/>
    </row>
    <row r="64" spans="1:47" s="10" customFormat="1" ht="19.899999999999999" customHeight="1">
      <c r="B64" s="112"/>
      <c r="D64" s="113" t="s">
        <v>547</v>
      </c>
      <c r="E64" s="114"/>
      <c r="F64" s="114"/>
      <c r="G64" s="114"/>
      <c r="H64" s="114"/>
      <c r="I64" s="114"/>
      <c r="J64" s="115">
        <f>J229</f>
        <v>0</v>
      </c>
      <c r="L64" s="112"/>
    </row>
    <row r="65" spans="1:31" s="10" customFormat="1" ht="19.899999999999999" customHeight="1">
      <c r="B65" s="112"/>
      <c r="D65" s="113" t="s">
        <v>325</v>
      </c>
      <c r="E65" s="114"/>
      <c r="F65" s="114"/>
      <c r="G65" s="114"/>
      <c r="H65" s="114"/>
      <c r="I65" s="114"/>
      <c r="J65" s="115">
        <f>J282</f>
        <v>0</v>
      </c>
      <c r="L65" s="112"/>
    </row>
    <row r="66" spans="1:31" s="10" customFormat="1" ht="19.899999999999999" customHeight="1">
      <c r="B66" s="112"/>
      <c r="D66" s="113" t="s">
        <v>154</v>
      </c>
      <c r="E66" s="114"/>
      <c r="F66" s="114"/>
      <c r="G66" s="114"/>
      <c r="H66" s="114"/>
      <c r="I66" s="114"/>
      <c r="J66" s="115">
        <f>J306</f>
        <v>0</v>
      </c>
      <c r="L66" s="112"/>
    </row>
    <row r="67" spans="1:31" s="10" customFormat="1" ht="19.899999999999999" customHeight="1">
      <c r="B67" s="112"/>
      <c r="D67" s="113" t="s">
        <v>326</v>
      </c>
      <c r="E67" s="114"/>
      <c r="F67" s="114"/>
      <c r="G67" s="114"/>
      <c r="H67" s="114"/>
      <c r="I67" s="114"/>
      <c r="J67" s="115">
        <f>J329</f>
        <v>0</v>
      </c>
      <c r="L67" s="112"/>
    </row>
    <row r="68" spans="1:31" s="9" customFormat="1" ht="24.95" customHeight="1">
      <c r="B68" s="108"/>
      <c r="D68" s="109" t="s">
        <v>155</v>
      </c>
      <c r="E68" s="110"/>
      <c r="F68" s="110"/>
      <c r="G68" s="110"/>
      <c r="H68" s="110"/>
      <c r="I68" s="110"/>
      <c r="J68" s="111">
        <f>J334</f>
        <v>0</v>
      </c>
      <c r="L68" s="108"/>
    </row>
    <row r="69" spans="1:31" s="10" customFormat="1" ht="19.899999999999999" customHeight="1">
      <c r="B69" s="112"/>
      <c r="D69" s="113" t="s">
        <v>548</v>
      </c>
      <c r="E69" s="114"/>
      <c r="F69" s="114"/>
      <c r="G69" s="114"/>
      <c r="H69" s="114"/>
      <c r="I69" s="114"/>
      <c r="J69" s="115">
        <f>J335</f>
        <v>0</v>
      </c>
      <c r="L69" s="112"/>
    </row>
    <row r="70" spans="1:31" s="10" customFormat="1" ht="19.899999999999999" customHeight="1">
      <c r="B70" s="112"/>
      <c r="D70" s="113" t="s">
        <v>926</v>
      </c>
      <c r="E70" s="114"/>
      <c r="F70" s="114"/>
      <c r="G70" s="114"/>
      <c r="H70" s="114"/>
      <c r="I70" s="114"/>
      <c r="J70" s="115">
        <f>J353</f>
        <v>0</v>
      </c>
      <c r="L70" s="112"/>
    </row>
    <row r="71" spans="1:31" s="9" customFormat="1" ht="24.95" customHeight="1">
      <c r="B71" s="108"/>
      <c r="D71" s="109" t="s">
        <v>161</v>
      </c>
      <c r="E71" s="110"/>
      <c r="F71" s="110"/>
      <c r="G71" s="110"/>
      <c r="H71" s="110"/>
      <c r="I71" s="110"/>
      <c r="J71" s="111">
        <f>J371</f>
        <v>0</v>
      </c>
      <c r="L71" s="108"/>
    </row>
    <row r="72" spans="1:31" s="2" customFormat="1" ht="21.75" customHeight="1">
      <c r="A72" s="34"/>
      <c r="B72" s="35"/>
      <c r="C72" s="34"/>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6.95" customHeight="1">
      <c r="A73" s="34"/>
      <c r="B73" s="44"/>
      <c r="C73" s="45"/>
      <c r="D73" s="45"/>
      <c r="E73" s="45"/>
      <c r="F73" s="45"/>
      <c r="G73" s="45"/>
      <c r="H73" s="45"/>
      <c r="I73" s="45"/>
      <c r="J73" s="45"/>
      <c r="K73" s="45"/>
      <c r="L73" s="91"/>
      <c r="S73" s="34"/>
      <c r="T73" s="34"/>
      <c r="U73" s="34"/>
      <c r="V73" s="34"/>
      <c r="W73" s="34"/>
      <c r="X73" s="34"/>
      <c r="Y73" s="34"/>
      <c r="Z73" s="34"/>
      <c r="AA73" s="34"/>
      <c r="AB73" s="34"/>
      <c r="AC73" s="34"/>
      <c r="AD73" s="34"/>
      <c r="AE73" s="34"/>
    </row>
    <row r="77" spans="1:31" s="2" customFormat="1" ht="6.95" customHeight="1">
      <c r="A77" s="34"/>
      <c r="B77" s="46"/>
      <c r="C77" s="47"/>
      <c r="D77" s="47"/>
      <c r="E77" s="47"/>
      <c r="F77" s="47"/>
      <c r="G77" s="47"/>
      <c r="H77" s="47"/>
      <c r="I77" s="47"/>
      <c r="J77" s="47"/>
      <c r="K77" s="47"/>
      <c r="L77" s="91"/>
      <c r="S77" s="34"/>
      <c r="T77" s="34"/>
      <c r="U77" s="34"/>
      <c r="V77" s="34"/>
      <c r="W77" s="34"/>
      <c r="X77" s="34"/>
      <c r="Y77" s="34"/>
      <c r="Z77" s="34"/>
      <c r="AA77" s="34"/>
      <c r="AB77" s="34"/>
      <c r="AC77" s="34"/>
      <c r="AD77" s="34"/>
      <c r="AE77" s="34"/>
    </row>
    <row r="78" spans="1:31" s="2" customFormat="1" ht="24.95" customHeight="1">
      <c r="A78" s="34"/>
      <c r="B78" s="35"/>
      <c r="C78" s="23" t="s">
        <v>162</v>
      </c>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17</v>
      </c>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16.5" customHeight="1">
      <c r="A81" s="34"/>
      <c r="B81" s="35"/>
      <c r="C81" s="34"/>
      <c r="D81" s="34"/>
      <c r="E81" s="436" t="str">
        <f>E7</f>
        <v>ZŠ P. HOLÉHO - PŘESTAVBA PLAVECKÉHO PAVILONU</v>
      </c>
      <c r="F81" s="437"/>
      <c r="G81" s="437"/>
      <c r="H81" s="437"/>
      <c r="I81" s="34"/>
      <c r="J81" s="34"/>
      <c r="K81" s="34"/>
      <c r="L81" s="91"/>
      <c r="S81" s="34"/>
      <c r="T81" s="34"/>
      <c r="U81" s="34"/>
      <c r="V81" s="34"/>
      <c r="W81" s="34"/>
      <c r="X81" s="34"/>
      <c r="Y81" s="34"/>
      <c r="Z81" s="34"/>
      <c r="AA81" s="34"/>
      <c r="AB81" s="34"/>
      <c r="AC81" s="34"/>
      <c r="AD81" s="34"/>
      <c r="AE81" s="34"/>
    </row>
    <row r="82" spans="1:65" s="2" customFormat="1" ht="12" customHeight="1">
      <c r="A82" s="34"/>
      <c r="B82" s="35"/>
      <c r="C82" s="29" t="s">
        <v>146</v>
      </c>
      <c r="D82" s="34"/>
      <c r="E82" s="34"/>
      <c r="F82" s="34"/>
      <c r="G82" s="34"/>
      <c r="H82" s="34"/>
      <c r="I82" s="34"/>
      <c r="J82" s="34"/>
      <c r="K82" s="34"/>
      <c r="L82" s="91"/>
      <c r="S82" s="34"/>
      <c r="T82" s="34"/>
      <c r="U82" s="34"/>
      <c r="V82" s="34"/>
      <c r="W82" s="34"/>
      <c r="X82" s="34"/>
      <c r="Y82" s="34"/>
      <c r="Z82" s="34"/>
      <c r="AA82" s="34"/>
      <c r="AB82" s="34"/>
      <c r="AC82" s="34"/>
      <c r="AD82" s="34"/>
      <c r="AE82" s="34"/>
    </row>
    <row r="83" spans="1:65" s="2" customFormat="1" ht="16.5" customHeight="1">
      <c r="A83" s="34"/>
      <c r="B83" s="35"/>
      <c r="C83" s="34"/>
      <c r="D83" s="34"/>
      <c r="E83" s="432" t="str">
        <f>E9</f>
        <v>E11 - Hrubá stavba nové dispozice 1. NP</v>
      </c>
      <c r="F83" s="435"/>
      <c r="G83" s="435"/>
      <c r="H83" s="435"/>
      <c r="I83" s="34"/>
      <c r="J83" s="34"/>
      <c r="K83" s="34"/>
      <c r="L83" s="91"/>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2" customFormat="1" ht="12" customHeight="1">
      <c r="A85" s="34"/>
      <c r="B85" s="35"/>
      <c r="C85" s="29" t="s">
        <v>21</v>
      </c>
      <c r="D85" s="34"/>
      <c r="E85" s="34"/>
      <c r="F85" s="27" t="str">
        <f>F12</f>
        <v>Prokopa Holého 2632, Louny, 440 01</v>
      </c>
      <c r="G85" s="34"/>
      <c r="H85" s="34"/>
      <c r="I85" s="29" t="s">
        <v>23</v>
      </c>
      <c r="J85" s="52" t="str">
        <f>IF(J12="","",J12)</f>
        <v>21. 9. 2022</v>
      </c>
      <c r="K85" s="34"/>
      <c r="L85" s="91"/>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2" customFormat="1" ht="15.2" customHeight="1">
      <c r="A87" s="34"/>
      <c r="B87" s="35"/>
      <c r="C87" s="29" t="s">
        <v>25</v>
      </c>
      <c r="D87" s="34"/>
      <c r="E87" s="34"/>
      <c r="F87" s="27" t="str">
        <f>E15</f>
        <v>Město Louny</v>
      </c>
      <c r="G87" s="34"/>
      <c r="H87" s="34"/>
      <c r="I87" s="29" t="s">
        <v>32</v>
      </c>
      <c r="J87" s="32" t="str">
        <f>E21</f>
        <v>RYSIK Design s.r.o.</v>
      </c>
      <c r="K87" s="34"/>
      <c r="L87" s="91"/>
      <c r="S87" s="34"/>
      <c r="T87" s="34"/>
      <c r="U87" s="34"/>
      <c r="V87" s="34"/>
      <c r="W87" s="34"/>
      <c r="X87" s="34"/>
      <c r="Y87" s="34"/>
      <c r="Z87" s="34"/>
      <c r="AA87" s="34"/>
      <c r="AB87" s="34"/>
      <c r="AC87" s="34"/>
      <c r="AD87" s="34"/>
      <c r="AE87" s="34"/>
    </row>
    <row r="88" spans="1:65" s="2" customFormat="1" ht="25.7" customHeight="1">
      <c r="A88" s="34"/>
      <c r="B88" s="35"/>
      <c r="C88" s="29" t="s">
        <v>30</v>
      </c>
      <c r="D88" s="34"/>
      <c r="E88" s="34"/>
      <c r="F88" s="27" t="str">
        <f>IF(E18="","",E18)</f>
        <v>Vyplň údaj</v>
      </c>
      <c r="G88" s="34"/>
      <c r="H88" s="34"/>
      <c r="I88" s="29" t="s">
        <v>37</v>
      </c>
      <c r="J88" s="32" t="str">
        <f>E24</f>
        <v>ing. Kateřina Tumpachová</v>
      </c>
      <c r="K88" s="34"/>
      <c r="L88" s="91"/>
      <c r="S88" s="34"/>
      <c r="T88" s="34"/>
      <c r="U88" s="34"/>
      <c r="V88" s="34"/>
      <c r="W88" s="34"/>
      <c r="X88" s="34"/>
      <c r="Y88" s="34"/>
      <c r="Z88" s="34"/>
      <c r="AA88" s="34"/>
      <c r="AB88" s="34"/>
      <c r="AC88" s="34"/>
      <c r="AD88" s="34"/>
      <c r="AE88" s="34"/>
    </row>
    <row r="89" spans="1:65" s="2" customFormat="1" ht="10.35" customHeight="1">
      <c r="A89" s="34"/>
      <c r="B89" s="35"/>
      <c r="C89" s="34"/>
      <c r="D89" s="34"/>
      <c r="E89" s="34"/>
      <c r="F89" s="34"/>
      <c r="G89" s="34"/>
      <c r="H89" s="34"/>
      <c r="I89" s="34"/>
      <c r="J89" s="34"/>
      <c r="K89" s="34"/>
      <c r="L89" s="91"/>
      <c r="S89" s="34"/>
      <c r="T89" s="34"/>
      <c r="U89" s="34"/>
      <c r="V89" s="34"/>
      <c r="W89" s="34"/>
      <c r="X89" s="34"/>
      <c r="Y89" s="34"/>
      <c r="Z89" s="34"/>
      <c r="AA89" s="34"/>
      <c r="AB89" s="34"/>
      <c r="AC89" s="34"/>
      <c r="AD89" s="34"/>
      <c r="AE89" s="34"/>
    </row>
    <row r="90" spans="1:65" s="11" customFormat="1" ht="29.25" customHeight="1">
      <c r="A90" s="116"/>
      <c r="B90" s="117"/>
      <c r="C90" s="118" t="s">
        <v>163</v>
      </c>
      <c r="D90" s="119" t="s">
        <v>62</v>
      </c>
      <c r="E90" s="119" t="s">
        <v>58</v>
      </c>
      <c r="F90" s="119" t="s">
        <v>59</v>
      </c>
      <c r="G90" s="119" t="s">
        <v>164</v>
      </c>
      <c r="H90" s="119" t="s">
        <v>165</v>
      </c>
      <c r="I90" s="119" t="s">
        <v>166</v>
      </c>
      <c r="J90" s="119" t="s">
        <v>151</v>
      </c>
      <c r="K90" s="120" t="s">
        <v>167</v>
      </c>
      <c r="L90" s="121"/>
      <c r="M90" s="59" t="s">
        <v>3</v>
      </c>
      <c r="N90" s="60" t="s">
        <v>47</v>
      </c>
      <c r="O90" s="60" t="s">
        <v>168</v>
      </c>
      <c r="P90" s="60" t="s">
        <v>169</v>
      </c>
      <c r="Q90" s="60" t="s">
        <v>170</v>
      </c>
      <c r="R90" s="60" t="s">
        <v>171</v>
      </c>
      <c r="S90" s="60" t="s">
        <v>172</v>
      </c>
      <c r="T90" s="61" t="s">
        <v>173</v>
      </c>
      <c r="U90" s="116"/>
      <c r="V90" s="116"/>
      <c r="W90" s="116"/>
      <c r="X90" s="116"/>
      <c r="Y90" s="116"/>
      <c r="Z90" s="116"/>
      <c r="AA90" s="116"/>
      <c r="AB90" s="116"/>
      <c r="AC90" s="116"/>
      <c r="AD90" s="116"/>
      <c r="AE90" s="116"/>
    </row>
    <row r="91" spans="1:65" s="2" customFormat="1" ht="22.9" customHeight="1">
      <c r="A91" s="34"/>
      <c r="B91" s="35"/>
      <c r="C91" s="66" t="s">
        <v>174</v>
      </c>
      <c r="D91" s="34"/>
      <c r="E91" s="34"/>
      <c r="F91" s="34"/>
      <c r="G91" s="34"/>
      <c r="H91" s="34"/>
      <c r="I91" s="34"/>
      <c r="J91" s="122">
        <f>BK91</f>
        <v>0</v>
      </c>
      <c r="K91" s="34"/>
      <c r="L91" s="35"/>
      <c r="M91" s="62"/>
      <c r="N91" s="53"/>
      <c r="O91" s="63"/>
      <c r="P91" s="123">
        <f>P92+P334+P371</f>
        <v>0</v>
      </c>
      <c r="Q91" s="63"/>
      <c r="R91" s="123">
        <f>R92+R334+R371</f>
        <v>54.072024958580698</v>
      </c>
      <c r="S91" s="63"/>
      <c r="T91" s="124">
        <f>T92+T334+T371</f>
        <v>0.68300000000000005</v>
      </c>
      <c r="U91" s="34"/>
      <c r="V91" s="34"/>
      <c r="W91" s="34"/>
      <c r="X91" s="34"/>
      <c r="Y91" s="34"/>
      <c r="Z91" s="34"/>
      <c r="AA91" s="34"/>
      <c r="AB91" s="34"/>
      <c r="AC91" s="34"/>
      <c r="AD91" s="34"/>
      <c r="AE91" s="34"/>
      <c r="AT91" s="19" t="s">
        <v>76</v>
      </c>
      <c r="AU91" s="19" t="s">
        <v>152</v>
      </c>
      <c r="BK91" s="125">
        <f>BK92+BK334+BK371</f>
        <v>0</v>
      </c>
    </row>
    <row r="92" spans="1:65" s="12" customFormat="1" ht="25.9" customHeight="1">
      <c r="B92" s="126"/>
      <c r="D92" s="127" t="s">
        <v>76</v>
      </c>
      <c r="E92" s="128" t="s">
        <v>175</v>
      </c>
      <c r="F92" s="128" t="s">
        <v>176</v>
      </c>
      <c r="I92" s="129"/>
      <c r="J92" s="130">
        <f>BK92</f>
        <v>0</v>
      </c>
      <c r="L92" s="126"/>
      <c r="M92" s="131"/>
      <c r="N92" s="132"/>
      <c r="O92" s="132"/>
      <c r="P92" s="133">
        <f>P93+P145+P229+P282+P306+P329</f>
        <v>0</v>
      </c>
      <c r="Q92" s="132"/>
      <c r="R92" s="133">
        <f>R93+R145+R229+R282+R306+R329</f>
        <v>53.968957809555697</v>
      </c>
      <c r="S92" s="132"/>
      <c r="T92" s="134">
        <f>T93+T145+T229+T282+T306+T329</f>
        <v>0.68300000000000005</v>
      </c>
      <c r="AR92" s="127" t="s">
        <v>85</v>
      </c>
      <c r="AT92" s="135" t="s">
        <v>76</v>
      </c>
      <c r="AU92" s="135" t="s">
        <v>77</v>
      </c>
      <c r="AY92" s="127" t="s">
        <v>177</v>
      </c>
      <c r="BK92" s="136">
        <f>BK93+BK145+BK229+BK282+BK306+BK329</f>
        <v>0</v>
      </c>
    </row>
    <row r="93" spans="1:65" s="12" customFormat="1" ht="22.9" customHeight="1">
      <c r="B93" s="126"/>
      <c r="D93" s="127" t="s">
        <v>76</v>
      </c>
      <c r="E93" s="137" t="s">
        <v>198</v>
      </c>
      <c r="F93" s="137" t="s">
        <v>560</v>
      </c>
      <c r="I93" s="129"/>
      <c r="J93" s="138">
        <f>BK93</f>
        <v>0</v>
      </c>
      <c r="L93" s="126"/>
      <c r="M93" s="131"/>
      <c r="N93" s="132"/>
      <c r="O93" s="132"/>
      <c r="P93" s="133">
        <f>SUM(P94:P144)</f>
        <v>0</v>
      </c>
      <c r="Q93" s="132"/>
      <c r="R93" s="133">
        <f>SUM(R94:R144)</f>
        <v>23.296668790000002</v>
      </c>
      <c r="S93" s="132"/>
      <c r="T93" s="134">
        <f>SUM(T94:T144)</f>
        <v>0</v>
      </c>
      <c r="AR93" s="127" t="s">
        <v>85</v>
      </c>
      <c r="AT93" s="135" t="s">
        <v>76</v>
      </c>
      <c r="AU93" s="135" t="s">
        <v>85</v>
      </c>
      <c r="AY93" s="127" t="s">
        <v>177</v>
      </c>
      <c r="BK93" s="136">
        <f>SUM(BK94:BK144)</f>
        <v>0</v>
      </c>
    </row>
    <row r="94" spans="1:65" s="2" customFormat="1" ht="21.75" customHeight="1">
      <c r="A94" s="34"/>
      <c r="B94" s="139"/>
      <c r="C94" s="140" t="s">
        <v>85</v>
      </c>
      <c r="D94" s="140" t="s">
        <v>180</v>
      </c>
      <c r="E94" s="141" t="s">
        <v>1696</v>
      </c>
      <c r="F94" s="142" t="s">
        <v>1697</v>
      </c>
      <c r="G94" s="143" t="s">
        <v>332</v>
      </c>
      <c r="H94" s="144">
        <v>50.563000000000002</v>
      </c>
      <c r="I94" s="145"/>
      <c r="J94" s="146">
        <f>ROUND(I94*H94,2)</f>
        <v>0</v>
      </c>
      <c r="K94" s="142" t="s">
        <v>184</v>
      </c>
      <c r="L94" s="35"/>
      <c r="M94" s="147" t="s">
        <v>3</v>
      </c>
      <c r="N94" s="148" t="s">
        <v>48</v>
      </c>
      <c r="O94" s="55"/>
      <c r="P94" s="149">
        <f>O94*H94</f>
        <v>0</v>
      </c>
      <c r="Q94" s="149">
        <v>0.16991999999999999</v>
      </c>
      <c r="R94" s="149">
        <f>Q94*H94</f>
        <v>8.5916649599999992</v>
      </c>
      <c r="S94" s="149">
        <v>0</v>
      </c>
      <c r="T94" s="150">
        <f>S94*H94</f>
        <v>0</v>
      </c>
      <c r="U94" s="34"/>
      <c r="V94" s="34"/>
      <c r="W94" s="34"/>
      <c r="X94" s="34"/>
      <c r="Y94" s="34"/>
      <c r="Z94" s="34"/>
      <c r="AA94" s="34"/>
      <c r="AB94" s="34"/>
      <c r="AC94" s="34"/>
      <c r="AD94" s="34"/>
      <c r="AE94" s="34"/>
      <c r="AR94" s="151" t="s">
        <v>185</v>
      </c>
      <c r="AT94" s="151" t="s">
        <v>180</v>
      </c>
      <c r="AU94" s="151" t="s">
        <v>87</v>
      </c>
      <c r="AY94" s="19" t="s">
        <v>177</v>
      </c>
      <c r="BE94" s="152">
        <f>IF(N94="základní",J94,0)</f>
        <v>0</v>
      </c>
      <c r="BF94" s="152">
        <f>IF(N94="snížená",J94,0)</f>
        <v>0</v>
      </c>
      <c r="BG94" s="152">
        <f>IF(N94="zákl. přenesená",J94,0)</f>
        <v>0</v>
      </c>
      <c r="BH94" s="152">
        <f>IF(N94="sníž. přenesená",J94,0)</f>
        <v>0</v>
      </c>
      <c r="BI94" s="152">
        <f>IF(N94="nulová",J94,0)</f>
        <v>0</v>
      </c>
      <c r="BJ94" s="19" t="s">
        <v>85</v>
      </c>
      <c r="BK94" s="152">
        <f>ROUND(I94*H94,2)</f>
        <v>0</v>
      </c>
      <c r="BL94" s="19" t="s">
        <v>185</v>
      </c>
      <c r="BM94" s="151" t="s">
        <v>1892</v>
      </c>
    </row>
    <row r="95" spans="1:65" s="2" customFormat="1" ht="19.5">
      <c r="A95" s="34"/>
      <c r="B95" s="35"/>
      <c r="C95" s="34"/>
      <c r="D95" s="153" t="s">
        <v>187</v>
      </c>
      <c r="E95" s="34"/>
      <c r="F95" s="154" t="s">
        <v>1699</v>
      </c>
      <c r="G95" s="34"/>
      <c r="H95" s="34"/>
      <c r="I95" s="155"/>
      <c r="J95" s="34"/>
      <c r="K95" s="34"/>
      <c r="L95" s="35"/>
      <c r="M95" s="156"/>
      <c r="N95" s="157"/>
      <c r="O95" s="55"/>
      <c r="P95" s="55"/>
      <c r="Q95" s="55"/>
      <c r="R95" s="55"/>
      <c r="S95" s="55"/>
      <c r="T95" s="56"/>
      <c r="U95" s="34"/>
      <c r="V95" s="34"/>
      <c r="W95" s="34"/>
      <c r="X95" s="34"/>
      <c r="Y95" s="34"/>
      <c r="Z95" s="34"/>
      <c r="AA95" s="34"/>
      <c r="AB95" s="34"/>
      <c r="AC95" s="34"/>
      <c r="AD95" s="34"/>
      <c r="AE95" s="34"/>
      <c r="AT95" s="19" t="s">
        <v>187</v>
      </c>
      <c r="AU95" s="19" t="s">
        <v>87</v>
      </c>
    </row>
    <row r="96" spans="1:65" s="2" customFormat="1">
      <c r="A96" s="34"/>
      <c r="B96" s="35"/>
      <c r="C96" s="34"/>
      <c r="D96" s="158" t="s">
        <v>189</v>
      </c>
      <c r="E96" s="34"/>
      <c r="F96" s="159" t="s">
        <v>1700</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189</v>
      </c>
      <c r="AU96" s="19" t="s">
        <v>87</v>
      </c>
    </row>
    <row r="97" spans="1:65" s="13" customFormat="1">
      <c r="B97" s="161"/>
      <c r="D97" s="153" t="s">
        <v>193</v>
      </c>
      <c r="E97" s="162" t="s">
        <v>3</v>
      </c>
      <c r="F97" s="163" t="s">
        <v>1893</v>
      </c>
      <c r="H97" s="164">
        <v>60.238</v>
      </c>
      <c r="I97" s="165"/>
      <c r="L97" s="161"/>
      <c r="M97" s="166"/>
      <c r="N97" s="167"/>
      <c r="O97" s="167"/>
      <c r="P97" s="167"/>
      <c r="Q97" s="167"/>
      <c r="R97" s="167"/>
      <c r="S97" s="167"/>
      <c r="T97" s="168"/>
      <c r="AT97" s="162" t="s">
        <v>193</v>
      </c>
      <c r="AU97" s="162" t="s">
        <v>87</v>
      </c>
      <c r="AV97" s="13" t="s">
        <v>87</v>
      </c>
      <c r="AW97" s="13" t="s">
        <v>36</v>
      </c>
      <c r="AX97" s="13" t="s">
        <v>77</v>
      </c>
      <c r="AY97" s="162" t="s">
        <v>177</v>
      </c>
    </row>
    <row r="98" spans="1:65" s="13" customFormat="1">
      <c r="B98" s="161"/>
      <c r="D98" s="153" t="s">
        <v>193</v>
      </c>
      <c r="E98" s="162" t="s">
        <v>3</v>
      </c>
      <c r="F98" s="163" t="s">
        <v>1894</v>
      </c>
      <c r="H98" s="164">
        <v>-9.6750000000000007</v>
      </c>
      <c r="I98" s="165"/>
      <c r="L98" s="161"/>
      <c r="M98" s="166"/>
      <c r="N98" s="167"/>
      <c r="O98" s="167"/>
      <c r="P98" s="167"/>
      <c r="Q98" s="167"/>
      <c r="R98" s="167"/>
      <c r="S98" s="167"/>
      <c r="T98" s="168"/>
      <c r="AT98" s="162" t="s">
        <v>193</v>
      </c>
      <c r="AU98" s="162" t="s">
        <v>87</v>
      </c>
      <c r="AV98" s="13" t="s">
        <v>87</v>
      </c>
      <c r="AW98" s="13" t="s">
        <v>36</v>
      </c>
      <c r="AX98" s="13" t="s">
        <v>77</v>
      </c>
      <c r="AY98" s="162" t="s">
        <v>177</v>
      </c>
    </row>
    <row r="99" spans="1:65" s="16" customFormat="1">
      <c r="B99" s="184"/>
      <c r="D99" s="153" t="s">
        <v>193</v>
      </c>
      <c r="E99" s="185" t="s">
        <v>3</v>
      </c>
      <c r="F99" s="186" t="s">
        <v>201</v>
      </c>
      <c r="H99" s="187">
        <v>50.563000000000002</v>
      </c>
      <c r="I99" s="188"/>
      <c r="L99" s="184"/>
      <c r="M99" s="189"/>
      <c r="N99" s="190"/>
      <c r="O99" s="190"/>
      <c r="P99" s="190"/>
      <c r="Q99" s="190"/>
      <c r="R99" s="190"/>
      <c r="S99" s="190"/>
      <c r="T99" s="191"/>
      <c r="AT99" s="185" t="s">
        <v>193</v>
      </c>
      <c r="AU99" s="185" t="s">
        <v>87</v>
      </c>
      <c r="AV99" s="16" t="s">
        <v>185</v>
      </c>
      <c r="AW99" s="16" t="s">
        <v>36</v>
      </c>
      <c r="AX99" s="16" t="s">
        <v>85</v>
      </c>
      <c r="AY99" s="185" t="s">
        <v>177</v>
      </c>
    </row>
    <row r="100" spans="1:65" s="2" customFormat="1" ht="21.75" customHeight="1">
      <c r="A100" s="34"/>
      <c r="B100" s="139"/>
      <c r="C100" s="140" t="s">
        <v>87</v>
      </c>
      <c r="D100" s="140" t="s">
        <v>180</v>
      </c>
      <c r="E100" s="141" t="s">
        <v>1710</v>
      </c>
      <c r="F100" s="142" t="s">
        <v>1711</v>
      </c>
      <c r="G100" s="143" t="s">
        <v>236</v>
      </c>
      <c r="H100" s="144">
        <v>6</v>
      </c>
      <c r="I100" s="145"/>
      <c r="J100" s="146">
        <f>ROUND(I100*H100,2)</f>
        <v>0</v>
      </c>
      <c r="K100" s="142" t="s">
        <v>184</v>
      </c>
      <c r="L100" s="35"/>
      <c r="M100" s="147" t="s">
        <v>3</v>
      </c>
      <c r="N100" s="148" t="s">
        <v>48</v>
      </c>
      <c r="O100" s="55"/>
      <c r="P100" s="149">
        <f>O100*H100</f>
        <v>0</v>
      </c>
      <c r="Q100" s="149">
        <v>2.0209999999999999E-2</v>
      </c>
      <c r="R100" s="149">
        <f>Q100*H100</f>
        <v>0.12125999999999999</v>
      </c>
      <c r="S100" s="149">
        <v>0</v>
      </c>
      <c r="T100" s="150">
        <f>S100*H100</f>
        <v>0</v>
      </c>
      <c r="U100" s="34"/>
      <c r="V100" s="34"/>
      <c r="W100" s="34"/>
      <c r="X100" s="34"/>
      <c r="Y100" s="34"/>
      <c r="Z100" s="34"/>
      <c r="AA100" s="34"/>
      <c r="AB100" s="34"/>
      <c r="AC100" s="34"/>
      <c r="AD100" s="34"/>
      <c r="AE100" s="34"/>
      <c r="AR100" s="151" t="s">
        <v>185</v>
      </c>
      <c r="AT100" s="151" t="s">
        <v>180</v>
      </c>
      <c r="AU100" s="151" t="s">
        <v>87</v>
      </c>
      <c r="AY100" s="19" t="s">
        <v>177</v>
      </c>
      <c r="BE100" s="152">
        <f>IF(N100="základní",J100,0)</f>
        <v>0</v>
      </c>
      <c r="BF100" s="152">
        <f>IF(N100="snížená",J100,0)</f>
        <v>0</v>
      </c>
      <c r="BG100" s="152">
        <f>IF(N100="zákl. přenesená",J100,0)</f>
        <v>0</v>
      </c>
      <c r="BH100" s="152">
        <f>IF(N100="sníž. přenesená",J100,0)</f>
        <v>0</v>
      </c>
      <c r="BI100" s="152">
        <f>IF(N100="nulová",J100,0)</f>
        <v>0</v>
      </c>
      <c r="BJ100" s="19" t="s">
        <v>85</v>
      </c>
      <c r="BK100" s="152">
        <f>ROUND(I100*H100,2)</f>
        <v>0</v>
      </c>
      <c r="BL100" s="19" t="s">
        <v>185</v>
      </c>
      <c r="BM100" s="151" t="s">
        <v>1895</v>
      </c>
    </row>
    <row r="101" spans="1:65" s="2" customFormat="1" ht="19.5">
      <c r="A101" s="34"/>
      <c r="B101" s="35"/>
      <c r="C101" s="34"/>
      <c r="D101" s="153" t="s">
        <v>187</v>
      </c>
      <c r="E101" s="34"/>
      <c r="F101" s="154" t="s">
        <v>1713</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187</v>
      </c>
      <c r="AU101" s="19" t="s">
        <v>87</v>
      </c>
    </row>
    <row r="102" spans="1:65" s="2" customFormat="1">
      <c r="A102" s="34"/>
      <c r="B102" s="35"/>
      <c r="C102" s="34"/>
      <c r="D102" s="158" t="s">
        <v>189</v>
      </c>
      <c r="E102" s="34"/>
      <c r="F102" s="159" t="s">
        <v>1714</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189</v>
      </c>
      <c r="AU102" s="19" t="s">
        <v>87</v>
      </c>
    </row>
    <row r="103" spans="1:65" s="2" customFormat="1" ht="29.25">
      <c r="A103" s="34"/>
      <c r="B103" s="35"/>
      <c r="C103" s="34"/>
      <c r="D103" s="153" t="s">
        <v>191</v>
      </c>
      <c r="E103" s="34"/>
      <c r="F103" s="160" t="s">
        <v>1709</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191</v>
      </c>
      <c r="AU103" s="19" t="s">
        <v>87</v>
      </c>
    </row>
    <row r="104" spans="1:65" s="2" customFormat="1" ht="21.75" customHeight="1">
      <c r="A104" s="34"/>
      <c r="B104" s="139"/>
      <c r="C104" s="140" t="s">
        <v>198</v>
      </c>
      <c r="D104" s="140" t="s">
        <v>180</v>
      </c>
      <c r="E104" s="141" t="s">
        <v>1715</v>
      </c>
      <c r="F104" s="142" t="s">
        <v>1716</v>
      </c>
      <c r="G104" s="143" t="s">
        <v>236</v>
      </c>
      <c r="H104" s="144">
        <v>5</v>
      </c>
      <c r="I104" s="145"/>
      <c r="J104" s="146">
        <f>ROUND(I104*H104,2)</f>
        <v>0</v>
      </c>
      <c r="K104" s="142" t="s">
        <v>184</v>
      </c>
      <c r="L104" s="35"/>
      <c r="M104" s="147" t="s">
        <v>3</v>
      </c>
      <c r="N104" s="148" t="s">
        <v>48</v>
      </c>
      <c r="O104" s="55"/>
      <c r="P104" s="149">
        <f>O104*H104</f>
        <v>0</v>
      </c>
      <c r="Q104" s="149">
        <v>3.9629999999999999E-2</v>
      </c>
      <c r="R104" s="149">
        <f>Q104*H104</f>
        <v>0.19814999999999999</v>
      </c>
      <c r="S104" s="149">
        <v>0</v>
      </c>
      <c r="T104" s="150">
        <f>S104*H104</f>
        <v>0</v>
      </c>
      <c r="U104" s="34"/>
      <c r="V104" s="34"/>
      <c r="W104" s="34"/>
      <c r="X104" s="34"/>
      <c r="Y104" s="34"/>
      <c r="Z104" s="34"/>
      <c r="AA104" s="34"/>
      <c r="AB104" s="34"/>
      <c r="AC104" s="34"/>
      <c r="AD104" s="34"/>
      <c r="AE104" s="34"/>
      <c r="AR104" s="151" t="s">
        <v>185</v>
      </c>
      <c r="AT104" s="151" t="s">
        <v>180</v>
      </c>
      <c r="AU104" s="151" t="s">
        <v>87</v>
      </c>
      <c r="AY104" s="19" t="s">
        <v>177</v>
      </c>
      <c r="BE104" s="152">
        <f>IF(N104="základní",J104,0)</f>
        <v>0</v>
      </c>
      <c r="BF104" s="152">
        <f>IF(N104="snížená",J104,0)</f>
        <v>0</v>
      </c>
      <c r="BG104" s="152">
        <f>IF(N104="zákl. přenesená",J104,0)</f>
        <v>0</v>
      </c>
      <c r="BH104" s="152">
        <f>IF(N104="sníž. přenesená",J104,0)</f>
        <v>0</v>
      </c>
      <c r="BI104" s="152">
        <f>IF(N104="nulová",J104,0)</f>
        <v>0</v>
      </c>
      <c r="BJ104" s="19" t="s">
        <v>85</v>
      </c>
      <c r="BK104" s="152">
        <f>ROUND(I104*H104,2)</f>
        <v>0</v>
      </c>
      <c r="BL104" s="19" t="s">
        <v>185</v>
      </c>
      <c r="BM104" s="151" t="s">
        <v>1896</v>
      </c>
    </row>
    <row r="105" spans="1:65" s="2" customFormat="1" ht="19.5">
      <c r="A105" s="34"/>
      <c r="B105" s="35"/>
      <c r="C105" s="34"/>
      <c r="D105" s="153" t="s">
        <v>187</v>
      </c>
      <c r="E105" s="34"/>
      <c r="F105" s="154" t="s">
        <v>1718</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187</v>
      </c>
      <c r="AU105" s="19" t="s">
        <v>87</v>
      </c>
    </row>
    <row r="106" spans="1:65" s="2" customFormat="1">
      <c r="A106" s="34"/>
      <c r="B106" s="35"/>
      <c r="C106" s="34"/>
      <c r="D106" s="158" t="s">
        <v>189</v>
      </c>
      <c r="E106" s="34"/>
      <c r="F106" s="159" t="s">
        <v>1719</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189</v>
      </c>
      <c r="AU106" s="19" t="s">
        <v>87</v>
      </c>
    </row>
    <row r="107" spans="1:65" s="2" customFormat="1" ht="29.25">
      <c r="A107" s="34"/>
      <c r="B107" s="35"/>
      <c r="C107" s="34"/>
      <c r="D107" s="153" t="s">
        <v>191</v>
      </c>
      <c r="E107" s="34"/>
      <c r="F107" s="160" t="s">
        <v>1709</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191</v>
      </c>
      <c r="AU107" s="19" t="s">
        <v>87</v>
      </c>
    </row>
    <row r="108" spans="1:65" s="2" customFormat="1" ht="16.5" customHeight="1">
      <c r="A108" s="34"/>
      <c r="B108" s="139"/>
      <c r="C108" s="140" t="s">
        <v>185</v>
      </c>
      <c r="D108" s="140" t="s">
        <v>180</v>
      </c>
      <c r="E108" s="141" t="s">
        <v>1720</v>
      </c>
      <c r="F108" s="142" t="s">
        <v>1721</v>
      </c>
      <c r="G108" s="143" t="s">
        <v>236</v>
      </c>
      <c r="H108" s="144">
        <v>3</v>
      </c>
      <c r="I108" s="145"/>
      <c r="J108" s="146">
        <f>ROUND(I108*H108,2)</f>
        <v>0</v>
      </c>
      <c r="K108" s="142" t="s">
        <v>184</v>
      </c>
      <c r="L108" s="35"/>
      <c r="M108" s="147" t="s">
        <v>3</v>
      </c>
      <c r="N108" s="148" t="s">
        <v>48</v>
      </c>
      <c r="O108" s="55"/>
      <c r="P108" s="149">
        <f>O108*H108</f>
        <v>0</v>
      </c>
      <c r="Q108" s="149">
        <v>0.10931</v>
      </c>
      <c r="R108" s="149">
        <f>Q108*H108</f>
        <v>0.32793</v>
      </c>
      <c r="S108" s="149">
        <v>0</v>
      </c>
      <c r="T108" s="150">
        <f>S108*H108</f>
        <v>0</v>
      </c>
      <c r="U108" s="34"/>
      <c r="V108" s="34"/>
      <c r="W108" s="34"/>
      <c r="X108" s="34"/>
      <c r="Y108" s="34"/>
      <c r="Z108" s="34"/>
      <c r="AA108" s="34"/>
      <c r="AB108" s="34"/>
      <c r="AC108" s="34"/>
      <c r="AD108" s="34"/>
      <c r="AE108" s="34"/>
      <c r="AR108" s="151" t="s">
        <v>185</v>
      </c>
      <c r="AT108" s="151" t="s">
        <v>180</v>
      </c>
      <c r="AU108" s="151" t="s">
        <v>87</v>
      </c>
      <c r="AY108" s="19" t="s">
        <v>177</v>
      </c>
      <c r="BE108" s="152">
        <f>IF(N108="základní",J108,0)</f>
        <v>0</v>
      </c>
      <c r="BF108" s="152">
        <f>IF(N108="snížená",J108,0)</f>
        <v>0</v>
      </c>
      <c r="BG108" s="152">
        <f>IF(N108="zákl. přenesená",J108,0)</f>
        <v>0</v>
      </c>
      <c r="BH108" s="152">
        <f>IF(N108="sníž. přenesená",J108,0)</f>
        <v>0</v>
      </c>
      <c r="BI108" s="152">
        <f>IF(N108="nulová",J108,0)</f>
        <v>0</v>
      </c>
      <c r="BJ108" s="19" t="s">
        <v>85</v>
      </c>
      <c r="BK108" s="152">
        <f>ROUND(I108*H108,2)</f>
        <v>0</v>
      </c>
      <c r="BL108" s="19" t="s">
        <v>185</v>
      </c>
      <c r="BM108" s="151" t="s">
        <v>1897</v>
      </c>
    </row>
    <row r="109" spans="1:65" s="2" customFormat="1">
      <c r="A109" s="34"/>
      <c r="B109" s="35"/>
      <c r="C109" s="34"/>
      <c r="D109" s="153" t="s">
        <v>187</v>
      </c>
      <c r="E109" s="34"/>
      <c r="F109" s="154" t="s">
        <v>1723</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187</v>
      </c>
      <c r="AU109" s="19" t="s">
        <v>87</v>
      </c>
    </row>
    <row r="110" spans="1:65" s="2" customFormat="1">
      <c r="A110" s="34"/>
      <c r="B110" s="35"/>
      <c r="C110" s="34"/>
      <c r="D110" s="158" t="s">
        <v>189</v>
      </c>
      <c r="E110" s="34"/>
      <c r="F110" s="159" t="s">
        <v>1724</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189</v>
      </c>
      <c r="AU110" s="19" t="s">
        <v>87</v>
      </c>
    </row>
    <row r="111" spans="1:65" s="2" customFormat="1" ht="29.25">
      <c r="A111" s="34"/>
      <c r="B111" s="35"/>
      <c r="C111" s="34"/>
      <c r="D111" s="153" t="s">
        <v>191</v>
      </c>
      <c r="E111" s="34"/>
      <c r="F111" s="160" t="s">
        <v>1725</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191</v>
      </c>
      <c r="AU111" s="19" t="s">
        <v>87</v>
      </c>
    </row>
    <row r="112" spans="1:65" s="2" customFormat="1" ht="16.5" customHeight="1">
      <c r="A112" s="34"/>
      <c r="B112" s="139"/>
      <c r="C112" s="140" t="s">
        <v>200</v>
      </c>
      <c r="D112" s="140" t="s">
        <v>180</v>
      </c>
      <c r="E112" s="141" t="s">
        <v>1898</v>
      </c>
      <c r="F112" s="142" t="s">
        <v>1899</v>
      </c>
      <c r="G112" s="143" t="s">
        <v>332</v>
      </c>
      <c r="H112" s="144">
        <v>5.25</v>
      </c>
      <c r="I112" s="145"/>
      <c r="J112" s="146">
        <f>ROUND(I112*H112,2)</f>
        <v>0</v>
      </c>
      <c r="K112" s="142" t="s">
        <v>184</v>
      </c>
      <c r="L112" s="35"/>
      <c r="M112" s="147" t="s">
        <v>3</v>
      </c>
      <c r="N112" s="148" t="s">
        <v>48</v>
      </c>
      <c r="O112" s="55"/>
      <c r="P112" s="149">
        <f>O112*H112</f>
        <v>0</v>
      </c>
      <c r="Q112" s="149">
        <v>0.3206</v>
      </c>
      <c r="R112" s="149">
        <f>Q112*H112</f>
        <v>1.6831499999999999</v>
      </c>
      <c r="S112" s="149">
        <v>0</v>
      </c>
      <c r="T112" s="150">
        <f>S112*H112</f>
        <v>0</v>
      </c>
      <c r="U112" s="34"/>
      <c r="V112" s="34"/>
      <c r="W112" s="34"/>
      <c r="X112" s="34"/>
      <c r="Y112" s="34"/>
      <c r="Z112" s="34"/>
      <c r="AA112" s="34"/>
      <c r="AB112" s="34"/>
      <c r="AC112" s="34"/>
      <c r="AD112" s="34"/>
      <c r="AE112" s="34"/>
      <c r="AR112" s="151" t="s">
        <v>185</v>
      </c>
      <c r="AT112" s="151" t="s">
        <v>180</v>
      </c>
      <c r="AU112" s="151" t="s">
        <v>87</v>
      </c>
      <c r="AY112" s="19" t="s">
        <v>177</v>
      </c>
      <c r="BE112" s="152">
        <f>IF(N112="základní",J112,0)</f>
        <v>0</v>
      </c>
      <c r="BF112" s="152">
        <f>IF(N112="snížená",J112,0)</f>
        <v>0</v>
      </c>
      <c r="BG112" s="152">
        <f>IF(N112="zákl. přenesená",J112,0)</f>
        <v>0</v>
      </c>
      <c r="BH112" s="152">
        <f>IF(N112="sníž. přenesená",J112,0)</f>
        <v>0</v>
      </c>
      <c r="BI112" s="152">
        <f>IF(N112="nulová",J112,0)</f>
        <v>0</v>
      </c>
      <c r="BJ112" s="19" t="s">
        <v>85</v>
      </c>
      <c r="BK112" s="152">
        <f>ROUND(I112*H112,2)</f>
        <v>0</v>
      </c>
      <c r="BL112" s="19" t="s">
        <v>185</v>
      </c>
      <c r="BM112" s="151" t="s">
        <v>1900</v>
      </c>
    </row>
    <row r="113" spans="1:65" s="2" customFormat="1" ht="19.5">
      <c r="A113" s="34"/>
      <c r="B113" s="35"/>
      <c r="C113" s="34"/>
      <c r="D113" s="153" t="s">
        <v>187</v>
      </c>
      <c r="E113" s="34"/>
      <c r="F113" s="154" t="s">
        <v>1901</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187</v>
      </c>
      <c r="AU113" s="19" t="s">
        <v>87</v>
      </c>
    </row>
    <row r="114" spans="1:65" s="2" customFormat="1">
      <c r="A114" s="34"/>
      <c r="B114" s="35"/>
      <c r="C114" s="34"/>
      <c r="D114" s="158" t="s">
        <v>189</v>
      </c>
      <c r="E114" s="34"/>
      <c r="F114" s="159" t="s">
        <v>1902</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189</v>
      </c>
      <c r="AU114" s="19" t="s">
        <v>87</v>
      </c>
    </row>
    <row r="115" spans="1:65" s="14" customFormat="1">
      <c r="B115" s="169"/>
      <c r="D115" s="153" t="s">
        <v>193</v>
      </c>
      <c r="E115" s="170" t="s">
        <v>3</v>
      </c>
      <c r="F115" s="171" t="s">
        <v>187</v>
      </c>
      <c r="H115" s="170" t="s">
        <v>3</v>
      </c>
      <c r="I115" s="172"/>
      <c r="L115" s="169"/>
      <c r="M115" s="173"/>
      <c r="N115" s="174"/>
      <c r="O115" s="174"/>
      <c r="P115" s="174"/>
      <c r="Q115" s="174"/>
      <c r="R115" s="174"/>
      <c r="S115" s="174"/>
      <c r="T115" s="175"/>
      <c r="AT115" s="170" t="s">
        <v>193</v>
      </c>
      <c r="AU115" s="170" t="s">
        <v>87</v>
      </c>
      <c r="AV115" s="14" t="s">
        <v>85</v>
      </c>
      <c r="AW115" s="14" t="s">
        <v>36</v>
      </c>
      <c r="AX115" s="14" t="s">
        <v>77</v>
      </c>
      <c r="AY115" s="170" t="s">
        <v>177</v>
      </c>
    </row>
    <row r="116" spans="1:65" s="14" customFormat="1">
      <c r="B116" s="169"/>
      <c r="D116" s="153" t="s">
        <v>193</v>
      </c>
      <c r="E116" s="170" t="s">
        <v>3</v>
      </c>
      <c r="F116" s="171" t="s">
        <v>1903</v>
      </c>
      <c r="H116" s="170" t="s">
        <v>3</v>
      </c>
      <c r="I116" s="172"/>
      <c r="L116" s="169"/>
      <c r="M116" s="173"/>
      <c r="N116" s="174"/>
      <c r="O116" s="174"/>
      <c r="P116" s="174"/>
      <c r="Q116" s="174"/>
      <c r="R116" s="174"/>
      <c r="S116" s="174"/>
      <c r="T116" s="175"/>
      <c r="AT116" s="170" t="s">
        <v>193</v>
      </c>
      <c r="AU116" s="170" t="s">
        <v>87</v>
      </c>
      <c r="AV116" s="14" t="s">
        <v>85</v>
      </c>
      <c r="AW116" s="14" t="s">
        <v>36</v>
      </c>
      <c r="AX116" s="14" t="s">
        <v>77</v>
      </c>
      <c r="AY116" s="170" t="s">
        <v>177</v>
      </c>
    </row>
    <row r="117" spans="1:65" s="13" customFormat="1">
      <c r="B117" s="161"/>
      <c r="D117" s="153" t="s">
        <v>193</v>
      </c>
      <c r="E117" s="162" t="s">
        <v>3</v>
      </c>
      <c r="F117" s="163" t="s">
        <v>1904</v>
      </c>
      <c r="H117" s="164">
        <v>5.25</v>
      </c>
      <c r="I117" s="165"/>
      <c r="L117" s="161"/>
      <c r="M117" s="166"/>
      <c r="N117" s="167"/>
      <c r="O117" s="167"/>
      <c r="P117" s="167"/>
      <c r="Q117" s="167"/>
      <c r="R117" s="167"/>
      <c r="S117" s="167"/>
      <c r="T117" s="168"/>
      <c r="AT117" s="162" t="s">
        <v>193</v>
      </c>
      <c r="AU117" s="162" t="s">
        <v>87</v>
      </c>
      <c r="AV117" s="13" t="s">
        <v>87</v>
      </c>
      <c r="AW117" s="13" t="s">
        <v>36</v>
      </c>
      <c r="AX117" s="13" t="s">
        <v>85</v>
      </c>
      <c r="AY117" s="162" t="s">
        <v>177</v>
      </c>
    </row>
    <row r="118" spans="1:65" s="2" customFormat="1" ht="16.5" customHeight="1">
      <c r="A118" s="34"/>
      <c r="B118" s="139"/>
      <c r="C118" s="140" t="s">
        <v>233</v>
      </c>
      <c r="D118" s="140" t="s">
        <v>180</v>
      </c>
      <c r="E118" s="141" t="s">
        <v>1727</v>
      </c>
      <c r="F118" s="142" t="s">
        <v>1728</v>
      </c>
      <c r="G118" s="143" t="s">
        <v>332</v>
      </c>
      <c r="H118" s="144">
        <v>65.394000000000005</v>
      </c>
      <c r="I118" s="145"/>
      <c r="J118" s="146">
        <f>ROUND(I118*H118,2)</f>
        <v>0</v>
      </c>
      <c r="K118" s="142" t="s">
        <v>184</v>
      </c>
      <c r="L118" s="35"/>
      <c r="M118" s="147" t="s">
        <v>3</v>
      </c>
      <c r="N118" s="148" t="s">
        <v>48</v>
      </c>
      <c r="O118" s="55"/>
      <c r="P118" s="149">
        <f>O118*H118</f>
        <v>0</v>
      </c>
      <c r="Q118" s="149">
        <v>5.2499999999999998E-2</v>
      </c>
      <c r="R118" s="149">
        <f>Q118*H118</f>
        <v>3.4331850000000004</v>
      </c>
      <c r="S118" s="149">
        <v>0</v>
      </c>
      <c r="T118" s="150">
        <f>S118*H118</f>
        <v>0</v>
      </c>
      <c r="U118" s="34"/>
      <c r="V118" s="34"/>
      <c r="W118" s="34"/>
      <c r="X118" s="34"/>
      <c r="Y118" s="34"/>
      <c r="Z118" s="34"/>
      <c r="AA118" s="34"/>
      <c r="AB118" s="34"/>
      <c r="AC118" s="34"/>
      <c r="AD118" s="34"/>
      <c r="AE118" s="34"/>
      <c r="AR118" s="151" t="s">
        <v>185</v>
      </c>
      <c r="AT118" s="151" t="s">
        <v>180</v>
      </c>
      <c r="AU118" s="151" t="s">
        <v>87</v>
      </c>
      <c r="AY118" s="19" t="s">
        <v>177</v>
      </c>
      <c r="BE118" s="152">
        <f>IF(N118="základní",J118,0)</f>
        <v>0</v>
      </c>
      <c r="BF118" s="152">
        <f>IF(N118="snížená",J118,0)</f>
        <v>0</v>
      </c>
      <c r="BG118" s="152">
        <f>IF(N118="zákl. přenesená",J118,0)</f>
        <v>0</v>
      </c>
      <c r="BH118" s="152">
        <f>IF(N118="sníž. přenesená",J118,0)</f>
        <v>0</v>
      </c>
      <c r="BI118" s="152">
        <f>IF(N118="nulová",J118,0)</f>
        <v>0</v>
      </c>
      <c r="BJ118" s="19" t="s">
        <v>85</v>
      </c>
      <c r="BK118" s="152">
        <f>ROUND(I118*H118,2)</f>
        <v>0</v>
      </c>
      <c r="BL118" s="19" t="s">
        <v>185</v>
      </c>
      <c r="BM118" s="151" t="s">
        <v>1905</v>
      </c>
    </row>
    <row r="119" spans="1:65" s="2" customFormat="1">
      <c r="A119" s="34"/>
      <c r="B119" s="35"/>
      <c r="C119" s="34"/>
      <c r="D119" s="153" t="s">
        <v>187</v>
      </c>
      <c r="E119" s="34"/>
      <c r="F119" s="154" t="s">
        <v>1730</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187</v>
      </c>
      <c r="AU119" s="19" t="s">
        <v>87</v>
      </c>
    </row>
    <row r="120" spans="1:65" s="2" customFormat="1">
      <c r="A120" s="34"/>
      <c r="B120" s="35"/>
      <c r="C120" s="34"/>
      <c r="D120" s="158" t="s">
        <v>189</v>
      </c>
      <c r="E120" s="34"/>
      <c r="F120" s="159" t="s">
        <v>1731</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189</v>
      </c>
      <c r="AU120" s="19" t="s">
        <v>87</v>
      </c>
    </row>
    <row r="121" spans="1:65" s="13" customFormat="1">
      <c r="B121" s="161"/>
      <c r="D121" s="153" t="s">
        <v>193</v>
      </c>
      <c r="E121" s="162" t="s">
        <v>3</v>
      </c>
      <c r="F121" s="163" t="s">
        <v>1906</v>
      </c>
      <c r="H121" s="164">
        <v>73.864999999999995</v>
      </c>
      <c r="I121" s="165"/>
      <c r="L121" s="161"/>
      <c r="M121" s="166"/>
      <c r="N121" s="167"/>
      <c r="O121" s="167"/>
      <c r="P121" s="167"/>
      <c r="Q121" s="167"/>
      <c r="R121" s="167"/>
      <c r="S121" s="167"/>
      <c r="T121" s="168"/>
      <c r="AT121" s="162" t="s">
        <v>193</v>
      </c>
      <c r="AU121" s="162" t="s">
        <v>87</v>
      </c>
      <c r="AV121" s="13" t="s">
        <v>87</v>
      </c>
      <c r="AW121" s="13" t="s">
        <v>36</v>
      </c>
      <c r="AX121" s="13" t="s">
        <v>77</v>
      </c>
      <c r="AY121" s="162" t="s">
        <v>177</v>
      </c>
    </row>
    <row r="122" spans="1:65" s="13" customFormat="1">
      <c r="B122" s="161"/>
      <c r="D122" s="153" t="s">
        <v>193</v>
      </c>
      <c r="E122" s="162" t="s">
        <v>3</v>
      </c>
      <c r="F122" s="163" t="s">
        <v>1907</v>
      </c>
      <c r="H122" s="164">
        <v>-1.5760000000000001</v>
      </c>
      <c r="I122" s="165"/>
      <c r="L122" s="161"/>
      <c r="M122" s="166"/>
      <c r="N122" s="167"/>
      <c r="O122" s="167"/>
      <c r="P122" s="167"/>
      <c r="Q122" s="167"/>
      <c r="R122" s="167"/>
      <c r="S122" s="167"/>
      <c r="T122" s="168"/>
      <c r="AT122" s="162" t="s">
        <v>193</v>
      </c>
      <c r="AU122" s="162" t="s">
        <v>87</v>
      </c>
      <c r="AV122" s="13" t="s">
        <v>87</v>
      </c>
      <c r="AW122" s="13" t="s">
        <v>36</v>
      </c>
      <c r="AX122" s="13" t="s">
        <v>77</v>
      </c>
      <c r="AY122" s="162" t="s">
        <v>177</v>
      </c>
    </row>
    <row r="123" spans="1:65" s="13" customFormat="1">
      <c r="B123" s="161"/>
      <c r="D123" s="153" t="s">
        <v>193</v>
      </c>
      <c r="E123" s="162" t="s">
        <v>3</v>
      </c>
      <c r="F123" s="163" t="s">
        <v>1734</v>
      </c>
      <c r="H123" s="164">
        <v>-6.8949999999999996</v>
      </c>
      <c r="I123" s="165"/>
      <c r="L123" s="161"/>
      <c r="M123" s="166"/>
      <c r="N123" s="167"/>
      <c r="O123" s="167"/>
      <c r="P123" s="167"/>
      <c r="Q123" s="167"/>
      <c r="R123" s="167"/>
      <c r="S123" s="167"/>
      <c r="T123" s="168"/>
      <c r="AT123" s="162" t="s">
        <v>193</v>
      </c>
      <c r="AU123" s="162" t="s">
        <v>87</v>
      </c>
      <c r="AV123" s="13" t="s">
        <v>87</v>
      </c>
      <c r="AW123" s="13" t="s">
        <v>36</v>
      </c>
      <c r="AX123" s="13" t="s">
        <v>77</v>
      </c>
      <c r="AY123" s="162" t="s">
        <v>177</v>
      </c>
    </row>
    <row r="124" spans="1:65" s="16" customFormat="1">
      <c r="B124" s="184"/>
      <c r="D124" s="153" t="s">
        <v>193</v>
      </c>
      <c r="E124" s="185" t="s">
        <v>3</v>
      </c>
      <c r="F124" s="186" t="s">
        <v>201</v>
      </c>
      <c r="H124" s="187">
        <v>65.394000000000005</v>
      </c>
      <c r="I124" s="188"/>
      <c r="L124" s="184"/>
      <c r="M124" s="189"/>
      <c r="N124" s="190"/>
      <c r="O124" s="190"/>
      <c r="P124" s="190"/>
      <c r="Q124" s="190"/>
      <c r="R124" s="190"/>
      <c r="S124" s="190"/>
      <c r="T124" s="191"/>
      <c r="AT124" s="185" t="s">
        <v>193</v>
      </c>
      <c r="AU124" s="185" t="s">
        <v>87</v>
      </c>
      <c r="AV124" s="16" t="s">
        <v>185</v>
      </c>
      <c r="AW124" s="16" t="s">
        <v>36</v>
      </c>
      <c r="AX124" s="16" t="s">
        <v>85</v>
      </c>
      <c r="AY124" s="185" t="s">
        <v>177</v>
      </c>
    </row>
    <row r="125" spans="1:65" s="2" customFormat="1" ht="16.5" customHeight="1">
      <c r="A125" s="34"/>
      <c r="B125" s="139"/>
      <c r="C125" s="140" t="s">
        <v>241</v>
      </c>
      <c r="D125" s="140" t="s">
        <v>180</v>
      </c>
      <c r="E125" s="141" t="s">
        <v>1735</v>
      </c>
      <c r="F125" s="142" t="s">
        <v>1736</v>
      </c>
      <c r="G125" s="143" t="s">
        <v>332</v>
      </c>
      <c r="H125" s="144">
        <v>112.623</v>
      </c>
      <c r="I125" s="145"/>
      <c r="J125" s="146">
        <f>ROUND(I125*H125,2)</f>
        <v>0</v>
      </c>
      <c r="K125" s="142" t="s">
        <v>184</v>
      </c>
      <c r="L125" s="35"/>
      <c r="M125" s="147" t="s">
        <v>3</v>
      </c>
      <c r="N125" s="148" t="s">
        <v>48</v>
      </c>
      <c r="O125" s="55"/>
      <c r="P125" s="149">
        <f>O125*H125</f>
        <v>0</v>
      </c>
      <c r="Q125" s="149">
        <v>7.9210000000000003E-2</v>
      </c>
      <c r="R125" s="149">
        <f>Q125*H125</f>
        <v>8.9208678300000006</v>
      </c>
      <c r="S125" s="149">
        <v>0</v>
      </c>
      <c r="T125" s="150">
        <f>S125*H125</f>
        <v>0</v>
      </c>
      <c r="U125" s="34"/>
      <c r="V125" s="34"/>
      <c r="W125" s="34"/>
      <c r="X125" s="34"/>
      <c r="Y125" s="34"/>
      <c r="Z125" s="34"/>
      <c r="AA125" s="34"/>
      <c r="AB125" s="34"/>
      <c r="AC125" s="34"/>
      <c r="AD125" s="34"/>
      <c r="AE125" s="34"/>
      <c r="AR125" s="151" t="s">
        <v>185</v>
      </c>
      <c r="AT125" s="151" t="s">
        <v>180</v>
      </c>
      <c r="AU125" s="151" t="s">
        <v>87</v>
      </c>
      <c r="AY125" s="19" t="s">
        <v>177</v>
      </c>
      <c r="BE125" s="152">
        <f>IF(N125="základní",J125,0)</f>
        <v>0</v>
      </c>
      <c r="BF125" s="152">
        <f>IF(N125="snížená",J125,0)</f>
        <v>0</v>
      </c>
      <c r="BG125" s="152">
        <f>IF(N125="zákl. přenesená",J125,0)</f>
        <v>0</v>
      </c>
      <c r="BH125" s="152">
        <f>IF(N125="sníž. přenesená",J125,0)</f>
        <v>0</v>
      </c>
      <c r="BI125" s="152">
        <f>IF(N125="nulová",J125,0)</f>
        <v>0</v>
      </c>
      <c r="BJ125" s="19" t="s">
        <v>85</v>
      </c>
      <c r="BK125" s="152">
        <f>ROUND(I125*H125,2)</f>
        <v>0</v>
      </c>
      <c r="BL125" s="19" t="s">
        <v>185</v>
      </c>
      <c r="BM125" s="151" t="s">
        <v>1908</v>
      </c>
    </row>
    <row r="126" spans="1:65" s="2" customFormat="1">
      <c r="A126" s="34"/>
      <c r="B126" s="35"/>
      <c r="C126" s="34"/>
      <c r="D126" s="153" t="s">
        <v>187</v>
      </c>
      <c r="E126" s="34"/>
      <c r="F126" s="154" t="s">
        <v>1738</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187</v>
      </c>
      <c r="AU126" s="19" t="s">
        <v>87</v>
      </c>
    </row>
    <row r="127" spans="1:65" s="2" customFormat="1">
      <c r="A127" s="34"/>
      <c r="B127" s="35"/>
      <c r="C127" s="34"/>
      <c r="D127" s="158" t="s">
        <v>189</v>
      </c>
      <c r="E127" s="34"/>
      <c r="F127" s="159" t="s">
        <v>1739</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189</v>
      </c>
      <c r="AU127" s="19" t="s">
        <v>87</v>
      </c>
    </row>
    <row r="128" spans="1:65" s="13" customFormat="1">
      <c r="B128" s="161"/>
      <c r="D128" s="153" t="s">
        <v>193</v>
      </c>
      <c r="E128" s="162" t="s">
        <v>3</v>
      </c>
      <c r="F128" s="163" t="s">
        <v>1909</v>
      </c>
      <c r="H128" s="164">
        <v>107.006</v>
      </c>
      <c r="I128" s="165"/>
      <c r="L128" s="161"/>
      <c r="M128" s="166"/>
      <c r="N128" s="167"/>
      <c r="O128" s="167"/>
      <c r="P128" s="167"/>
      <c r="Q128" s="167"/>
      <c r="R128" s="167"/>
      <c r="S128" s="167"/>
      <c r="T128" s="168"/>
      <c r="AT128" s="162" t="s">
        <v>193</v>
      </c>
      <c r="AU128" s="162" t="s">
        <v>87</v>
      </c>
      <c r="AV128" s="13" t="s">
        <v>87</v>
      </c>
      <c r="AW128" s="13" t="s">
        <v>36</v>
      </c>
      <c r="AX128" s="13" t="s">
        <v>77</v>
      </c>
      <c r="AY128" s="162" t="s">
        <v>177</v>
      </c>
    </row>
    <row r="129" spans="1:65" s="13" customFormat="1">
      <c r="B129" s="161"/>
      <c r="D129" s="153" t="s">
        <v>193</v>
      </c>
      <c r="E129" s="162" t="s">
        <v>3</v>
      </c>
      <c r="F129" s="163" t="s">
        <v>1910</v>
      </c>
      <c r="H129" s="164">
        <v>-3.5459999999999998</v>
      </c>
      <c r="I129" s="165"/>
      <c r="L129" s="161"/>
      <c r="M129" s="166"/>
      <c r="N129" s="167"/>
      <c r="O129" s="167"/>
      <c r="P129" s="167"/>
      <c r="Q129" s="167"/>
      <c r="R129" s="167"/>
      <c r="S129" s="167"/>
      <c r="T129" s="168"/>
      <c r="AT129" s="162" t="s">
        <v>193</v>
      </c>
      <c r="AU129" s="162" t="s">
        <v>87</v>
      </c>
      <c r="AV129" s="13" t="s">
        <v>87</v>
      </c>
      <c r="AW129" s="13" t="s">
        <v>36</v>
      </c>
      <c r="AX129" s="13" t="s">
        <v>77</v>
      </c>
      <c r="AY129" s="162" t="s">
        <v>177</v>
      </c>
    </row>
    <row r="130" spans="1:65" s="13" customFormat="1">
      <c r="B130" s="161"/>
      <c r="D130" s="153" t="s">
        <v>193</v>
      </c>
      <c r="E130" s="162" t="s">
        <v>3</v>
      </c>
      <c r="F130" s="163" t="s">
        <v>1911</v>
      </c>
      <c r="H130" s="164">
        <v>-4.1369999999999996</v>
      </c>
      <c r="I130" s="165"/>
      <c r="L130" s="161"/>
      <c r="M130" s="166"/>
      <c r="N130" s="167"/>
      <c r="O130" s="167"/>
      <c r="P130" s="167"/>
      <c r="Q130" s="167"/>
      <c r="R130" s="167"/>
      <c r="S130" s="167"/>
      <c r="T130" s="168"/>
      <c r="AT130" s="162" t="s">
        <v>193</v>
      </c>
      <c r="AU130" s="162" t="s">
        <v>87</v>
      </c>
      <c r="AV130" s="13" t="s">
        <v>87</v>
      </c>
      <c r="AW130" s="13" t="s">
        <v>36</v>
      </c>
      <c r="AX130" s="13" t="s">
        <v>77</v>
      </c>
      <c r="AY130" s="162" t="s">
        <v>177</v>
      </c>
    </row>
    <row r="131" spans="1:65" s="15" customFormat="1">
      <c r="B131" s="176"/>
      <c r="D131" s="153" t="s">
        <v>193</v>
      </c>
      <c r="E131" s="177" t="s">
        <v>3</v>
      </c>
      <c r="F131" s="178" t="s">
        <v>197</v>
      </c>
      <c r="H131" s="179">
        <v>99.322999999999993</v>
      </c>
      <c r="I131" s="180"/>
      <c r="L131" s="176"/>
      <c r="M131" s="181"/>
      <c r="N131" s="182"/>
      <c r="O131" s="182"/>
      <c r="P131" s="182"/>
      <c r="Q131" s="182"/>
      <c r="R131" s="182"/>
      <c r="S131" s="182"/>
      <c r="T131" s="183"/>
      <c r="AT131" s="177" t="s">
        <v>193</v>
      </c>
      <c r="AU131" s="177" t="s">
        <v>87</v>
      </c>
      <c r="AV131" s="15" t="s">
        <v>198</v>
      </c>
      <c r="AW131" s="15" t="s">
        <v>36</v>
      </c>
      <c r="AX131" s="15" t="s">
        <v>77</v>
      </c>
      <c r="AY131" s="177" t="s">
        <v>177</v>
      </c>
    </row>
    <row r="132" spans="1:65" s="14" customFormat="1">
      <c r="B132" s="169"/>
      <c r="D132" s="153" t="s">
        <v>193</v>
      </c>
      <c r="E132" s="170" t="s">
        <v>3</v>
      </c>
      <c r="F132" s="171" t="s">
        <v>1912</v>
      </c>
      <c r="H132" s="170" t="s">
        <v>3</v>
      </c>
      <c r="I132" s="172"/>
      <c r="L132" s="169"/>
      <c r="M132" s="173"/>
      <c r="N132" s="174"/>
      <c r="O132" s="174"/>
      <c r="P132" s="174"/>
      <c r="Q132" s="174"/>
      <c r="R132" s="174"/>
      <c r="S132" s="174"/>
      <c r="T132" s="175"/>
      <c r="AT132" s="170" t="s">
        <v>193</v>
      </c>
      <c r="AU132" s="170" t="s">
        <v>87</v>
      </c>
      <c r="AV132" s="14" t="s">
        <v>85</v>
      </c>
      <c r="AW132" s="14" t="s">
        <v>36</v>
      </c>
      <c r="AX132" s="14" t="s">
        <v>77</v>
      </c>
      <c r="AY132" s="170" t="s">
        <v>177</v>
      </c>
    </row>
    <row r="133" spans="1:65" s="13" customFormat="1">
      <c r="B133" s="161"/>
      <c r="D133" s="153" t="s">
        <v>193</v>
      </c>
      <c r="E133" s="162" t="s">
        <v>3</v>
      </c>
      <c r="F133" s="163" t="s">
        <v>1913</v>
      </c>
      <c r="H133" s="164">
        <v>13.3</v>
      </c>
      <c r="I133" s="165"/>
      <c r="L133" s="161"/>
      <c r="M133" s="166"/>
      <c r="N133" s="167"/>
      <c r="O133" s="167"/>
      <c r="P133" s="167"/>
      <c r="Q133" s="167"/>
      <c r="R133" s="167"/>
      <c r="S133" s="167"/>
      <c r="T133" s="168"/>
      <c r="AT133" s="162" t="s">
        <v>193</v>
      </c>
      <c r="AU133" s="162" t="s">
        <v>87</v>
      </c>
      <c r="AV133" s="13" t="s">
        <v>87</v>
      </c>
      <c r="AW133" s="13" t="s">
        <v>36</v>
      </c>
      <c r="AX133" s="13" t="s">
        <v>77</v>
      </c>
      <c r="AY133" s="162" t="s">
        <v>177</v>
      </c>
    </row>
    <row r="134" spans="1:65" s="16" customFormat="1">
      <c r="B134" s="184"/>
      <c r="D134" s="153" t="s">
        <v>193</v>
      </c>
      <c r="E134" s="185" t="s">
        <v>3</v>
      </c>
      <c r="F134" s="186" t="s">
        <v>201</v>
      </c>
      <c r="H134" s="187">
        <v>112.62299999999999</v>
      </c>
      <c r="I134" s="188"/>
      <c r="L134" s="184"/>
      <c r="M134" s="189"/>
      <c r="N134" s="190"/>
      <c r="O134" s="190"/>
      <c r="P134" s="190"/>
      <c r="Q134" s="190"/>
      <c r="R134" s="190"/>
      <c r="S134" s="190"/>
      <c r="T134" s="191"/>
      <c r="AT134" s="185" t="s">
        <v>193</v>
      </c>
      <c r="AU134" s="185" t="s">
        <v>87</v>
      </c>
      <c r="AV134" s="16" t="s">
        <v>185</v>
      </c>
      <c r="AW134" s="16" t="s">
        <v>36</v>
      </c>
      <c r="AX134" s="16" t="s">
        <v>85</v>
      </c>
      <c r="AY134" s="185" t="s">
        <v>177</v>
      </c>
    </row>
    <row r="135" spans="1:65" s="2" customFormat="1" ht="16.5" customHeight="1">
      <c r="A135" s="34"/>
      <c r="B135" s="139"/>
      <c r="C135" s="140" t="s">
        <v>248</v>
      </c>
      <c r="D135" s="140" t="s">
        <v>180</v>
      </c>
      <c r="E135" s="141" t="s">
        <v>606</v>
      </c>
      <c r="F135" s="142" t="s">
        <v>607</v>
      </c>
      <c r="G135" s="143" t="s">
        <v>476</v>
      </c>
      <c r="H135" s="144">
        <v>23.7</v>
      </c>
      <c r="I135" s="145"/>
      <c r="J135" s="146">
        <f>ROUND(I135*H135,2)</f>
        <v>0</v>
      </c>
      <c r="K135" s="142" t="s">
        <v>244</v>
      </c>
      <c r="L135" s="35"/>
      <c r="M135" s="147" t="s">
        <v>3</v>
      </c>
      <c r="N135" s="148" t="s">
        <v>48</v>
      </c>
      <c r="O135" s="55"/>
      <c r="P135" s="149">
        <f>O135*H135</f>
        <v>0</v>
      </c>
      <c r="Q135" s="149">
        <v>1.2999999999999999E-4</v>
      </c>
      <c r="R135" s="149">
        <f>Q135*H135</f>
        <v>3.0809999999999995E-3</v>
      </c>
      <c r="S135" s="149">
        <v>0</v>
      </c>
      <c r="T135" s="150">
        <f>S135*H135</f>
        <v>0</v>
      </c>
      <c r="U135" s="34"/>
      <c r="V135" s="34"/>
      <c r="W135" s="34"/>
      <c r="X135" s="34"/>
      <c r="Y135" s="34"/>
      <c r="Z135" s="34"/>
      <c r="AA135" s="34"/>
      <c r="AB135" s="34"/>
      <c r="AC135" s="34"/>
      <c r="AD135" s="34"/>
      <c r="AE135" s="34"/>
      <c r="AR135" s="151" t="s">
        <v>185</v>
      </c>
      <c r="AT135" s="151" t="s">
        <v>180</v>
      </c>
      <c r="AU135" s="151" t="s">
        <v>87</v>
      </c>
      <c r="AY135" s="19" t="s">
        <v>177</v>
      </c>
      <c r="BE135" s="152">
        <f>IF(N135="základní",J135,0)</f>
        <v>0</v>
      </c>
      <c r="BF135" s="152">
        <f>IF(N135="snížená",J135,0)</f>
        <v>0</v>
      </c>
      <c r="BG135" s="152">
        <f>IF(N135="zákl. přenesená",J135,0)</f>
        <v>0</v>
      </c>
      <c r="BH135" s="152">
        <f>IF(N135="sníž. přenesená",J135,0)</f>
        <v>0</v>
      </c>
      <c r="BI135" s="152">
        <f>IF(N135="nulová",J135,0)</f>
        <v>0</v>
      </c>
      <c r="BJ135" s="19" t="s">
        <v>85</v>
      </c>
      <c r="BK135" s="152">
        <f>ROUND(I135*H135,2)</f>
        <v>0</v>
      </c>
      <c r="BL135" s="19" t="s">
        <v>185</v>
      </c>
      <c r="BM135" s="151" t="s">
        <v>1914</v>
      </c>
    </row>
    <row r="136" spans="1:65" s="2" customFormat="1">
      <c r="A136" s="34"/>
      <c r="B136" s="35"/>
      <c r="C136" s="34"/>
      <c r="D136" s="153" t="s">
        <v>187</v>
      </c>
      <c r="E136" s="34"/>
      <c r="F136" s="154" t="s">
        <v>1915</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187</v>
      </c>
      <c r="AU136" s="19" t="s">
        <v>87</v>
      </c>
    </row>
    <row r="137" spans="1:65" s="2" customFormat="1" ht="68.25">
      <c r="A137" s="34"/>
      <c r="B137" s="35"/>
      <c r="C137" s="34"/>
      <c r="D137" s="153" t="s">
        <v>191</v>
      </c>
      <c r="E137" s="34"/>
      <c r="F137" s="160" t="s">
        <v>604</v>
      </c>
      <c r="G137" s="34"/>
      <c r="H137" s="34"/>
      <c r="I137" s="155"/>
      <c r="J137" s="34"/>
      <c r="K137" s="34"/>
      <c r="L137" s="35"/>
      <c r="M137" s="156"/>
      <c r="N137" s="157"/>
      <c r="O137" s="55"/>
      <c r="P137" s="55"/>
      <c r="Q137" s="55"/>
      <c r="R137" s="55"/>
      <c r="S137" s="55"/>
      <c r="T137" s="56"/>
      <c r="U137" s="34"/>
      <c r="V137" s="34"/>
      <c r="W137" s="34"/>
      <c r="X137" s="34"/>
      <c r="Y137" s="34"/>
      <c r="Z137" s="34"/>
      <c r="AA137" s="34"/>
      <c r="AB137" s="34"/>
      <c r="AC137" s="34"/>
      <c r="AD137" s="34"/>
      <c r="AE137" s="34"/>
      <c r="AT137" s="19" t="s">
        <v>191</v>
      </c>
      <c r="AU137" s="19" t="s">
        <v>87</v>
      </c>
    </row>
    <row r="138" spans="1:65" s="13" customFormat="1">
      <c r="B138" s="161"/>
      <c r="D138" s="153" t="s">
        <v>193</v>
      </c>
      <c r="E138" s="162" t="s">
        <v>3</v>
      </c>
      <c r="F138" s="163" t="s">
        <v>1916</v>
      </c>
      <c r="H138" s="164">
        <v>23.7</v>
      </c>
      <c r="I138" s="165"/>
      <c r="L138" s="161"/>
      <c r="M138" s="166"/>
      <c r="N138" s="167"/>
      <c r="O138" s="167"/>
      <c r="P138" s="167"/>
      <c r="Q138" s="167"/>
      <c r="R138" s="167"/>
      <c r="S138" s="167"/>
      <c r="T138" s="168"/>
      <c r="AT138" s="162" t="s">
        <v>193</v>
      </c>
      <c r="AU138" s="162" t="s">
        <v>87</v>
      </c>
      <c r="AV138" s="13" t="s">
        <v>87</v>
      </c>
      <c r="AW138" s="13" t="s">
        <v>36</v>
      </c>
      <c r="AX138" s="13" t="s">
        <v>85</v>
      </c>
      <c r="AY138" s="162" t="s">
        <v>177</v>
      </c>
    </row>
    <row r="139" spans="1:65" s="2" customFormat="1" ht="16.5" customHeight="1">
      <c r="A139" s="34"/>
      <c r="B139" s="139"/>
      <c r="C139" s="140" t="s">
        <v>252</v>
      </c>
      <c r="D139" s="140" t="s">
        <v>180</v>
      </c>
      <c r="E139" s="141" t="s">
        <v>613</v>
      </c>
      <c r="F139" s="142" t="s">
        <v>1917</v>
      </c>
      <c r="G139" s="143" t="s">
        <v>476</v>
      </c>
      <c r="H139" s="144">
        <v>86.9</v>
      </c>
      <c r="I139" s="145"/>
      <c r="J139" s="146">
        <f>ROUND(I139*H139,2)</f>
        <v>0</v>
      </c>
      <c r="K139" s="142" t="s">
        <v>244</v>
      </c>
      <c r="L139" s="35"/>
      <c r="M139" s="147" t="s">
        <v>3</v>
      </c>
      <c r="N139" s="148" t="s">
        <v>48</v>
      </c>
      <c r="O139" s="55"/>
      <c r="P139" s="149">
        <f>O139*H139</f>
        <v>0</v>
      </c>
      <c r="Q139" s="149">
        <v>2.0000000000000001E-4</v>
      </c>
      <c r="R139" s="149">
        <f>Q139*H139</f>
        <v>1.7380000000000003E-2</v>
      </c>
      <c r="S139" s="149">
        <v>0</v>
      </c>
      <c r="T139" s="150">
        <f>S139*H139</f>
        <v>0</v>
      </c>
      <c r="U139" s="34"/>
      <c r="V139" s="34"/>
      <c r="W139" s="34"/>
      <c r="X139" s="34"/>
      <c r="Y139" s="34"/>
      <c r="Z139" s="34"/>
      <c r="AA139" s="34"/>
      <c r="AB139" s="34"/>
      <c r="AC139" s="34"/>
      <c r="AD139" s="34"/>
      <c r="AE139" s="34"/>
      <c r="AR139" s="151" t="s">
        <v>185</v>
      </c>
      <c r="AT139" s="151" t="s">
        <v>180</v>
      </c>
      <c r="AU139" s="151" t="s">
        <v>87</v>
      </c>
      <c r="AY139" s="19" t="s">
        <v>177</v>
      </c>
      <c r="BE139" s="152">
        <f>IF(N139="základní",J139,0)</f>
        <v>0</v>
      </c>
      <c r="BF139" s="152">
        <f>IF(N139="snížená",J139,0)</f>
        <v>0</v>
      </c>
      <c r="BG139" s="152">
        <f>IF(N139="zákl. přenesená",J139,0)</f>
        <v>0</v>
      </c>
      <c r="BH139" s="152">
        <f>IF(N139="sníž. přenesená",J139,0)</f>
        <v>0</v>
      </c>
      <c r="BI139" s="152">
        <f>IF(N139="nulová",J139,0)</f>
        <v>0</v>
      </c>
      <c r="BJ139" s="19" t="s">
        <v>85</v>
      </c>
      <c r="BK139" s="152">
        <f>ROUND(I139*H139,2)</f>
        <v>0</v>
      </c>
      <c r="BL139" s="19" t="s">
        <v>185</v>
      </c>
      <c r="BM139" s="151" t="s">
        <v>1918</v>
      </c>
    </row>
    <row r="140" spans="1:65" s="2" customFormat="1">
      <c r="A140" s="34"/>
      <c r="B140" s="35"/>
      <c r="C140" s="34"/>
      <c r="D140" s="153" t="s">
        <v>187</v>
      </c>
      <c r="E140" s="34"/>
      <c r="F140" s="154" t="s">
        <v>1919</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187</v>
      </c>
      <c r="AU140" s="19" t="s">
        <v>87</v>
      </c>
    </row>
    <row r="141" spans="1:65" s="2" customFormat="1" ht="68.25">
      <c r="A141" s="34"/>
      <c r="B141" s="35"/>
      <c r="C141" s="34"/>
      <c r="D141" s="153" t="s">
        <v>191</v>
      </c>
      <c r="E141" s="34"/>
      <c r="F141" s="160" t="s">
        <v>604</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191</v>
      </c>
      <c r="AU141" s="19" t="s">
        <v>87</v>
      </c>
    </row>
    <row r="142" spans="1:65" s="13" customFormat="1">
      <c r="B142" s="161"/>
      <c r="D142" s="153" t="s">
        <v>193</v>
      </c>
      <c r="E142" s="162" t="s">
        <v>3</v>
      </c>
      <c r="F142" s="163" t="s">
        <v>1920</v>
      </c>
      <c r="H142" s="164">
        <v>39.5</v>
      </c>
      <c r="I142" s="165"/>
      <c r="L142" s="161"/>
      <c r="M142" s="166"/>
      <c r="N142" s="167"/>
      <c r="O142" s="167"/>
      <c r="P142" s="167"/>
      <c r="Q142" s="167"/>
      <c r="R142" s="167"/>
      <c r="S142" s="167"/>
      <c r="T142" s="168"/>
      <c r="AT142" s="162" t="s">
        <v>193</v>
      </c>
      <c r="AU142" s="162" t="s">
        <v>87</v>
      </c>
      <c r="AV142" s="13" t="s">
        <v>87</v>
      </c>
      <c r="AW142" s="13" t="s">
        <v>36</v>
      </c>
      <c r="AX142" s="13" t="s">
        <v>77</v>
      </c>
      <c r="AY142" s="162" t="s">
        <v>177</v>
      </c>
    </row>
    <row r="143" spans="1:65" s="13" customFormat="1">
      <c r="B143" s="161"/>
      <c r="D143" s="153" t="s">
        <v>193</v>
      </c>
      <c r="E143" s="162" t="s">
        <v>3</v>
      </c>
      <c r="F143" s="163" t="s">
        <v>1921</v>
      </c>
      <c r="H143" s="164">
        <v>47.4</v>
      </c>
      <c r="I143" s="165"/>
      <c r="L143" s="161"/>
      <c r="M143" s="166"/>
      <c r="N143" s="167"/>
      <c r="O143" s="167"/>
      <c r="P143" s="167"/>
      <c r="Q143" s="167"/>
      <c r="R143" s="167"/>
      <c r="S143" s="167"/>
      <c r="T143" s="168"/>
      <c r="AT143" s="162" t="s">
        <v>193</v>
      </c>
      <c r="AU143" s="162" t="s">
        <v>87</v>
      </c>
      <c r="AV143" s="13" t="s">
        <v>87</v>
      </c>
      <c r="AW143" s="13" t="s">
        <v>36</v>
      </c>
      <c r="AX143" s="13" t="s">
        <v>77</v>
      </c>
      <c r="AY143" s="162" t="s">
        <v>177</v>
      </c>
    </row>
    <row r="144" spans="1:65" s="16" customFormat="1">
      <c r="B144" s="184"/>
      <c r="D144" s="153" t="s">
        <v>193</v>
      </c>
      <c r="E144" s="185" t="s">
        <v>3</v>
      </c>
      <c r="F144" s="186" t="s">
        <v>201</v>
      </c>
      <c r="H144" s="187">
        <v>86.9</v>
      </c>
      <c r="I144" s="188"/>
      <c r="L144" s="184"/>
      <c r="M144" s="189"/>
      <c r="N144" s="190"/>
      <c r="O144" s="190"/>
      <c r="P144" s="190"/>
      <c r="Q144" s="190"/>
      <c r="R144" s="190"/>
      <c r="S144" s="190"/>
      <c r="T144" s="191"/>
      <c r="AT144" s="185" t="s">
        <v>193</v>
      </c>
      <c r="AU144" s="185" t="s">
        <v>87</v>
      </c>
      <c r="AV144" s="16" t="s">
        <v>185</v>
      </c>
      <c r="AW144" s="16" t="s">
        <v>36</v>
      </c>
      <c r="AX144" s="16" t="s">
        <v>85</v>
      </c>
      <c r="AY144" s="185" t="s">
        <v>177</v>
      </c>
    </row>
    <row r="145" spans="1:65" s="12" customFormat="1" ht="22.9" customHeight="1">
      <c r="B145" s="126"/>
      <c r="D145" s="127" t="s">
        <v>76</v>
      </c>
      <c r="E145" s="137" t="s">
        <v>185</v>
      </c>
      <c r="F145" s="137" t="s">
        <v>1577</v>
      </c>
      <c r="I145" s="129"/>
      <c r="J145" s="138">
        <f>BK145</f>
        <v>0</v>
      </c>
      <c r="L145" s="126"/>
      <c r="M145" s="131"/>
      <c r="N145" s="132"/>
      <c r="O145" s="132"/>
      <c r="P145" s="133">
        <f>P146+SUM(P147:P185)</f>
        <v>0</v>
      </c>
      <c r="Q145" s="132"/>
      <c r="R145" s="133">
        <f>R146+SUM(R147:R185)</f>
        <v>14.029269515555701</v>
      </c>
      <c r="S145" s="132"/>
      <c r="T145" s="134">
        <f>T146+SUM(T147:T185)</f>
        <v>0</v>
      </c>
      <c r="AR145" s="127" t="s">
        <v>85</v>
      </c>
      <c r="AT145" s="135" t="s">
        <v>76</v>
      </c>
      <c r="AU145" s="135" t="s">
        <v>85</v>
      </c>
      <c r="AY145" s="127" t="s">
        <v>177</v>
      </c>
      <c r="BK145" s="136">
        <f>BK146+SUM(BK147:BK185)</f>
        <v>0</v>
      </c>
    </row>
    <row r="146" spans="1:65" s="2" customFormat="1" ht="16.5" customHeight="1">
      <c r="A146" s="34"/>
      <c r="B146" s="139"/>
      <c r="C146" s="140" t="s">
        <v>258</v>
      </c>
      <c r="D146" s="140" t="s">
        <v>180</v>
      </c>
      <c r="E146" s="141" t="s">
        <v>1922</v>
      </c>
      <c r="F146" s="142" t="s">
        <v>1923</v>
      </c>
      <c r="G146" s="143" t="s">
        <v>808</v>
      </c>
      <c r="H146" s="144">
        <v>1.6739999999999999</v>
      </c>
      <c r="I146" s="145"/>
      <c r="J146" s="146">
        <f>ROUND(I146*H146,2)</f>
        <v>0</v>
      </c>
      <c r="K146" s="142" t="s">
        <v>184</v>
      </c>
      <c r="L146" s="35"/>
      <c r="M146" s="147" t="s">
        <v>3</v>
      </c>
      <c r="N146" s="148" t="s">
        <v>48</v>
      </c>
      <c r="O146" s="55"/>
      <c r="P146" s="149">
        <f>O146*H146</f>
        <v>0</v>
      </c>
      <c r="Q146" s="149">
        <v>2.5020099999999998</v>
      </c>
      <c r="R146" s="149">
        <f>Q146*H146</f>
        <v>4.1883647399999999</v>
      </c>
      <c r="S146" s="149">
        <v>0</v>
      </c>
      <c r="T146" s="150">
        <f>S146*H146</f>
        <v>0</v>
      </c>
      <c r="U146" s="34"/>
      <c r="V146" s="34"/>
      <c r="W146" s="34"/>
      <c r="X146" s="34"/>
      <c r="Y146" s="34"/>
      <c r="Z146" s="34"/>
      <c r="AA146" s="34"/>
      <c r="AB146" s="34"/>
      <c r="AC146" s="34"/>
      <c r="AD146" s="34"/>
      <c r="AE146" s="34"/>
      <c r="AR146" s="151" t="s">
        <v>185</v>
      </c>
      <c r="AT146" s="151" t="s">
        <v>180</v>
      </c>
      <c r="AU146" s="151" t="s">
        <v>87</v>
      </c>
      <c r="AY146" s="19" t="s">
        <v>177</v>
      </c>
      <c r="BE146" s="152">
        <f>IF(N146="základní",J146,0)</f>
        <v>0</v>
      </c>
      <c r="BF146" s="152">
        <f>IF(N146="snížená",J146,0)</f>
        <v>0</v>
      </c>
      <c r="BG146" s="152">
        <f>IF(N146="zákl. přenesená",J146,0)</f>
        <v>0</v>
      </c>
      <c r="BH146" s="152">
        <f>IF(N146="sníž. přenesená",J146,0)</f>
        <v>0</v>
      </c>
      <c r="BI146" s="152">
        <f>IF(N146="nulová",J146,0)</f>
        <v>0</v>
      </c>
      <c r="BJ146" s="19" t="s">
        <v>85</v>
      </c>
      <c r="BK146" s="152">
        <f>ROUND(I146*H146,2)</f>
        <v>0</v>
      </c>
      <c r="BL146" s="19" t="s">
        <v>185</v>
      </c>
      <c r="BM146" s="151" t="s">
        <v>1924</v>
      </c>
    </row>
    <row r="147" spans="1:65" s="2" customFormat="1" ht="19.5">
      <c r="A147" s="34"/>
      <c r="B147" s="35"/>
      <c r="C147" s="34"/>
      <c r="D147" s="153" t="s">
        <v>187</v>
      </c>
      <c r="E147" s="34"/>
      <c r="F147" s="154" t="s">
        <v>1925</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187</v>
      </c>
      <c r="AU147" s="19" t="s">
        <v>87</v>
      </c>
    </row>
    <row r="148" spans="1:65" s="2" customFormat="1">
      <c r="A148" s="34"/>
      <c r="B148" s="35"/>
      <c r="C148" s="34"/>
      <c r="D148" s="158" t="s">
        <v>189</v>
      </c>
      <c r="E148" s="34"/>
      <c r="F148" s="159" t="s">
        <v>1926</v>
      </c>
      <c r="G148" s="34"/>
      <c r="H148" s="34"/>
      <c r="I148" s="155"/>
      <c r="J148" s="34"/>
      <c r="K148" s="34"/>
      <c r="L148" s="35"/>
      <c r="M148" s="156"/>
      <c r="N148" s="157"/>
      <c r="O148" s="55"/>
      <c r="P148" s="55"/>
      <c r="Q148" s="55"/>
      <c r="R148" s="55"/>
      <c r="S148" s="55"/>
      <c r="T148" s="56"/>
      <c r="U148" s="34"/>
      <c r="V148" s="34"/>
      <c r="W148" s="34"/>
      <c r="X148" s="34"/>
      <c r="Y148" s="34"/>
      <c r="Z148" s="34"/>
      <c r="AA148" s="34"/>
      <c r="AB148" s="34"/>
      <c r="AC148" s="34"/>
      <c r="AD148" s="34"/>
      <c r="AE148" s="34"/>
      <c r="AT148" s="19" t="s">
        <v>189</v>
      </c>
      <c r="AU148" s="19" t="s">
        <v>87</v>
      </c>
    </row>
    <row r="149" spans="1:65" s="2" customFormat="1" ht="39">
      <c r="A149" s="34"/>
      <c r="B149" s="35"/>
      <c r="C149" s="34"/>
      <c r="D149" s="153" t="s">
        <v>191</v>
      </c>
      <c r="E149" s="34"/>
      <c r="F149" s="160" t="s">
        <v>1927</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191</v>
      </c>
      <c r="AU149" s="19" t="s">
        <v>87</v>
      </c>
    </row>
    <row r="150" spans="1:65" s="14" customFormat="1">
      <c r="B150" s="169"/>
      <c r="D150" s="153" t="s">
        <v>193</v>
      </c>
      <c r="E150" s="170" t="s">
        <v>3</v>
      </c>
      <c r="F150" s="171" t="s">
        <v>1928</v>
      </c>
      <c r="H150" s="170" t="s">
        <v>3</v>
      </c>
      <c r="I150" s="172"/>
      <c r="L150" s="169"/>
      <c r="M150" s="173"/>
      <c r="N150" s="174"/>
      <c r="O150" s="174"/>
      <c r="P150" s="174"/>
      <c r="Q150" s="174"/>
      <c r="R150" s="174"/>
      <c r="S150" s="174"/>
      <c r="T150" s="175"/>
      <c r="AT150" s="170" t="s">
        <v>193</v>
      </c>
      <c r="AU150" s="170" t="s">
        <v>87</v>
      </c>
      <c r="AV150" s="14" t="s">
        <v>85</v>
      </c>
      <c r="AW150" s="14" t="s">
        <v>36</v>
      </c>
      <c r="AX150" s="14" t="s">
        <v>77</v>
      </c>
      <c r="AY150" s="170" t="s">
        <v>177</v>
      </c>
    </row>
    <row r="151" spans="1:65" s="13" customFormat="1">
      <c r="B151" s="161"/>
      <c r="D151" s="153" t="s">
        <v>193</v>
      </c>
      <c r="E151" s="162" t="s">
        <v>3</v>
      </c>
      <c r="F151" s="163" t="s">
        <v>1929</v>
      </c>
      <c r="H151" s="164">
        <v>1.266</v>
      </c>
      <c r="I151" s="165"/>
      <c r="L151" s="161"/>
      <c r="M151" s="166"/>
      <c r="N151" s="167"/>
      <c r="O151" s="167"/>
      <c r="P151" s="167"/>
      <c r="Q151" s="167"/>
      <c r="R151" s="167"/>
      <c r="S151" s="167"/>
      <c r="T151" s="168"/>
      <c r="AT151" s="162" t="s">
        <v>193</v>
      </c>
      <c r="AU151" s="162" t="s">
        <v>87</v>
      </c>
      <c r="AV151" s="13" t="s">
        <v>87</v>
      </c>
      <c r="AW151" s="13" t="s">
        <v>36</v>
      </c>
      <c r="AX151" s="13" t="s">
        <v>77</v>
      </c>
      <c r="AY151" s="162" t="s">
        <v>177</v>
      </c>
    </row>
    <row r="152" spans="1:65" s="14" customFormat="1">
      <c r="B152" s="169"/>
      <c r="D152" s="153" t="s">
        <v>193</v>
      </c>
      <c r="E152" s="170" t="s">
        <v>3</v>
      </c>
      <c r="F152" s="171" t="s">
        <v>1930</v>
      </c>
      <c r="H152" s="170" t="s">
        <v>3</v>
      </c>
      <c r="I152" s="172"/>
      <c r="L152" s="169"/>
      <c r="M152" s="173"/>
      <c r="N152" s="174"/>
      <c r="O152" s="174"/>
      <c r="P152" s="174"/>
      <c r="Q152" s="174"/>
      <c r="R152" s="174"/>
      <c r="S152" s="174"/>
      <c r="T152" s="175"/>
      <c r="AT152" s="170" t="s">
        <v>193</v>
      </c>
      <c r="AU152" s="170" t="s">
        <v>87</v>
      </c>
      <c r="AV152" s="14" t="s">
        <v>85</v>
      </c>
      <c r="AW152" s="14" t="s">
        <v>36</v>
      </c>
      <c r="AX152" s="14" t="s">
        <v>77</v>
      </c>
      <c r="AY152" s="170" t="s">
        <v>177</v>
      </c>
    </row>
    <row r="153" spans="1:65" s="13" customFormat="1">
      <c r="B153" s="161"/>
      <c r="D153" s="153" t="s">
        <v>193</v>
      </c>
      <c r="E153" s="162" t="s">
        <v>3</v>
      </c>
      <c r="F153" s="163" t="s">
        <v>1931</v>
      </c>
      <c r="H153" s="164">
        <v>0.40799999999999997</v>
      </c>
      <c r="I153" s="165"/>
      <c r="L153" s="161"/>
      <c r="M153" s="166"/>
      <c r="N153" s="167"/>
      <c r="O153" s="167"/>
      <c r="P153" s="167"/>
      <c r="Q153" s="167"/>
      <c r="R153" s="167"/>
      <c r="S153" s="167"/>
      <c r="T153" s="168"/>
      <c r="AT153" s="162" t="s">
        <v>193</v>
      </c>
      <c r="AU153" s="162" t="s">
        <v>87</v>
      </c>
      <c r="AV153" s="13" t="s">
        <v>87</v>
      </c>
      <c r="AW153" s="13" t="s">
        <v>36</v>
      </c>
      <c r="AX153" s="13" t="s">
        <v>77</v>
      </c>
      <c r="AY153" s="162" t="s">
        <v>177</v>
      </c>
    </row>
    <row r="154" spans="1:65" s="16" customFormat="1">
      <c r="B154" s="184"/>
      <c r="D154" s="153" t="s">
        <v>193</v>
      </c>
      <c r="E154" s="185" t="s">
        <v>3</v>
      </c>
      <c r="F154" s="186" t="s">
        <v>201</v>
      </c>
      <c r="H154" s="187">
        <v>1.6739999999999999</v>
      </c>
      <c r="I154" s="188"/>
      <c r="L154" s="184"/>
      <c r="M154" s="189"/>
      <c r="N154" s="190"/>
      <c r="O154" s="190"/>
      <c r="P154" s="190"/>
      <c r="Q154" s="190"/>
      <c r="R154" s="190"/>
      <c r="S154" s="190"/>
      <c r="T154" s="191"/>
      <c r="AT154" s="185" t="s">
        <v>193</v>
      </c>
      <c r="AU154" s="185" t="s">
        <v>87</v>
      </c>
      <c r="AV154" s="16" t="s">
        <v>185</v>
      </c>
      <c r="AW154" s="16" t="s">
        <v>36</v>
      </c>
      <c r="AX154" s="16" t="s">
        <v>85</v>
      </c>
      <c r="AY154" s="185" t="s">
        <v>177</v>
      </c>
    </row>
    <row r="155" spans="1:65" s="2" customFormat="1" ht="16.5" customHeight="1">
      <c r="A155" s="34"/>
      <c r="B155" s="139"/>
      <c r="C155" s="140" t="s">
        <v>265</v>
      </c>
      <c r="D155" s="140" t="s">
        <v>180</v>
      </c>
      <c r="E155" s="141" t="s">
        <v>1578</v>
      </c>
      <c r="F155" s="142" t="s">
        <v>1579</v>
      </c>
      <c r="G155" s="143" t="s">
        <v>332</v>
      </c>
      <c r="H155" s="144">
        <v>14.525</v>
      </c>
      <c r="I155" s="145"/>
      <c r="J155" s="146">
        <f>ROUND(I155*H155,2)</f>
        <v>0</v>
      </c>
      <c r="K155" s="142" t="s">
        <v>184</v>
      </c>
      <c r="L155" s="35"/>
      <c r="M155" s="147" t="s">
        <v>3</v>
      </c>
      <c r="N155" s="148" t="s">
        <v>48</v>
      </c>
      <c r="O155" s="55"/>
      <c r="P155" s="149">
        <f>O155*H155</f>
        <v>0</v>
      </c>
      <c r="Q155" s="149">
        <v>5.3261999999999997E-3</v>
      </c>
      <c r="R155" s="149">
        <f>Q155*H155</f>
        <v>7.7363055E-2</v>
      </c>
      <c r="S155" s="149">
        <v>0</v>
      </c>
      <c r="T155" s="150">
        <f>S155*H155</f>
        <v>0</v>
      </c>
      <c r="U155" s="34"/>
      <c r="V155" s="34"/>
      <c r="W155" s="34"/>
      <c r="X155" s="34"/>
      <c r="Y155" s="34"/>
      <c r="Z155" s="34"/>
      <c r="AA155" s="34"/>
      <c r="AB155" s="34"/>
      <c r="AC155" s="34"/>
      <c r="AD155" s="34"/>
      <c r="AE155" s="34"/>
      <c r="AR155" s="151" t="s">
        <v>185</v>
      </c>
      <c r="AT155" s="151" t="s">
        <v>180</v>
      </c>
      <c r="AU155" s="151" t="s">
        <v>87</v>
      </c>
      <c r="AY155" s="19" t="s">
        <v>177</v>
      </c>
      <c r="BE155" s="152">
        <f>IF(N155="základní",J155,0)</f>
        <v>0</v>
      </c>
      <c r="BF155" s="152">
        <f>IF(N155="snížená",J155,0)</f>
        <v>0</v>
      </c>
      <c r="BG155" s="152">
        <f>IF(N155="zákl. přenesená",J155,0)</f>
        <v>0</v>
      </c>
      <c r="BH155" s="152">
        <f>IF(N155="sníž. přenesená",J155,0)</f>
        <v>0</v>
      </c>
      <c r="BI155" s="152">
        <f>IF(N155="nulová",J155,0)</f>
        <v>0</v>
      </c>
      <c r="BJ155" s="19" t="s">
        <v>85</v>
      </c>
      <c r="BK155" s="152">
        <f>ROUND(I155*H155,2)</f>
        <v>0</v>
      </c>
      <c r="BL155" s="19" t="s">
        <v>185</v>
      </c>
      <c r="BM155" s="151" t="s">
        <v>1932</v>
      </c>
    </row>
    <row r="156" spans="1:65" s="2" customFormat="1">
      <c r="A156" s="34"/>
      <c r="B156" s="35"/>
      <c r="C156" s="34"/>
      <c r="D156" s="153" t="s">
        <v>187</v>
      </c>
      <c r="E156" s="34"/>
      <c r="F156" s="154" t="s">
        <v>1581</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187</v>
      </c>
      <c r="AU156" s="19" t="s">
        <v>87</v>
      </c>
    </row>
    <row r="157" spans="1:65" s="2" customFormat="1">
      <c r="A157" s="34"/>
      <c r="B157" s="35"/>
      <c r="C157" s="34"/>
      <c r="D157" s="158" t="s">
        <v>189</v>
      </c>
      <c r="E157" s="34"/>
      <c r="F157" s="159" t="s">
        <v>1582</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189</v>
      </c>
      <c r="AU157" s="19" t="s">
        <v>87</v>
      </c>
    </row>
    <row r="158" spans="1:65" s="2" customFormat="1" ht="146.25">
      <c r="A158" s="34"/>
      <c r="B158" s="35"/>
      <c r="C158" s="34"/>
      <c r="D158" s="153" t="s">
        <v>191</v>
      </c>
      <c r="E158" s="34"/>
      <c r="F158" s="160" t="s">
        <v>1583</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191</v>
      </c>
      <c r="AU158" s="19" t="s">
        <v>87</v>
      </c>
    </row>
    <row r="159" spans="1:65" s="13" customFormat="1">
      <c r="B159" s="161"/>
      <c r="D159" s="153" t="s">
        <v>193</v>
      </c>
      <c r="E159" s="162" t="s">
        <v>3</v>
      </c>
      <c r="F159" s="163" t="s">
        <v>1933</v>
      </c>
      <c r="H159" s="164">
        <v>9.625</v>
      </c>
      <c r="I159" s="165"/>
      <c r="L159" s="161"/>
      <c r="M159" s="166"/>
      <c r="N159" s="167"/>
      <c r="O159" s="167"/>
      <c r="P159" s="167"/>
      <c r="Q159" s="167"/>
      <c r="R159" s="167"/>
      <c r="S159" s="167"/>
      <c r="T159" s="168"/>
      <c r="AT159" s="162" t="s">
        <v>193</v>
      </c>
      <c r="AU159" s="162" t="s">
        <v>87</v>
      </c>
      <c r="AV159" s="13" t="s">
        <v>87</v>
      </c>
      <c r="AW159" s="13" t="s">
        <v>36</v>
      </c>
      <c r="AX159" s="13" t="s">
        <v>77</v>
      </c>
      <c r="AY159" s="162" t="s">
        <v>177</v>
      </c>
    </row>
    <row r="160" spans="1:65" s="14" customFormat="1">
      <c r="B160" s="169"/>
      <c r="D160" s="153" t="s">
        <v>193</v>
      </c>
      <c r="E160" s="170" t="s">
        <v>3</v>
      </c>
      <c r="F160" s="171" t="s">
        <v>1930</v>
      </c>
      <c r="H160" s="170" t="s">
        <v>3</v>
      </c>
      <c r="I160" s="172"/>
      <c r="L160" s="169"/>
      <c r="M160" s="173"/>
      <c r="N160" s="174"/>
      <c r="O160" s="174"/>
      <c r="P160" s="174"/>
      <c r="Q160" s="174"/>
      <c r="R160" s="174"/>
      <c r="S160" s="174"/>
      <c r="T160" s="175"/>
      <c r="AT160" s="170" t="s">
        <v>193</v>
      </c>
      <c r="AU160" s="170" t="s">
        <v>87</v>
      </c>
      <c r="AV160" s="14" t="s">
        <v>85</v>
      </c>
      <c r="AW160" s="14" t="s">
        <v>36</v>
      </c>
      <c r="AX160" s="14" t="s">
        <v>77</v>
      </c>
      <c r="AY160" s="170" t="s">
        <v>177</v>
      </c>
    </row>
    <row r="161" spans="1:65" s="13" customFormat="1">
      <c r="B161" s="161"/>
      <c r="D161" s="153" t="s">
        <v>193</v>
      </c>
      <c r="E161" s="162" t="s">
        <v>3</v>
      </c>
      <c r="F161" s="163" t="s">
        <v>1934</v>
      </c>
      <c r="H161" s="164">
        <v>4.9000000000000004</v>
      </c>
      <c r="I161" s="165"/>
      <c r="L161" s="161"/>
      <c r="M161" s="166"/>
      <c r="N161" s="167"/>
      <c r="O161" s="167"/>
      <c r="P161" s="167"/>
      <c r="Q161" s="167"/>
      <c r="R161" s="167"/>
      <c r="S161" s="167"/>
      <c r="T161" s="168"/>
      <c r="AT161" s="162" t="s">
        <v>193</v>
      </c>
      <c r="AU161" s="162" t="s">
        <v>87</v>
      </c>
      <c r="AV161" s="13" t="s">
        <v>87</v>
      </c>
      <c r="AW161" s="13" t="s">
        <v>36</v>
      </c>
      <c r="AX161" s="13" t="s">
        <v>77</v>
      </c>
      <c r="AY161" s="162" t="s">
        <v>177</v>
      </c>
    </row>
    <row r="162" spans="1:65" s="16" customFormat="1">
      <c r="B162" s="184"/>
      <c r="D162" s="153" t="s">
        <v>193</v>
      </c>
      <c r="E162" s="185" t="s">
        <v>3</v>
      </c>
      <c r="F162" s="186" t="s">
        <v>201</v>
      </c>
      <c r="H162" s="187">
        <v>14.525</v>
      </c>
      <c r="I162" s="188"/>
      <c r="L162" s="184"/>
      <c r="M162" s="189"/>
      <c r="N162" s="190"/>
      <c r="O162" s="190"/>
      <c r="P162" s="190"/>
      <c r="Q162" s="190"/>
      <c r="R162" s="190"/>
      <c r="S162" s="190"/>
      <c r="T162" s="191"/>
      <c r="AT162" s="185" t="s">
        <v>193</v>
      </c>
      <c r="AU162" s="185" t="s">
        <v>87</v>
      </c>
      <c r="AV162" s="16" t="s">
        <v>185</v>
      </c>
      <c r="AW162" s="16" t="s">
        <v>36</v>
      </c>
      <c r="AX162" s="16" t="s">
        <v>85</v>
      </c>
      <c r="AY162" s="185" t="s">
        <v>177</v>
      </c>
    </row>
    <row r="163" spans="1:65" s="2" customFormat="1" ht="16.5" customHeight="1">
      <c r="A163" s="34"/>
      <c r="B163" s="139"/>
      <c r="C163" s="140" t="s">
        <v>271</v>
      </c>
      <c r="D163" s="140" t="s">
        <v>180</v>
      </c>
      <c r="E163" s="141" t="s">
        <v>1585</v>
      </c>
      <c r="F163" s="142" t="s">
        <v>1586</v>
      </c>
      <c r="G163" s="143" t="s">
        <v>332</v>
      </c>
      <c r="H163" s="144">
        <v>14.525</v>
      </c>
      <c r="I163" s="145"/>
      <c r="J163" s="146">
        <f>ROUND(I163*H163,2)</f>
        <v>0</v>
      </c>
      <c r="K163" s="142" t="s">
        <v>184</v>
      </c>
      <c r="L163" s="35"/>
      <c r="M163" s="147" t="s">
        <v>3</v>
      </c>
      <c r="N163" s="148" t="s">
        <v>48</v>
      </c>
      <c r="O163" s="55"/>
      <c r="P163" s="149">
        <f>O163*H163</f>
        <v>0</v>
      </c>
      <c r="Q163" s="149">
        <v>0</v>
      </c>
      <c r="R163" s="149">
        <f>Q163*H163</f>
        <v>0</v>
      </c>
      <c r="S163" s="149">
        <v>0</v>
      </c>
      <c r="T163" s="150">
        <f>S163*H163</f>
        <v>0</v>
      </c>
      <c r="U163" s="34"/>
      <c r="V163" s="34"/>
      <c r="W163" s="34"/>
      <c r="X163" s="34"/>
      <c r="Y163" s="34"/>
      <c r="Z163" s="34"/>
      <c r="AA163" s="34"/>
      <c r="AB163" s="34"/>
      <c r="AC163" s="34"/>
      <c r="AD163" s="34"/>
      <c r="AE163" s="34"/>
      <c r="AR163" s="151" t="s">
        <v>185</v>
      </c>
      <c r="AT163" s="151" t="s">
        <v>180</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1935</v>
      </c>
    </row>
    <row r="164" spans="1:65" s="2" customFormat="1">
      <c r="A164" s="34"/>
      <c r="B164" s="35"/>
      <c r="C164" s="34"/>
      <c r="D164" s="153" t="s">
        <v>187</v>
      </c>
      <c r="E164" s="34"/>
      <c r="F164" s="154" t="s">
        <v>1588</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c r="A165" s="34"/>
      <c r="B165" s="35"/>
      <c r="C165" s="34"/>
      <c r="D165" s="158" t="s">
        <v>189</v>
      </c>
      <c r="E165" s="34"/>
      <c r="F165" s="159" t="s">
        <v>1589</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87</v>
      </c>
    </row>
    <row r="166" spans="1:65" s="2" customFormat="1" ht="146.25">
      <c r="A166" s="34"/>
      <c r="B166" s="35"/>
      <c r="C166" s="34"/>
      <c r="D166" s="153" t="s">
        <v>191</v>
      </c>
      <c r="E166" s="34"/>
      <c r="F166" s="160" t="s">
        <v>1583</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191</v>
      </c>
      <c r="AU166" s="19" t="s">
        <v>87</v>
      </c>
    </row>
    <row r="167" spans="1:65" s="2" customFormat="1" ht="16.5" customHeight="1">
      <c r="A167" s="34"/>
      <c r="B167" s="139"/>
      <c r="C167" s="140" t="s">
        <v>277</v>
      </c>
      <c r="D167" s="140" t="s">
        <v>180</v>
      </c>
      <c r="E167" s="141" t="s">
        <v>1936</v>
      </c>
      <c r="F167" s="142" t="s">
        <v>1937</v>
      </c>
      <c r="G167" s="143" t="s">
        <v>332</v>
      </c>
      <c r="H167" s="144">
        <v>13.705</v>
      </c>
      <c r="I167" s="145"/>
      <c r="J167" s="146">
        <f>ROUND(I167*H167,2)</f>
        <v>0</v>
      </c>
      <c r="K167" s="142" t="s">
        <v>184</v>
      </c>
      <c r="L167" s="35"/>
      <c r="M167" s="147" t="s">
        <v>3</v>
      </c>
      <c r="N167" s="148" t="s">
        <v>48</v>
      </c>
      <c r="O167" s="55"/>
      <c r="P167" s="149">
        <f>O167*H167</f>
        <v>0</v>
      </c>
      <c r="Q167" s="149">
        <v>8.0555999999999998E-4</v>
      </c>
      <c r="R167" s="149">
        <f>Q167*H167</f>
        <v>1.1040199799999999E-2</v>
      </c>
      <c r="S167" s="149">
        <v>0</v>
      </c>
      <c r="T167" s="150">
        <f>S167*H167</f>
        <v>0</v>
      </c>
      <c r="U167" s="34"/>
      <c r="V167" s="34"/>
      <c r="W167" s="34"/>
      <c r="X167" s="34"/>
      <c r="Y167" s="34"/>
      <c r="Z167" s="34"/>
      <c r="AA167" s="34"/>
      <c r="AB167" s="34"/>
      <c r="AC167" s="34"/>
      <c r="AD167" s="34"/>
      <c r="AE167" s="34"/>
      <c r="AR167" s="151" t="s">
        <v>185</v>
      </c>
      <c r="AT167" s="151" t="s">
        <v>180</v>
      </c>
      <c r="AU167" s="151" t="s">
        <v>87</v>
      </c>
      <c r="AY167" s="19" t="s">
        <v>177</v>
      </c>
      <c r="BE167" s="152">
        <f>IF(N167="základní",J167,0)</f>
        <v>0</v>
      </c>
      <c r="BF167" s="152">
        <f>IF(N167="snížená",J167,0)</f>
        <v>0</v>
      </c>
      <c r="BG167" s="152">
        <f>IF(N167="zákl. přenesená",J167,0)</f>
        <v>0</v>
      </c>
      <c r="BH167" s="152">
        <f>IF(N167="sníž. přenesená",J167,0)</f>
        <v>0</v>
      </c>
      <c r="BI167" s="152">
        <f>IF(N167="nulová",J167,0)</f>
        <v>0</v>
      </c>
      <c r="BJ167" s="19" t="s">
        <v>85</v>
      </c>
      <c r="BK167" s="152">
        <f>ROUND(I167*H167,2)</f>
        <v>0</v>
      </c>
      <c r="BL167" s="19" t="s">
        <v>185</v>
      </c>
      <c r="BM167" s="151" t="s">
        <v>1938</v>
      </c>
    </row>
    <row r="168" spans="1:65" s="2" customFormat="1">
      <c r="A168" s="34"/>
      <c r="B168" s="35"/>
      <c r="C168" s="34"/>
      <c r="D168" s="153" t="s">
        <v>187</v>
      </c>
      <c r="E168" s="34"/>
      <c r="F168" s="154" t="s">
        <v>1939</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187</v>
      </c>
      <c r="AU168" s="19" t="s">
        <v>87</v>
      </c>
    </row>
    <row r="169" spans="1:65" s="2" customFormat="1">
      <c r="A169" s="34"/>
      <c r="B169" s="35"/>
      <c r="C169" s="34"/>
      <c r="D169" s="158" t="s">
        <v>189</v>
      </c>
      <c r="E169" s="34"/>
      <c r="F169" s="159" t="s">
        <v>1940</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189</v>
      </c>
      <c r="AU169" s="19" t="s">
        <v>87</v>
      </c>
    </row>
    <row r="170" spans="1:65" s="2" customFormat="1" ht="29.25">
      <c r="A170" s="34"/>
      <c r="B170" s="35"/>
      <c r="C170" s="34"/>
      <c r="D170" s="153" t="s">
        <v>191</v>
      </c>
      <c r="E170" s="34"/>
      <c r="F170" s="160" t="s">
        <v>1595</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191</v>
      </c>
      <c r="AU170" s="19" t="s">
        <v>87</v>
      </c>
    </row>
    <row r="171" spans="1:65" s="13" customFormat="1">
      <c r="B171" s="161"/>
      <c r="D171" s="153" t="s">
        <v>193</v>
      </c>
      <c r="E171" s="162" t="s">
        <v>3</v>
      </c>
      <c r="F171" s="163" t="s">
        <v>1941</v>
      </c>
      <c r="H171" s="164">
        <v>9.625</v>
      </c>
      <c r="I171" s="165"/>
      <c r="L171" s="161"/>
      <c r="M171" s="166"/>
      <c r="N171" s="167"/>
      <c r="O171" s="167"/>
      <c r="P171" s="167"/>
      <c r="Q171" s="167"/>
      <c r="R171" s="167"/>
      <c r="S171" s="167"/>
      <c r="T171" s="168"/>
      <c r="AT171" s="162" t="s">
        <v>193</v>
      </c>
      <c r="AU171" s="162" t="s">
        <v>87</v>
      </c>
      <c r="AV171" s="13" t="s">
        <v>87</v>
      </c>
      <c r="AW171" s="13" t="s">
        <v>36</v>
      </c>
      <c r="AX171" s="13" t="s">
        <v>77</v>
      </c>
      <c r="AY171" s="162" t="s">
        <v>177</v>
      </c>
    </row>
    <row r="172" spans="1:65" s="13" customFormat="1">
      <c r="B172" s="161"/>
      <c r="D172" s="153" t="s">
        <v>193</v>
      </c>
      <c r="E172" s="162" t="s">
        <v>3</v>
      </c>
      <c r="F172" s="163" t="s">
        <v>1942</v>
      </c>
      <c r="H172" s="164">
        <v>4.08</v>
      </c>
      <c r="I172" s="165"/>
      <c r="L172" s="161"/>
      <c r="M172" s="166"/>
      <c r="N172" s="167"/>
      <c r="O172" s="167"/>
      <c r="P172" s="167"/>
      <c r="Q172" s="167"/>
      <c r="R172" s="167"/>
      <c r="S172" s="167"/>
      <c r="T172" s="168"/>
      <c r="AT172" s="162" t="s">
        <v>193</v>
      </c>
      <c r="AU172" s="162" t="s">
        <v>87</v>
      </c>
      <c r="AV172" s="13" t="s">
        <v>87</v>
      </c>
      <c r="AW172" s="13" t="s">
        <v>36</v>
      </c>
      <c r="AX172" s="13" t="s">
        <v>77</v>
      </c>
      <c r="AY172" s="162" t="s">
        <v>177</v>
      </c>
    </row>
    <row r="173" spans="1:65" s="16" customFormat="1">
      <c r="B173" s="184"/>
      <c r="D173" s="153" t="s">
        <v>193</v>
      </c>
      <c r="E173" s="185" t="s">
        <v>3</v>
      </c>
      <c r="F173" s="186" t="s">
        <v>201</v>
      </c>
      <c r="H173" s="187">
        <v>13.705</v>
      </c>
      <c r="I173" s="188"/>
      <c r="L173" s="184"/>
      <c r="M173" s="189"/>
      <c r="N173" s="190"/>
      <c r="O173" s="190"/>
      <c r="P173" s="190"/>
      <c r="Q173" s="190"/>
      <c r="R173" s="190"/>
      <c r="S173" s="190"/>
      <c r="T173" s="191"/>
      <c r="AT173" s="185" t="s">
        <v>193</v>
      </c>
      <c r="AU173" s="185" t="s">
        <v>87</v>
      </c>
      <c r="AV173" s="16" t="s">
        <v>185</v>
      </c>
      <c r="AW173" s="16" t="s">
        <v>36</v>
      </c>
      <c r="AX173" s="16" t="s">
        <v>85</v>
      </c>
      <c r="AY173" s="185" t="s">
        <v>177</v>
      </c>
    </row>
    <row r="174" spans="1:65" s="2" customFormat="1" ht="16.5" customHeight="1">
      <c r="A174" s="34"/>
      <c r="B174" s="139"/>
      <c r="C174" s="140" t="s">
        <v>283</v>
      </c>
      <c r="D174" s="140" t="s">
        <v>180</v>
      </c>
      <c r="E174" s="141" t="s">
        <v>1943</v>
      </c>
      <c r="F174" s="142" t="s">
        <v>1944</v>
      </c>
      <c r="G174" s="143" t="s">
        <v>332</v>
      </c>
      <c r="H174" s="144">
        <v>13.705</v>
      </c>
      <c r="I174" s="145"/>
      <c r="J174" s="146">
        <f>ROUND(I174*H174,2)</f>
        <v>0</v>
      </c>
      <c r="K174" s="142" t="s">
        <v>184</v>
      </c>
      <c r="L174" s="35"/>
      <c r="M174" s="147" t="s">
        <v>3</v>
      </c>
      <c r="N174" s="148" t="s">
        <v>48</v>
      </c>
      <c r="O174" s="55"/>
      <c r="P174" s="149">
        <f>O174*H174</f>
        <v>0</v>
      </c>
      <c r="Q174" s="149">
        <v>0</v>
      </c>
      <c r="R174" s="149">
        <f>Q174*H174</f>
        <v>0</v>
      </c>
      <c r="S174" s="149">
        <v>0</v>
      </c>
      <c r="T174" s="150">
        <f>S174*H174</f>
        <v>0</v>
      </c>
      <c r="U174" s="34"/>
      <c r="V174" s="34"/>
      <c r="W174" s="34"/>
      <c r="X174" s="34"/>
      <c r="Y174" s="34"/>
      <c r="Z174" s="34"/>
      <c r="AA174" s="34"/>
      <c r="AB174" s="34"/>
      <c r="AC174" s="34"/>
      <c r="AD174" s="34"/>
      <c r="AE174" s="34"/>
      <c r="AR174" s="151" t="s">
        <v>185</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1945</v>
      </c>
    </row>
    <row r="175" spans="1:65" s="2" customFormat="1">
      <c r="A175" s="34"/>
      <c r="B175" s="35"/>
      <c r="C175" s="34"/>
      <c r="D175" s="153" t="s">
        <v>187</v>
      </c>
      <c r="E175" s="34"/>
      <c r="F175" s="154" t="s">
        <v>1946</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1947</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2" customFormat="1" ht="29.25">
      <c r="A177" s="34"/>
      <c r="B177" s="35"/>
      <c r="C177" s="34"/>
      <c r="D177" s="153" t="s">
        <v>191</v>
      </c>
      <c r="E177" s="34"/>
      <c r="F177" s="160" t="s">
        <v>1595</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87</v>
      </c>
    </row>
    <row r="178" spans="1:65" s="2" customFormat="1" ht="16.5" customHeight="1">
      <c r="A178" s="34"/>
      <c r="B178" s="139"/>
      <c r="C178" s="140" t="s">
        <v>9</v>
      </c>
      <c r="D178" s="140" t="s">
        <v>180</v>
      </c>
      <c r="E178" s="141" t="s">
        <v>1948</v>
      </c>
      <c r="F178" s="142" t="s">
        <v>1949</v>
      </c>
      <c r="G178" s="143" t="s">
        <v>183</v>
      </c>
      <c r="H178" s="144">
        <v>0.107</v>
      </c>
      <c r="I178" s="145"/>
      <c r="J178" s="146">
        <f>ROUND(I178*H178,2)</f>
        <v>0</v>
      </c>
      <c r="K178" s="142" t="s">
        <v>184</v>
      </c>
      <c r="L178" s="35"/>
      <c r="M178" s="147" t="s">
        <v>3</v>
      </c>
      <c r="N178" s="148" t="s">
        <v>48</v>
      </c>
      <c r="O178" s="55"/>
      <c r="P178" s="149">
        <f>O178*H178</f>
        <v>0</v>
      </c>
      <c r="Q178" s="149">
        <v>1.0627727796999999</v>
      </c>
      <c r="R178" s="149">
        <f>Q178*H178</f>
        <v>0.11371668742789999</v>
      </c>
      <c r="S178" s="149">
        <v>0</v>
      </c>
      <c r="T178" s="150">
        <f>S178*H178</f>
        <v>0</v>
      </c>
      <c r="U178" s="34"/>
      <c r="V178" s="34"/>
      <c r="W178" s="34"/>
      <c r="X178" s="34"/>
      <c r="Y178" s="34"/>
      <c r="Z178" s="34"/>
      <c r="AA178" s="34"/>
      <c r="AB178" s="34"/>
      <c r="AC178" s="34"/>
      <c r="AD178" s="34"/>
      <c r="AE178" s="34"/>
      <c r="AR178" s="151" t="s">
        <v>185</v>
      </c>
      <c r="AT178" s="151" t="s">
        <v>180</v>
      </c>
      <c r="AU178" s="151" t="s">
        <v>87</v>
      </c>
      <c r="AY178" s="19" t="s">
        <v>177</v>
      </c>
      <c r="BE178" s="152">
        <f>IF(N178="základní",J178,0)</f>
        <v>0</v>
      </c>
      <c r="BF178" s="152">
        <f>IF(N178="snížená",J178,0)</f>
        <v>0</v>
      </c>
      <c r="BG178" s="152">
        <f>IF(N178="zákl. přenesená",J178,0)</f>
        <v>0</v>
      </c>
      <c r="BH178" s="152">
        <f>IF(N178="sníž. přenesená",J178,0)</f>
        <v>0</v>
      </c>
      <c r="BI178" s="152">
        <f>IF(N178="nulová",J178,0)</f>
        <v>0</v>
      </c>
      <c r="BJ178" s="19" t="s">
        <v>85</v>
      </c>
      <c r="BK178" s="152">
        <f>ROUND(I178*H178,2)</f>
        <v>0</v>
      </c>
      <c r="BL178" s="19" t="s">
        <v>185</v>
      </c>
      <c r="BM178" s="151" t="s">
        <v>1950</v>
      </c>
    </row>
    <row r="179" spans="1:65" s="2" customFormat="1" ht="29.25">
      <c r="A179" s="34"/>
      <c r="B179" s="35"/>
      <c r="C179" s="34"/>
      <c r="D179" s="153" t="s">
        <v>187</v>
      </c>
      <c r="E179" s="34"/>
      <c r="F179" s="154" t="s">
        <v>1951</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187</v>
      </c>
      <c r="AU179" s="19" t="s">
        <v>87</v>
      </c>
    </row>
    <row r="180" spans="1:65" s="2" customFormat="1">
      <c r="A180" s="34"/>
      <c r="B180" s="35"/>
      <c r="C180" s="34"/>
      <c r="D180" s="158" t="s">
        <v>189</v>
      </c>
      <c r="E180" s="34"/>
      <c r="F180" s="159" t="s">
        <v>1952</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189</v>
      </c>
      <c r="AU180" s="19" t="s">
        <v>87</v>
      </c>
    </row>
    <row r="181" spans="1:65" s="13" customFormat="1">
      <c r="B181" s="161"/>
      <c r="D181" s="153" t="s">
        <v>193</v>
      </c>
      <c r="E181" s="162" t="s">
        <v>3</v>
      </c>
      <c r="F181" s="163" t="s">
        <v>1953</v>
      </c>
      <c r="H181" s="164">
        <v>8.5999999999999993E-2</v>
      </c>
      <c r="I181" s="165"/>
      <c r="L181" s="161"/>
      <c r="M181" s="166"/>
      <c r="N181" s="167"/>
      <c r="O181" s="167"/>
      <c r="P181" s="167"/>
      <c r="Q181" s="167"/>
      <c r="R181" s="167"/>
      <c r="S181" s="167"/>
      <c r="T181" s="168"/>
      <c r="AT181" s="162" t="s">
        <v>193</v>
      </c>
      <c r="AU181" s="162" t="s">
        <v>87</v>
      </c>
      <c r="AV181" s="13" t="s">
        <v>87</v>
      </c>
      <c r="AW181" s="13" t="s">
        <v>36</v>
      </c>
      <c r="AX181" s="13" t="s">
        <v>77</v>
      </c>
      <c r="AY181" s="162" t="s">
        <v>177</v>
      </c>
    </row>
    <row r="182" spans="1:65" s="14" customFormat="1">
      <c r="B182" s="169"/>
      <c r="D182" s="153" t="s">
        <v>193</v>
      </c>
      <c r="E182" s="170" t="s">
        <v>3</v>
      </c>
      <c r="F182" s="171" t="s">
        <v>1954</v>
      </c>
      <c r="H182" s="170" t="s">
        <v>3</v>
      </c>
      <c r="I182" s="172"/>
      <c r="L182" s="169"/>
      <c r="M182" s="173"/>
      <c r="N182" s="174"/>
      <c r="O182" s="174"/>
      <c r="P182" s="174"/>
      <c r="Q182" s="174"/>
      <c r="R182" s="174"/>
      <c r="S182" s="174"/>
      <c r="T182" s="175"/>
      <c r="AT182" s="170" t="s">
        <v>193</v>
      </c>
      <c r="AU182" s="170" t="s">
        <v>87</v>
      </c>
      <c r="AV182" s="14" t="s">
        <v>85</v>
      </c>
      <c r="AW182" s="14" t="s">
        <v>36</v>
      </c>
      <c r="AX182" s="14" t="s">
        <v>77</v>
      </c>
      <c r="AY182" s="170" t="s">
        <v>177</v>
      </c>
    </row>
    <row r="183" spans="1:65" s="13" customFormat="1">
      <c r="B183" s="161"/>
      <c r="D183" s="153" t="s">
        <v>193</v>
      </c>
      <c r="E183" s="162" t="s">
        <v>3</v>
      </c>
      <c r="F183" s="163" t="s">
        <v>1955</v>
      </c>
      <c r="H183" s="164">
        <v>2.1000000000000001E-2</v>
      </c>
      <c r="I183" s="165"/>
      <c r="L183" s="161"/>
      <c r="M183" s="166"/>
      <c r="N183" s="167"/>
      <c r="O183" s="167"/>
      <c r="P183" s="167"/>
      <c r="Q183" s="167"/>
      <c r="R183" s="167"/>
      <c r="S183" s="167"/>
      <c r="T183" s="168"/>
      <c r="AT183" s="162" t="s">
        <v>193</v>
      </c>
      <c r="AU183" s="162" t="s">
        <v>87</v>
      </c>
      <c r="AV183" s="13" t="s">
        <v>87</v>
      </c>
      <c r="AW183" s="13" t="s">
        <v>36</v>
      </c>
      <c r="AX183" s="13" t="s">
        <v>77</v>
      </c>
      <c r="AY183" s="162" t="s">
        <v>177</v>
      </c>
    </row>
    <row r="184" spans="1:65" s="16" customFormat="1">
      <c r="B184" s="184"/>
      <c r="D184" s="153" t="s">
        <v>193</v>
      </c>
      <c r="E184" s="185" t="s">
        <v>3</v>
      </c>
      <c r="F184" s="186" t="s">
        <v>201</v>
      </c>
      <c r="H184" s="187">
        <v>0.107</v>
      </c>
      <c r="I184" s="188"/>
      <c r="L184" s="184"/>
      <c r="M184" s="189"/>
      <c r="N184" s="190"/>
      <c r="O184" s="190"/>
      <c r="P184" s="190"/>
      <c r="Q184" s="190"/>
      <c r="R184" s="190"/>
      <c r="S184" s="190"/>
      <c r="T184" s="191"/>
      <c r="AT184" s="185" t="s">
        <v>193</v>
      </c>
      <c r="AU184" s="185" t="s">
        <v>87</v>
      </c>
      <c r="AV184" s="16" t="s">
        <v>185</v>
      </c>
      <c r="AW184" s="16" t="s">
        <v>36</v>
      </c>
      <c r="AX184" s="16" t="s">
        <v>85</v>
      </c>
      <c r="AY184" s="185" t="s">
        <v>177</v>
      </c>
    </row>
    <row r="185" spans="1:65" s="12" customFormat="1" ht="20.85" customHeight="1">
      <c r="B185" s="126"/>
      <c r="D185" s="127" t="s">
        <v>76</v>
      </c>
      <c r="E185" s="137" t="s">
        <v>1132</v>
      </c>
      <c r="F185" s="137" t="s">
        <v>1956</v>
      </c>
      <c r="I185" s="129"/>
      <c r="J185" s="138">
        <f>BK185</f>
        <v>0</v>
      </c>
      <c r="L185" s="126"/>
      <c r="M185" s="131"/>
      <c r="N185" s="132"/>
      <c r="O185" s="132"/>
      <c r="P185" s="133">
        <f>SUM(P186:P228)</f>
        <v>0</v>
      </c>
      <c r="Q185" s="132"/>
      <c r="R185" s="133">
        <f>SUM(R186:R228)</f>
        <v>9.6387848333278008</v>
      </c>
      <c r="S185" s="132"/>
      <c r="T185" s="134">
        <f>SUM(T186:T228)</f>
        <v>0</v>
      </c>
      <c r="AR185" s="127" t="s">
        <v>85</v>
      </c>
      <c r="AT185" s="135" t="s">
        <v>76</v>
      </c>
      <c r="AU185" s="135" t="s">
        <v>87</v>
      </c>
      <c r="AY185" s="127" t="s">
        <v>177</v>
      </c>
      <c r="BK185" s="136">
        <f>SUM(BK186:BK228)</f>
        <v>0</v>
      </c>
    </row>
    <row r="186" spans="1:65" s="2" customFormat="1" ht="16.5" customHeight="1">
      <c r="A186" s="34"/>
      <c r="B186" s="139"/>
      <c r="C186" s="140" t="s">
        <v>237</v>
      </c>
      <c r="D186" s="140" t="s">
        <v>180</v>
      </c>
      <c r="E186" s="141" t="s">
        <v>1957</v>
      </c>
      <c r="F186" s="142" t="s">
        <v>1958</v>
      </c>
      <c r="G186" s="143" t="s">
        <v>808</v>
      </c>
      <c r="H186" s="144">
        <v>3.605</v>
      </c>
      <c r="I186" s="145"/>
      <c r="J186" s="146">
        <f>ROUND(I186*H186,2)</f>
        <v>0</v>
      </c>
      <c r="K186" s="142" t="s">
        <v>184</v>
      </c>
      <c r="L186" s="35"/>
      <c r="M186" s="147" t="s">
        <v>3</v>
      </c>
      <c r="N186" s="148" t="s">
        <v>48</v>
      </c>
      <c r="O186" s="55"/>
      <c r="P186" s="149">
        <f>O186*H186</f>
        <v>0</v>
      </c>
      <c r="Q186" s="149">
        <v>2.50194574</v>
      </c>
      <c r="R186" s="149">
        <f>Q186*H186</f>
        <v>9.0195143926999997</v>
      </c>
      <c r="S186" s="149">
        <v>0</v>
      </c>
      <c r="T186" s="150">
        <f>S186*H186</f>
        <v>0</v>
      </c>
      <c r="U186" s="34"/>
      <c r="V186" s="34"/>
      <c r="W186" s="34"/>
      <c r="X186" s="34"/>
      <c r="Y186" s="34"/>
      <c r="Z186" s="34"/>
      <c r="AA186" s="34"/>
      <c r="AB186" s="34"/>
      <c r="AC186" s="34"/>
      <c r="AD186" s="34"/>
      <c r="AE186" s="34"/>
      <c r="AR186" s="151" t="s">
        <v>185</v>
      </c>
      <c r="AT186" s="151" t="s">
        <v>180</v>
      </c>
      <c r="AU186" s="151" t="s">
        <v>198</v>
      </c>
      <c r="AY186" s="19" t="s">
        <v>177</v>
      </c>
      <c r="BE186" s="152">
        <f>IF(N186="základní",J186,0)</f>
        <v>0</v>
      </c>
      <c r="BF186" s="152">
        <f>IF(N186="snížená",J186,0)</f>
        <v>0</v>
      </c>
      <c r="BG186" s="152">
        <f>IF(N186="zákl. přenesená",J186,0)</f>
        <v>0</v>
      </c>
      <c r="BH186" s="152">
        <f>IF(N186="sníž. přenesená",J186,0)</f>
        <v>0</v>
      </c>
      <c r="BI186" s="152">
        <f>IF(N186="nulová",J186,0)</f>
        <v>0</v>
      </c>
      <c r="BJ186" s="19" t="s">
        <v>85</v>
      </c>
      <c r="BK186" s="152">
        <f>ROUND(I186*H186,2)</f>
        <v>0</v>
      </c>
      <c r="BL186" s="19" t="s">
        <v>185</v>
      </c>
      <c r="BM186" s="151" t="s">
        <v>1959</v>
      </c>
    </row>
    <row r="187" spans="1:65" s="2" customFormat="1">
      <c r="A187" s="34"/>
      <c r="B187" s="35"/>
      <c r="C187" s="34"/>
      <c r="D187" s="153" t="s">
        <v>187</v>
      </c>
      <c r="E187" s="34"/>
      <c r="F187" s="154" t="s">
        <v>1960</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187</v>
      </c>
      <c r="AU187" s="19" t="s">
        <v>198</v>
      </c>
    </row>
    <row r="188" spans="1:65" s="2" customFormat="1">
      <c r="A188" s="34"/>
      <c r="B188" s="35"/>
      <c r="C188" s="34"/>
      <c r="D188" s="158" t="s">
        <v>189</v>
      </c>
      <c r="E188" s="34"/>
      <c r="F188" s="159" t="s">
        <v>1961</v>
      </c>
      <c r="G188" s="34"/>
      <c r="H188" s="34"/>
      <c r="I188" s="155"/>
      <c r="J188" s="34"/>
      <c r="K188" s="34"/>
      <c r="L188" s="35"/>
      <c r="M188" s="156"/>
      <c r="N188" s="157"/>
      <c r="O188" s="55"/>
      <c r="P188" s="55"/>
      <c r="Q188" s="55"/>
      <c r="R188" s="55"/>
      <c r="S188" s="55"/>
      <c r="T188" s="56"/>
      <c r="U188" s="34"/>
      <c r="V188" s="34"/>
      <c r="W188" s="34"/>
      <c r="X188" s="34"/>
      <c r="Y188" s="34"/>
      <c r="Z188" s="34"/>
      <c r="AA188" s="34"/>
      <c r="AB188" s="34"/>
      <c r="AC188" s="34"/>
      <c r="AD188" s="34"/>
      <c r="AE188" s="34"/>
      <c r="AT188" s="19" t="s">
        <v>189</v>
      </c>
      <c r="AU188" s="19" t="s">
        <v>198</v>
      </c>
    </row>
    <row r="189" spans="1:65" s="13" customFormat="1">
      <c r="B189" s="161"/>
      <c r="D189" s="153" t="s">
        <v>193</v>
      </c>
      <c r="E189" s="162" t="s">
        <v>3</v>
      </c>
      <c r="F189" s="163" t="s">
        <v>1962</v>
      </c>
      <c r="H189" s="164">
        <v>1.595</v>
      </c>
      <c r="I189" s="165"/>
      <c r="L189" s="161"/>
      <c r="M189" s="166"/>
      <c r="N189" s="167"/>
      <c r="O189" s="167"/>
      <c r="P189" s="167"/>
      <c r="Q189" s="167"/>
      <c r="R189" s="167"/>
      <c r="S189" s="167"/>
      <c r="T189" s="168"/>
      <c r="AT189" s="162" t="s">
        <v>193</v>
      </c>
      <c r="AU189" s="162" t="s">
        <v>198</v>
      </c>
      <c r="AV189" s="13" t="s">
        <v>87</v>
      </c>
      <c r="AW189" s="13" t="s">
        <v>36</v>
      </c>
      <c r="AX189" s="13" t="s">
        <v>77</v>
      </c>
      <c r="AY189" s="162" t="s">
        <v>177</v>
      </c>
    </row>
    <row r="190" spans="1:65" s="13" customFormat="1">
      <c r="B190" s="161"/>
      <c r="D190" s="153" t="s">
        <v>193</v>
      </c>
      <c r="E190" s="162" t="s">
        <v>3</v>
      </c>
      <c r="F190" s="163" t="s">
        <v>1963</v>
      </c>
      <c r="H190" s="164">
        <v>0.67500000000000004</v>
      </c>
      <c r="I190" s="165"/>
      <c r="L190" s="161"/>
      <c r="M190" s="166"/>
      <c r="N190" s="167"/>
      <c r="O190" s="167"/>
      <c r="P190" s="167"/>
      <c r="Q190" s="167"/>
      <c r="R190" s="167"/>
      <c r="S190" s="167"/>
      <c r="T190" s="168"/>
      <c r="AT190" s="162" t="s">
        <v>193</v>
      </c>
      <c r="AU190" s="162" t="s">
        <v>198</v>
      </c>
      <c r="AV190" s="13" t="s">
        <v>87</v>
      </c>
      <c r="AW190" s="13" t="s">
        <v>36</v>
      </c>
      <c r="AX190" s="13" t="s">
        <v>77</v>
      </c>
      <c r="AY190" s="162" t="s">
        <v>177</v>
      </c>
    </row>
    <row r="191" spans="1:65" s="13" customFormat="1">
      <c r="B191" s="161"/>
      <c r="D191" s="153" t="s">
        <v>193</v>
      </c>
      <c r="E191" s="162" t="s">
        <v>3</v>
      </c>
      <c r="F191" s="163" t="s">
        <v>1964</v>
      </c>
      <c r="H191" s="164">
        <v>1.335</v>
      </c>
      <c r="I191" s="165"/>
      <c r="L191" s="161"/>
      <c r="M191" s="166"/>
      <c r="N191" s="167"/>
      <c r="O191" s="167"/>
      <c r="P191" s="167"/>
      <c r="Q191" s="167"/>
      <c r="R191" s="167"/>
      <c r="S191" s="167"/>
      <c r="T191" s="168"/>
      <c r="AT191" s="162" t="s">
        <v>193</v>
      </c>
      <c r="AU191" s="162" t="s">
        <v>198</v>
      </c>
      <c r="AV191" s="13" t="s">
        <v>87</v>
      </c>
      <c r="AW191" s="13" t="s">
        <v>36</v>
      </c>
      <c r="AX191" s="13" t="s">
        <v>77</v>
      </c>
      <c r="AY191" s="162" t="s">
        <v>177</v>
      </c>
    </row>
    <row r="192" spans="1:65" s="16" customFormat="1">
      <c r="B192" s="184"/>
      <c r="D192" s="153" t="s">
        <v>193</v>
      </c>
      <c r="E192" s="185" t="s">
        <v>3</v>
      </c>
      <c r="F192" s="186" t="s">
        <v>201</v>
      </c>
      <c r="H192" s="187">
        <v>3.605</v>
      </c>
      <c r="I192" s="188"/>
      <c r="L192" s="184"/>
      <c r="M192" s="189"/>
      <c r="N192" s="190"/>
      <c r="O192" s="190"/>
      <c r="P192" s="190"/>
      <c r="Q192" s="190"/>
      <c r="R192" s="190"/>
      <c r="S192" s="190"/>
      <c r="T192" s="191"/>
      <c r="AT192" s="185" t="s">
        <v>193</v>
      </c>
      <c r="AU192" s="185" t="s">
        <v>198</v>
      </c>
      <c r="AV192" s="16" t="s">
        <v>185</v>
      </c>
      <c r="AW192" s="16" t="s">
        <v>36</v>
      </c>
      <c r="AX192" s="16" t="s">
        <v>85</v>
      </c>
      <c r="AY192" s="185" t="s">
        <v>177</v>
      </c>
    </row>
    <row r="193" spans="1:65" s="2" customFormat="1" ht="16.5" customHeight="1">
      <c r="A193" s="34"/>
      <c r="B193" s="139"/>
      <c r="C193" s="140" t="s">
        <v>302</v>
      </c>
      <c r="D193" s="140" t="s">
        <v>180</v>
      </c>
      <c r="E193" s="141" t="s">
        <v>1965</v>
      </c>
      <c r="F193" s="142" t="s">
        <v>1966</v>
      </c>
      <c r="G193" s="143" t="s">
        <v>183</v>
      </c>
      <c r="H193" s="144">
        <v>4.7E-2</v>
      </c>
      <c r="I193" s="145"/>
      <c r="J193" s="146">
        <f>ROUND(I193*H193,2)</f>
        <v>0</v>
      </c>
      <c r="K193" s="142" t="s">
        <v>184</v>
      </c>
      <c r="L193" s="35"/>
      <c r="M193" s="147" t="s">
        <v>3</v>
      </c>
      <c r="N193" s="148" t="s">
        <v>48</v>
      </c>
      <c r="O193" s="55"/>
      <c r="P193" s="149">
        <f>O193*H193</f>
        <v>0</v>
      </c>
      <c r="Q193" s="149">
        <v>1.0492724</v>
      </c>
      <c r="R193" s="149">
        <f>Q193*H193</f>
        <v>4.9315802800000003E-2</v>
      </c>
      <c r="S193" s="149">
        <v>0</v>
      </c>
      <c r="T193" s="150">
        <f>S193*H193</f>
        <v>0</v>
      </c>
      <c r="U193" s="34"/>
      <c r="V193" s="34"/>
      <c r="W193" s="34"/>
      <c r="X193" s="34"/>
      <c r="Y193" s="34"/>
      <c r="Z193" s="34"/>
      <c r="AA193" s="34"/>
      <c r="AB193" s="34"/>
      <c r="AC193" s="34"/>
      <c r="AD193" s="34"/>
      <c r="AE193" s="34"/>
      <c r="AR193" s="151" t="s">
        <v>185</v>
      </c>
      <c r="AT193" s="151" t="s">
        <v>180</v>
      </c>
      <c r="AU193" s="151" t="s">
        <v>198</v>
      </c>
      <c r="AY193" s="19" t="s">
        <v>177</v>
      </c>
      <c r="BE193" s="152">
        <f>IF(N193="základní",J193,0)</f>
        <v>0</v>
      </c>
      <c r="BF193" s="152">
        <f>IF(N193="snížená",J193,0)</f>
        <v>0</v>
      </c>
      <c r="BG193" s="152">
        <f>IF(N193="zákl. přenesená",J193,0)</f>
        <v>0</v>
      </c>
      <c r="BH193" s="152">
        <f>IF(N193="sníž. přenesená",J193,0)</f>
        <v>0</v>
      </c>
      <c r="BI193" s="152">
        <f>IF(N193="nulová",J193,0)</f>
        <v>0</v>
      </c>
      <c r="BJ193" s="19" t="s">
        <v>85</v>
      </c>
      <c r="BK193" s="152">
        <f>ROUND(I193*H193,2)</f>
        <v>0</v>
      </c>
      <c r="BL193" s="19" t="s">
        <v>185</v>
      </c>
      <c r="BM193" s="151" t="s">
        <v>1967</v>
      </c>
    </row>
    <row r="194" spans="1:65" s="2" customFormat="1">
      <c r="A194" s="34"/>
      <c r="B194" s="35"/>
      <c r="C194" s="34"/>
      <c r="D194" s="153" t="s">
        <v>187</v>
      </c>
      <c r="E194" s="34"/>
      <c r="F194" s="154" t="s">
        <v>1968</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187</v>
      </c>
      <c r="AU194" s="19" t="s">
        <v>198</v>
      </c>
    </row>
    <row r="195" spans="1:65" s="2" customFormat="1">
      <c r="A195" s="34"/>
      <c r="B195" s="35"/>
      <c r="C195" s="34"/>
      <c r="D195" s="158" t="s">
        <v>189</v>
      </c>
      <c r="E195" s="34"/>
      <c r="F195" s="159" t="s">
        <v>1969</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189</v>
      </c>
      <c r="AU195" s="19" t="s">
        <v>198</v>
      </c>
    </row>
    <row r="196" spans="1:65" s="13" customFormat="1">
      <c r="B196" s="161"/>
      <c r="D196" s="153" t="s">
        <v>193</v>
      </c>
      <c r="E196" s="162" t="s">
        <v>3</v>
      </c>
      <c r="F196" s="163" t="s">
        <v>1970</v>
      </c>
      <c r="H196" s="164">
        <v>4.7E-2</v>
      </c>
      <c r="I196" s="165"/>
      <c r="L196" s="161"/>
      <c r="M196" s="166"/>
      <c r="N196" s="167"/>
      <c r="O196" s="167"/>
      <c r="P196" s="167"/>
      <c r="Q196" s="167"/>
      <c r="R196" s="167"/>
      <c r="S196" s="167"/>
      <c r="T196" s="168"/>
      <c r="AT196" s="162" t="s">
        <v>193</v>
      </c>
      <c r="AU196" s="162" t="s">
        <v>198</v>
      </c>
      <c r="AV196" s="13" t="s">
        <v>87</v>
      </c>
      <c r="AW196" s="13" t="s">
        <v>36</v>
      </c>
      <c r="AX196" s="13" t="s">
        <v>85</v>
      </c>
      <c r="AY196" s="162" t="s">
        <v>177</v>
      </c>
    </row>
    <row r="197" spans="1:65" s="2" customFormat="1" ht="16.5" customHeight="1">
      <c r="A197" s="34"/>
      <c r="B197" s="139"/>
      <c r="C197" s="140" t="s">
        <v>315</v>
      </c>
      <c r="D197" s="140" t="s">
        <v>180</v>
      </c>
      <c r="E197" s="141" t="s">
        <v>1971</v>
      </c>
      <c r="F197" s="142" t="s">
        <v>1972</v>
      </c>
      <c r="G197" s="143" t="s">
        <v>183</v>
      </c>
      <c r="H197" s="144">
        <v>9.4E-2</v>
      </c>
      <c r="I197" s="145"/>
      <c r="J197" s="146">
        <f>ROUND(I197*H197,2)</f>
        <v>0</v>
      </c>
      <c r="K197" s="142" t="s">
        <v>184</v>
      </c>
      <c r="L197" s="35"/>
      <c r="M197" s="147" t="s">
        <v>3</v>
      </c>
      <c r="N197" s="148" t="s">
        <v>48</v>
      </c>
      <c r="O197" s="55"/>
      <c r="P197" s="149">
        <f>O197*H197</f>
        <v>0</v>
      </c>
      <c r="Q197" s="149">
        <v>1.0627727796999999</v>
      </c>
      <c r="R197" s="149">
        <f>Q197*H197</f>
        <v>9.9900641291799999E-2</v>
      </c>
      <c r="S197" s="149">
        <v>0</v>
      </c>
      <c r="T197" s="150">
        <f>S197*H197</f>
        <v>0</v>
      </c>
      <c r="U197" s="34"/>
      <c r="V197" s="34"/>
      <c r="W197" s="34"/>
      <c r="X197" s="34"/>
      <c r="Y197" s="34"/>
      <c r="Z197" s="34"/>
      <c r="AA197" s="34"/>
      <c r="AB197" s="34"/>
      <c r="AC197" s="34"/>
      <c r="AD197" s="34"/>
      <c r="AE197" s="34"/>
      <c r="AR197" s="151" t="s">
        <v>185</v>
      </c>
      <c r="AT197" s="151" t="s">
        <v>180</v>
      </c>
      <c r="AU197" s="151" t="s">
        <v>198</v>
      </c>
      <c r="AY197" s="19" t="s">
        <v>177</v>
      </c>
      <c r="BE197" s="152">
        <f>IF(N197="základní",J197,0)</f>
        <v>0</v>
      </c>
      <c r="BF197" s="152">
        <f>IF(N197="snížená",J197,0)</f>
        <v>0</v>
      </c>
      <c r="BG197" s="152">
        <f>IF(N197="zákl. přenesená",J197,0)</f>
        <v>0</v>
      </c>
      <c r="BH197" s="152">
        <f>IF(N197="sníž. přenesená",J197,0)</f>
        <v>0</v>
      </c>
      <c r="BI197" s="152">
        <f>IF(N197="nulová",J197,0)</f>
        <v>0</v>
      </c>
      <c r="BJ197" s="19" t="s">
        <v>85</v>
      </c>
      <c r="BK197" s="152">
        <f>ROUND(I197*H197,2)</f>
        <v>0</v>
      </c>
      <c r="BL197" s="19" t="s">
        <v>185</v>
      </c>
      <c r="BM197" s="151" t="s">
        <v>1973</v>
      </c>
    </row>
    <row r="198" spans="1:65" s="2" customFormat="1">
      <c r="A198" s="34"/>
      <c r="B198" s="35"/>
      <c r="C198" s="34"/>
      <c r="D198" s="153" t="s">
        <v>187</v>
      </c>
      <c r="E198" s="34"/>
      <c r="F198" s="154" t="s">
        <v>1974</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187</v>
      </c>
      <c r="AU198" s="19" t="s">
        <v>198</v>
      </c>
    </row>
    <row r="199" spans="1:65" s="2" customFormat="1">
      <c r="A199" s="34"/>
      <c r="B199" s="35"/>
      <c r="C199" s="34"/>
      <c r="D199" s="158" t="s">
        <v>189</v>
      </c>
      <c r="E199" s="34"/>
      <c r="F199" s="159" t="s">
        <v>1975</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189</v>
      </c>
      <c r="AU199" s="19" t="s">
        <v>198</v>
      </c>
    </row>
    <row r="200" spans="1:65" s="13" customFormat="1">
      <c r="B200" s="161"/>
      <c r="D200" s="153" t="s">
        <v>193</v>
      </c>
      <c r="E200" s="162" t="s">
        <v>3</v>
      </c>
      <c r="F200" s="163" t="s">
        <v>1976</v>
      </c>
      <c r="H200" s="164">
        <v>9.4E-2</v>
      </c>
      <c r="I200" s="165"/>
      <c r="L200" s="161"/>
      <c r="M200" s="166"/>
      <c r="N200" s="167"/>
      <c r="O200" s="167"/>
      <c r="P200" s="167"/>
      <c r="Q200" s="167"/>
      <c r="R200" s="167"/>
      <c r="S200" s="167"/>
      <c r="T200" s="168"/>
      <c r="AT200" s="162" t="s">
        <v>193</v>
      </c>
      <c r="AU200" s="162" t="s">
        <v>198</v>
      </c>
      <c r="AV200" s="13" t="s">
        <v>87</v>
      </c>
      <c r="AW200" s="13" t="s">
        <v>36</v>
      </c>
      <c r="AX200" s="13" t="s">
        <v>85</v>
      </c>
      <c r="AY200" s="162" t="s">
        <v>177</v>
      </c>
    </row>
    <row r="201" spans="1:65" s="2" customFormat="1" ht="16.5" customHeight="1">
      <c r="A201" s="34"/>
      <c r="B201" s="139"/>
      <c r="C201" s="140" t="s">
        <v>461</v>
      </c>
      <c r="D201" s="140" t="s">
        <v>180</v>
      </c>
      <c r="E201" s="141" t="s">
        <v>1977</v>
      </c>
      <c r="F201" s="142" t="s">
        <v>1978</v>
      </c>
      <c r="G201" s="143" t="s">
        <v>332</v>
      </c>
      <c r="H201" s="144">
        <v>27.056000000000001</v>
      </c>
      <c r="I201" s="145"/>
      <c r="J201" s="146">
        <f>ROUND(I201*H201,2)</f>
        <v>0</v>
      </c>
      <c r="K201" s="142" t="s">
        <v>184</v>
      </c>
      <c r="L201" s="35"/>
      <c r="M201" s="147" t="s">
        <v>3</v>
      </c>
      <c r="N201" s="148" t="s">
        <v>48</v>
      </c>
      <c r="O201" s="55"/>
      <c r="P201" s="149">
        <f>O201*H201</f>
        <v>0</v>
      </c>
      <c r="Q201" s="149">
        <v>1.2824856000000001E-2</v>
      </c>
      <c r="R201" s="149">
        <f>Q201*H201</f>
        <v>0.34698930393600003</v>
      </c>
      <c r="S201" s="149">
        <v>0</v>
      </c>
      <c r="T201" s="150">
        <f>S201*H201</f>
        <v>0</v>
      </c>
      <c r="U201" s="34"/>
      <c r="V201" s="34"/>
      <c r="W201" s="34"/>
      <c r="X201" s="34"/>
      <c r="Y201" s="34"/>
      <c r="Z201" s="34"/>
      <c r="AA201" s="34"/>
      <c r="AB201" s="34"/>
      <c r="AC201" s="34"/>
      <c r="AD201" s="34"/>
      <c r="AE201" s="34"/>
      <c r="AR201" s="151" t="s">
        <v>185</v>
      </c>
      <c r="AT201" s="151" t="s">
        <v>180</v>
      </c>
      <c r="AU201" s="151" t="s">
        <v>198</v>
      </c>
      <c r="AY201" s="19" t="s">
        <v>177</v>
      </c>
      <c r="BE201" s="152">
        <f>IF(N201="základní",J201,0)</f>
        <v>0</v>
      </c>
      <c r="BF201" s="152">
        <f>IF(N201="snížená",J201,0)</f>
        <v>0</v>
      </c>
      <c r="BG201" s="152">
        <f>IF(N201="zákl. přenesená",J201,0)</f>
        <v>0</v>
      </c>
      <c r="BH201" s="152">
        <f>IF(N201="sníž. přenesená",J201,0)</f>
        <v>0</v>
      </c>
      <c r="BI201" s="152">
        <f>IF(N201="nulová",J201,0)</f>
        <v>0</v>
      </c>
      <c r="BJ201" s="19" t="s">
        <v>85</v>
      </c>
      <c r="BK201" s="152">
        <f>ROUND(I201*H201,2)</f>
        <v>0</v>
      </c>
      <c r="BL201" s="19" t="s">
        <v>185</v>
      </c>
      <c r="BM201" s="151" t="s">
        <v>1979</v>
      </c>
    </row>
    <row r="202" spans="1:65" s="2" customFormat="1">
      <c r="A202" s="34"/>
      <c r="B202" s="35"/>
      <c r="C202" s="34"/>
      <c r="D202" s="153" t="s">
        <v>187</v>
      </c>
      <c r="E202" s="34"/>
      <c r="F202" s="154" t="s">
        <v>1980</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187</v>
      </c>
      <c r="AU202" s="19" t="s">
        <v>198</v>
      </c>
    </row>
    <row r="203" spans="1:65" s="2" customFormat="1">
      <c r="A203" s="34"/>
      <c r="B203" s="35"/>
      <c r="C203" s="34"/>
      <c r="D203" s="158" t="s">
        <v>189</v>
      </c>
      <c r="E203" s="34"/>
      <c r="F203" s="159" t="s">
        <v>1981</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189</v>
      </c>
      <c r="AU203" s="19" t="s">
        <v>198</v>
      </c>
    </row>
    <row r="204" spans="1:65" s="13" customFormat="1">
      <c r="B204" s="161"/>
      <c r="D204" s="153" t="s">
        <v>193</v>
      </c>
      <c r="E204" s="162" t="s">
        <v>3</v>
      </c>
      <c r="F204" s="163" t="s">
        <v>1982</v>
      </c>
      <c r="H204" s="164">
        <v>4.806</v>
      </c>
      <c r="I204" s="165"/>
      <c r="L204" s="161"/>
      <c r="M204" s="166"/>
      <c r="N204" s="167"/>
      <c r="O204" s="167"/>
      <c r="P204" s="167"/>
      <c r="Q204" s="167"/>
      <c r="R204" s="167"/>
      <c r="S204" s="167"/>
      <c r="T204" s="168"/>
      <c r="AT204" s="162" t="s">
        <v>193</v>
      </c>
      <c r="AU204" s="162" t="s">
        <v>198</v>
      </c>
      <c r="AV204" s="13" t="s">
        <v>87</v>
      </c>
      <c r="AW204" s="13" t="s">
        <v>36</v>
      </c>
      <c r="AX204" s="13" t="s">
        <v>77</v>
      </c>
      <c r="AY204" s="162" t="s">
        <v>177</v>
      </c>
    </row>
    <row r="205" spans="1:65" s="13" customFormat="1">
      <c r="B205" s="161"/>
      <c r="D205" s="153" t="s">
        <v>193</v>
      </c>
      <c r="E205" s="162" t="s">
        <v>3</v>
      </c>
      <c r="F205" s="163" t="s">
        <v>1983</v>
      </c>
      <c r="H205" s="164">
        <v>17.25</v>
      </c>
      <c r="I205" s="165"/>
      <c r="L205" s="161"/>
      <c r="M205" s="166"/>
      <c r="N205" s="167"/>
      <c r="O205" s="167"/>
      <c r="P205" s="167"/>
      <c r="Q205" s="167"/>
      <c r="R205" s="167"/>
      <c r="S205" s="167"/>
      <c r="T205" s="168"/>
      <c r="AT205" s="162" t="s">
        <v>193</v>
      </c>
      <c r="AU205" s="162" t="s">
        <v>198</v>
      </c>
      <c r="AV205" s="13" t="s">
        <v>87</v>
      </c>
      <c r="AW205" s="13" t="s">
        <v>36</v>
      </c>
      <c r="AX205" s="13" t="s">
        <v>77</v>
      </c>
      <c r="AY205" s="162" t="s">
        <v>177</v>
      </c>
    </row>
    <row r="206" spans="1:65" s="15" customFormat="1">
      <c r="B206" s="176"/>
      <c r="D206" s="153" t="s">
        <v>193</v>
      </c>
      <c r="E206" s="177" t="s">
        <v>3</v>
      </c>
      <c r="F206" s="178" t="s">
        <v>197</v>
      </c>
      <c r="H206" s="179">
        <v>22.056000000000001</v>
      </c>
      <c r="I206" s="180"/>
      <c r="L206" s="176"/>
      <c r="M206" s="181"/>
      <c r="N206" s="182"/>
      <c r="O206" s="182"/>
      <c r="P206" s="182"/>
      <c r="Q206" s="182"/>
      <c r="R206" s="182"/>
      <c r="S206" s="182"/>
      <c r="T206" s="183"/>
      <c r="AT206" s="177" t="s">
        <v>193</v>
      </c>
      <c r="AU206" s="177" t="s">
        <v>198</v>
      </c>
      <c r="AV206" s="15" t="s">
        <v>198</v>
      </c>
      <c r="AW206" s="15" t="s">
        <v>36</v>
      </c>
      <c r="AX206" s="15" t="s">
        <v>77</v>
      </c>
      <c r="AY206" s="177" t="s">
        <v>177</v>
      </c>
    </row>
    <row r="207" spans="1:65" s="14" customFormat="1">
      <c r="B207" s="169"/>
      <c r="D207" s="153" t="s">
        <v>193</v>
      </c>
      <c r="E207" s="170" t="s">
        <v>3</v>
      </c>
      <c r="F207" s="171" t="s">
        <v>1984</v>
      </c>
      <c r="H207" s="170" t="s">
        <v>3</v>
      </c>
      <c r="I207" s="172"/>
      <c r="L207" s="169"/>
      <c r="M207" s="173"/>
      <c r="N207" s="174"/>
      <c r="O207" s="174"/>
      <c r="P207" s="174"/>
      <c r="Q207" s="174"/>
      <c r="R207" s="174"/>
      <c r="S207" s="174"/>
      <c r="T207" s="175"/>
      <c r="AT207" s="170" t="s">
        <v>193</v>
      </c>
      <c r="AU207" s="170" t="s">
        <v>198</v>
      </c>
      <c r="AV207" s="14" t="s">
        <v>85</v>
      </c>
      <c r="AW207" s="14" t="s">
        <v>36</v>
      </c>
      <c r="AX207" s="14" t="s">
        <v>77</v>
      </c>
      <c r="AY207" s="170" t="s">
        <v>177</v>
      </c>
    </row>
    <row r="208" spans="1:65" s="13" customFormat="1">
      <c r="B208" s="161"/>
      <c r="D208" s="153" t="s">
        <v>193</v>
      </c>
      <c r="E208" s="162" t="s">
        <v>3</v>
      </c>
      <c r="F208" s="163" t="s">
        <v>200</v>
      </c>
      <c r="H208" s="164">
        <v>5</v>
      </c>
      <c r="I208" s="165"/>
      <c r="L208" s="161"/>
      <c r="M208" s="166"/>
      <c r="N208" s="167"/>
      <c r="O208" s="167"/>
      <c r="P208" s="167"/>
      <c r="Q208" s="167"/>
      <c r="R208" s="167"/>
      <c r="S208" s="167"/>
      <c r="T208" s="168"/>
      <c r="AT208" s="162" t="s">
        <v>193</v>
      </c>
      <c r="AU208" s="162" t="s">
        <v>198</v>
      </c>
      <c r="AV208" s="13" t="s">
        <v>87</v>
      </c>
      <c r="AW208" s="13" t="s">
        <v>36</v>
      </c>
      <c r="AX208" s="13" t="s">
        <v>77</v>
      </c>
      <c r="AY208" s="162" t="s">
        <v>177</v>
      </c>
    </row>
    <row r="209" spans="1:65" s="16" customFormat="1">
      <c r="B209" s="184"/>
      <c r="D209" s="153" t="s">
        <v>193</v>
      </c>
      <c r="E209" s="185" t="s">
        <v>3</v>
      </c>
      <c r="F209" s="186" t="s">
        <v>201</v>
      </c>
      <c r="H209" s="187">
        <v>27.056000000000001</v>
      </c>
      <c r="I209" s="188"/>
      <c r="L209" s="184"/>
      <c r="M209" s="189"/>
      <c r="N209" s="190"/>
      <c r="O209" s="190"/>
      <c r="P209" s="190"/>
      <c r="Q209" s="190"/>
      <c r="R209" s="190"/>
      <c r="S209" s="190"/>
      <c r="T209" s="191"/>
      <c r="AT209" s="185" t="s">
        <v>193</v>
      </c>
      <c r="AU209" s="185" t="s">
        <v>198</v>
      </c>
      <c r="AV209" s="16" t="s">
        <v>185</v>
      </c>
      <c r="AW209" s="16" t="s">
        <v>36</v>
      </c>
      <c r="AX209" s="16" t="s">
        <v>85</v>
      </c>
      <c r="AY209" s="185" t="s">
        <v>177</v>
      </c>
    </row>
    <row r="210" spans="1:65" s="2" customFormat="1" ht="16.5" customHeight="1">
      <c r="A210" s="34"/>
      <c r="B210" s="139"/>
      <c r="C210" s="140" t="s">
        <v>467</v>
      </c>
      <c r="D210" s="140" t="s">
        <v>180</v>
      </c>
      <c r="E210" s="141" t="s">
        <v>1985</v>
      </c>
      <c r="F210" s="142" t="s">
        <v>1986</v>
      </c>
      <c r="G210" s="143" t="s">
        <v>332</v>
      </c>
      <c r="H210" s="144">
        <v>27.056000000000001</v>
      </c>
      <c r="I210" s="145"/>
      <c r="J210" s="146">
        <f>ROUND(I210*H210,2)</f>
        <v>0</v>
      </c>
      <c r="K210" s="142" t="s">
        <v>184</v>
      </c>
      <c r="L210" s="35"/>
      <c r="M210" s="147" t="s">
        <v>3</v>
      </c>
      <c r="N210" s="148" t="s">
        <v>48</v>
      </c>
      <c r="O210" s="55"/>
      <c r="P210" s="149">
        <f>O210*H210</f>
        <v>0</v>
      </c>
      <c r="Q210" s="149">
        <v>0</v>
      </c>
      <c r="R210" s="149">
        <f>Q210*H210</f>
        <v>0</v>
      </c>
      <c r="S210" s="149">
        <v>0</v>
      </c>
      <c r="T210" s="150">
        <f>S210*H210</f>
        <v>0</v>
      </c>
      <c r="U210" s="34"/>
      <c r="V210" s="34"/>
      <c r="W210" s="34"/>
      <c r="X210" s="34"/>
      <c r="Y210" s="34"/>
      <c r="Z210" s="34"/>
      <c r="AA210" s="34"/>
      <c r="AB210" s="34"/>
      <c r="AC210" s="34"/>
      <c r="AD210" s="34"/>
      <c r="AE210" s="34"/>
      <c r="AR210" s="151" t="s">
        <v>185</v>
      </c>
      <c r="AT210" s="151" t="s">
        <v>180</v>
      </c>
      <c r="AU210" s="151" t="s">
        <v>198</v>
      </c>
      <c r="AY210" s="19" t="s">
        <v>177</v>
      </c>
      <c r="BE210" s="152">
        <f>IF(N210="základní",J210,0)</f>
        <v>0</v>
      </c>
      <c r="BF210" s="152">
        <f>IF(N210="snížená",J210,0)</f>
        <v>0</v>
      </c>
      <c r="BG210" s="152">
        <f>IF(N210="zákl. přenesená",J210,0)</f>
        <v>0</v>
      </c>
      <c r="BH210" s="152">
        <f>IF(N210="sníž. přenesená",J210,0)</f>
        <v>0</v>
      </c>
      <c r="BI210" s="152">
        <f>IF(N210="nulová",J210,0)</f>
        <v>0</v>
      </c>
      <c r="BJ210" s="19" t="s">
        <v>85</v>
      </c>
      <c r="BK210" s="152">
        <f>ROUND(I210*H210,2)</f>
        <v>0</v>
      </c>
      <c r="BL210" s="19" t="s">
        <v>185</v>
      </c>
      <c r="BM210" s="151" t="s">
        <v>1987</v>
      </c>
    </row>
    <row r="211" spans="1:65" s="2" customFormat="1">
      <c r="A211" s="34"/>
      <c r="B211" s="35"/>
      <c r="C211" s="34"/>
      <c r="D211" s="153" t="s">
        <v>187</v>
      </c>
      <c r="E211" s="34"/>
      <c r="F211" s="154" t="s">
        <v>1988</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187</v>
      </c>
      <c r="AU211" s="19" t="s">
        <v>198</v>
      </c>
    </row>
    <row r="212" spans="1:65" s="2" customFormat="1">
      <c r="A212" s="34"/>
      <c r="B212" s="35"/>
      <c r="C212" s="34"/>
      <c r="D212" s="158" t="s">
        <v>189</v>
      </c>
      <c r="E212" s="34"/>
      <c r="F212" s="159" t="s">
        <v>1989</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189</v>
      </c>
      <c r="AU212" s="19" t="s">
        <v>198</v>
      </c>
    </row>
    <row r="213" spans="1:65" s="2" customFormat="1" ht="16.5" customHeight="1">
      <c r="A213" s="34"/>
      <c r="B213" s="139"/>
      <c r="C213" s="140" t="s">
        <v>8</v>
      </c>
      <c r="D213" s="140" t="s">
        <v>180</v>
      </c>
      <c r="E213" s="141" t="s">
        <v>1990</v>
      </c>
      <c r="F213" s="142" t="s">
        <v>1991</v>
      </c>
      <c r="G213" s="143" t="s">
        <v>332</v>
      </c>
      <c r="H213" s="144">
        <v>17.25</v>
      </c>
      <c r="I213" s="145"/>
      <c r="J213" s="146">
        <f>ROUND(I213*H213,2)</f>
        <v>0</v>
      </c>
      <c r="K213" s="142" t="s">
        <v>184</v>
      </c>
      <c r="L213" s="35"/>
      <c r="M213" s="147" t="s">
        <v>3</v>
      </c>
      <c r="N213" s="148" t="s">
        <v>48</v>
      </c>
      <c r="O213" s="55"/>
      <c r="P213" s="149">
        <f>O213*H213</f>
        <v>0</v>
      </c>
      <c r="Q213" s="149">
        <v>2.8054999999999998E-3</v>
      </c>
      <c r="R213" s="149">
        <f>Q213*H213</f>
        <v>4.8394874999999997E-2</v>
      </c>
      <c r="S213" s="149">
        <v>0</v>
      </c>
      <c r="T213" s="150">
        <f>S213*H213</f>
        <v>0</v>
      </c>
      <c r="U213" s="34"/>
      <c r="V213" s="34"/>
      <c r="W213" s="34"/>
      <c r="X213" s="34"/>
      <c r="Y213" s="34"/>
      <c r="Z213" s="34"/>
      <c r="AA213" s="34"/>
      <c r="AB213" s="34"/>
      <c r="AC213" s="34"/>
      <c r="AD213" s="34"/>
      <c r="AE213" s="34"/>
      <c r="AR213" s="151" t="s">
        <v>185</v>
      </c>
      <c r="AT213" s="151" t="s">
        <v>180</v>
      </c>
      <c r="AU213" s="151" t="s">
        <v>198</v>
      </c>
      <c r="AY213" s="19" t="s">
        <v>177</v>
      </c>
      <c r="BE213" s="152">
        <f>IF(N213="základní",J213,0)</f>
        <v>0</v>
      </c>
      <c r="BF213" s="152">
        <f>IF(N213="snížená",J213,0)</f>
        <v>0</v>
      </c>
      <c r="BG213" s="152">
        <f>IF(N213="zákl. přenesená",J213,0)</f>
        <v>0</v>
      </c>
      <c r="BH213" s="152">
        <f>IF(N213="sníž. přenesená",J213,0)</f>
        <v>0</v>
      </c>
      <c r="BI213" s="152">
        <f>IF(N213="nulová",J213,0)</f>
        <v>0</v>
      </c>
      <c r="BJ213" s="19" t="s">
        <v>85</v>
      </c>
      <c r="BK213" s="152">
        <f>ROUND(I213*H213,2)</f>
        <v>0</v>
      </c>
      <c r="BL213" s="19" t="s">
        <v>185</v>
      </c>
      <c r="BM213" s="151" t="s">
        <v>1992</v>
      </c>
    </row>
    <row r="214" spans="1:65" s="2" customFormat="1" ht="19.5">
      <c r="A214" s="34"/>
      <c r="B214" s="35"/>
      <c r="C214" s="34"/>
      <c r="D214" s="153" t="s">
        <v>187</v>
      </c>
      <c r="E214" s="34"/>
      <c r="F214" s="154" t="s">
        <v>1993</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187</v>
      </c>
      <c r="AU214" s="19" t="s">
        <v>198</v>
      </c>
    </row>
    <row r="215" spans="1:65" s="2" customFormat="1">
      <c r="A215" s="34"/>
      <c r="B215" s="35"/>
      <c r="C215" s="34"/>
      <c r="D215" s="158" t="s">
        <v>189</v>
      </c>
      <c r="E215" s="34"/>
      <c r="F215" s="159" t="s">
        <v>1994</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189</v>
      </c>
      <c r="AU215" s="19" t="s">
        <v>198</v>
      </c>
    </row>
    <row r="216" spans="1:65" s="13" customFormat="1">
      <c r="B216" s="161"/>
      <c r="D216" s="153" t="s">
        <v>193</v>
      </c>
      <c r="E216" s="162" t="s">
        <v>3</v>
      </c>
      <c r="F216" s="163" t="s">
        <v>1983</v>
      </c>
      <c r="H216" s="164">
        <v>17.25</v>
      </c>
      <c r="I216" s="165"/>
      <c r="L216" s="161"/>
      <c r="M216" s="166"/>
      <c r="N216" s="167"/>
      <c r="O216" s="167"/>
      <c r="P216" s="167"/>
      <c r="Q216" s="167"/>
      <c r="R216" s="167"/>
      <c r="S216" s="167"/>
      <c r="T216" s="168"/>
      <c r="AT216" s="162" t="s">
        <v>193</v>
      </c>
      <c r="AU216" s="162" t="s">
        <v>198</v>
      </c>
      <c r="AV216" s="13" t="s">
        <v>87</v>
      </c>
      <c r="AW216" s="13" t="s">
        <v>36</v>
      </c>
      <c r="AX216" s="13" t="s">
        <v>85</v>
      </c>
      <c r="AY216" s="162" t="s">
        <v>177</v>
      </c>
    </row>
    <row r="217" spans="1:65" s="2" customFormat="1" ht="16.5" customHeight="1">
      <c r="A217" s="34"/>
      <c r="B217" s="139"/>
      <c r="C217" s="140" t="s">
        <v>483</v>
      </c>
      <c r="D217" s="140" t="s">
        <v>180</v>
      </c>
      <c r="E217" s="141" t="s">
        <v>1995</v>
      </c>
      <c r="F217" s="142" t="s">
        <v>1996</v>
      </c>
      <c r="G217" s="143" t="s">
        <v>332</v>
      </c>
      <c r="H217" s="144">
        <v>17.25</v>
      </c>
      <c r="I217" s="145"/>
      <c r="J217" s="146">
        <f>ROUND(I217*H217,2)</f>
        <v>0</v>
      </c>
      <c r="K217" s="142" t="s">
        <v>184</v>
      </c>
      <c r="L217" s="35"/>
      <c r="M217" s="147" t="s">
        <v>3</v>
      </c>
      <c r="N217" s="148" t="s">
        <v>48</v>
      </c>
      <c r="O217" s="55"/>
      <c r="P217" s="149">
        <f>O217*H217</f>
        <v>0</v>
      </c>
      <c r="Q217" s="149">
        <v>0</v>
      </c>
      <c r="R217" s="149">
        <f>Q217*H217</f>
        <v>0</v>
      </c>
      <c r="S217" s="149">
        <v>0</v>
      </c>
      <c r="T217" s="150">
        <f>S217*H217</f>
        <v>0</v>
      </c>
      <c r="U217" s="34"/>
      <c r="V217" s="34"/>
      <c r="W217" s="34"/>
      <c r="X217" s="34"/>
      <c r="Y217" s="34"/>
      <c r="Z217" s="34"/>
      <c r="AA217" s="34"/>
      <c r="AB217" s="34"/>
      <c r="AC217" s="34"/>
      <c r="AD217" s="34"/>
      <c r="AE217" s="34"/>
      <c r="AR217" s="151" t="s">
        <v>185</v>
      </c>
      <c r="AT217" s="151" t="s">
        <v>180</v>
      </c>
      <c r="AU217" s="151" t="s">
        <v>198</v>
      </c>
      <c r="AY217" s="19" t="s">
        <v>177</v>
      </c>
      <c r="BE217" s="152">
        <f>IF(N217="základní",J217,0)</f>
        <v>0</v>
      </c>
      <c r="BF217" s="152">
        <f>IF(N217="snížená",J217,0)</f>
        <v>0</v>
      </c>
      <c r="BG217" s="152">
        <f>IF(N217="zákl. přenesená",J217,0)</f>
        <v>0</v>
      </c>
      <c r="BH217" s="152">
        <f>IF(N217="sníž. přenesená",J217,0)</f>
        <v>0</v>
      </c>
      <c r="BI217" s="152">
        <f>IF(N217="nulová",J217,0)</f>
        <v>0</v>
      </c>
      <c r="BJ217" s="19" t="s">
        <v>85</v>
      </c>
      <c r="BK217" s="152">
        <f>ROUND(I217*H217,2)</f>
        <v>0</v>
      </c>
      <c r="BL217" s="19" t="s">
        <v>185</v>
      </c>
      <c r="BM217" s="151" t="s">
        <v>1997</v>
      </c>
    </row>
    <row r="218" spans="1:65" s="2" customFormat="1" ht="19.5">
      <c r="A218" s="34"/>
      <c r="B218" s="35"/>
      <c r="C218" s="34"/>
      <c r="D218" s="153" t="s">
        <v>187</v>
      </c>
      <c r="E218" s="34"/>
      <c r="F218" s="154" t="s">
        <v>1998</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187</v>
      </c>
      <c r="AU218" s="19" t="s">
        <v>198</v>
      </c>
    </row>
    <row r="219" spans="1:65" s="2" customFormat="1">
      <c r="A219" s="34"/>
      <c r="B219" s="35"/>
      <c r="C219" s="34"/>
      <c r="D219" s="158" t="s">
        <v>189</v>
      </c>
      <c r="E219" s="34"/>
      <c r="F219" s="159" t="s">
        <v>1999</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189</v>
      </c>
      <c r="AU219" s="19" t="s">
        <v>198</v>
      </c>
    </row>
    <row r="220" spans="1:65" s="2" customFormat="1" ht="16.5" customHeight="1">
      <c r="A220" s="34"/>
      <c r="B220" s="139"/>
      <c r="C220" s="140" t="s">
        <v>490</v>
      </c>
      <c r="D220" s="140" t="s">
        <v>180</v>
      </c>
      <c r="E220" s="141" t="s">
        <v>2000</v>
      </c>
      <c r="F220" s="142" t="s">
        <v>2001</v>
      </c>
      <c r="G220" s="143" t="s">
        <v>332</v>
      </c>
      <c r="H220" s="144">
        <v>11.34</v>
      </c>
      <c r="I220" s="145"/>
      <c r="J220" s="146">
        <f>ROUND(I220*H220,2)</f>
        <v>0</v>
      </c>
      <c r="K220" s="142" t="s">
        <v>184</v>
      </c>
      <c r="L220" s="35"/>
      <c r="M220" s="147" t="s">
        <v>3</v>
      </c>
      <c r="N220" s="148" t="s">
        <v>48</v>
      </c>
      <c r="O220" s="55"/>
      <c r="P220" s="149">
        <f>O220*H220</f>
        <v>0</v>
      </c>
      <c r="Q220" s="149">
        <v>6.5846400000000001E-3</v>
      </c>
      <c r="R220" s="149">
        <f>Q220*H220</f>
        <v>7.4669817599999994E-2</v>
      </c>
      <c r="S220" s="149">
        <v>0</v>
      </c>
      <c r="T220" s="150">
        <f>S220*H220</f>
        <v>0</v>
      </c>
      <c r="U220" s="34"/>
      <c r="V220" s="34"/>
      <c r="W220" s="34"/>
      <c r="X220" s="34"/>
      <c r="Y220" s="34"/>
      <c r="Z220" s="34"/>
      <c r="AA220" s="34"/>
      <c r="AB220" s="34"/>
      <c r="AC220" s="34"/>
      <c r="AD220" s="34"/>
      <c r="AE220" s="34"/>
      <c r="AR220" s="151" t="s">
        <v>185</v>
      </c>
      <c r="AT220" s="151" t="s">
        <v>180</v>
      </c>
      <c r="AU220" s="151" t="s">
        <v>198</v>
      </c>
      <c r="AY220" s="19" t="s">
        <v>177</v>
      </c>
      <c r="BE220" s="152">
        <f>IF(N220="základní",J220,0)</f>
        <v>0</v>
      </c>
      <c r="BF220" s="152">
        <f>IF(N220="snížená",J220,0)</f>
        <v>0</v>
      </c>
      <c r="BG220" s="152">
        <f>IF(N220="zákl. přenesená",J220,0)</f>
        <v>0</v>
      </c>
      <c r="BH220" s="152">
        <f>IF(N220="sníž. přenesená",J220,0)</f>
        <v>0</v>
      </c>
      <c r="BI220" s="152">
        <f>IF(N220="nulová",J220,0)</f>
        <v>0</v>
      </c>
      <c r="BJ220" s="19" t="s">
        <v>85</v>
      </c>
      <c r="BK220" s="152">
        <f>ROUND(I220*H220,2)</f>
        <v>0</v>
      </c>
      <c r="BL220" s="19" t="s">
        <v>185</v>
      </c>
      <c r="BM220" s="151" t="s">
        <v>2002</v>
      </c>
    </row>
    <row r="221" spans="1:65" s="2" customFormat="1">
      <c r="A221" s="34"/>
      <c r="B221" s="35"/>
      <c r="C221" s="34"/>
      <c r="D221" s="153" t="s">
        <v>187</v>
      </c>
      <c r="E221" s="34"/>
      <c r="F221" s="154" t="s">
        <v>2003</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187</v>
      </c>
      <c r="AU221" s="19" t="s">
        <v>198</v>
      </c>
    </row>
    <row r="222" spans="1:65" s="2" customFormat="1">
      <c r="A222" s="34"/>
      <c r="B222" s="35"/>
      <c r="C222" s="34"/>
      <c r="D222" s="158" t="s">
        <v>189</v>
      </c>
      <c r="E222" s="34"/>
      <c r="F222" s="159" t="s">
        <v>2004</v>
      </c>
      <c r="G222" s="34"/>
      <c r="H222" s="34"/>
      <c r="I222" s="155"/>
      <c r="J222" s="34"/>
      <c r="K222" s="34"/>
      <c r="L222" s="35"/>
      <c r="M222" s="156"/>
      <c r="N222" s="157"/>
      <c r="O222" s="55"/>
      <c r="P222" s="55"/>
      <c r="Q222" s="55"/>
      <c r="R222" s="55"/>
      <c r="S222" s="55"/>
      <c r="T222" s="56"/>
      <c r="U222" s="34"/>
      <c r="V222" s="34"/>
      <c r="W222" s="34"/>
      <c r="X222" s="34"/>
      <c r="Y222" s="34"/>
      <c r="Z222" s="34"/>
      <c r="AA222" s="34"/>
      <c r="AB222" s="34"/>
      <c r="AC222" s="34"/>
      <c r="AD222" s="34"/>
      <c r="AE222" s="34"/>
      <c r="AT222" s="19" t="s">
        <v>189</v>
      </c>
      <c r="AU222" s="19" t="s">
        <v>198</v>
      </c>
    </row>
    <row r="223" spans="1:65" s="2" customFormat="1" ht="29.25">
      <c r="A223" s="34"/>
      <c r="B223" s="35"/>
      <c r="C223" s="34"/>
      <c r="D223" s="153" t="s">
        <v>191</v>
      </c>
      <c r="E223" s="34"/>
      <c r="F223" s="160" t="s">
        <v>2005</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191</v>
      </c>
      <c r="AU223" s="19" t="s">
        <v>198</v>
      </c>
    </row>
    <row r="224" spans="1:65" s="13" customFormat="1">
      <c r="B224" s="161"/>
      <c r="D224" s="153" t="s">
        <v>193</v>
      </c>
      <c r="E224" s="162" t="s">
        <v>3</v>
      </c>
      <c r="F224" s="163" t="s">
        <v>2006</v>
      </c>
      <c r="H224" s="164">
        <v>11.34</v>
      </c>
      <c r="I224" s="165"/>
      <c r="L224" s="161"/>
      <c r="M224" s="166"/>
      <c r="N224" s="167"/>
      <c r="O224" s="167"/>
      <c r="P224" s="167"/>
      <c r="Q224" s="167"/>
      <c r="R224" s="167"/>
      <c r="S224" s="167"/>
      <c r="T224" s="168"/>
      <c r="AT224" s="162" t="s">
        <v>193</v>
      </c>
      <c r="AU224" s="162" t="s">
        <v>198</v>
      </c>
      <c r="AV224" s="13" t="s">
        <v>87</v>
      </c>
      <c r="AW224" s="13" t="s">
        <v>36</v>
      </c>
      <c r="AX224" s="13" t="s">
        <v>85</v>
      </c>
      <c r="AY224" s="162" t="s">
        <v>177</v>
      </c>
    </row>
    <row r="225" spans="1:65" s="2" customFormat="1" ht="16.5" customHeight="1">
      <c r="A225" s="34"/>
      <c r="B225" s="139"/>
      <c r="C225" s="140" t="s">
        <v>496</v>
      </c>
      <c r="D225" s="140" t="s">
        <v>180</v>
      </c>
      <c r="E225" s="141" t="s">
        <v>2007</v>
      </c>
      <c r="F225" s="142" t="s">
        <v>2008</v>
      </c>
      <c r="G225" s="143" t="s">
        <v>332</v>
      </c>
      <c r="H225" s="144">
        <v>11.34</v>
      </c>
      <c r="I225" s="145"/>
      <c r="J225" s="146">
        <f>ROUND(I225*H225,2)</f>
        <v>0</v>
      </c>
      <c r="K225" s="142" t="s">
        <v>184</v>
      </c>
      <c r="L225" s="35"/>
      <c r="M225" s="147" t="s">
        <v>3</v>
      </c>
      <c r="N225" s="148" t="s">
        <v>48</v>
      </c>
      <c r="O225" s="55"/>
      <c r="P225" s="149">
        <f>O225*H225</f>
        <v>0</v>
      </c>
      <c r="Q225" s="149">
        <v>0</v>
      </c>
      <c r="R225" s="149">
        <f>Q225*H225</f>
        <v>0</v>
      </c>
      <c r="S225" s="149">
        <v>0</v>
      </c>
      <c r="T225" s="150">
        <f>S225*H225</f>
        <v>0</v>
      </c>
      <c r="U225" s="34"/>
      <c r="V225" s="34"/>
      <c r="W225" s="34"/>
      <c r="X225" s="34"/>
      <c r="Y225" s="34"/>
      <c r="Z225" s="34"/>
      <c r="AA225" s="34"/>
      <c r="AB225" s="34"/>
      <c r="AC225" s="34"/>
      <c r="AD225" s="34"/>
      <c r="AE225" s="34"/>
      <c r="AR225" s="151" t="s">
        <v>185</v>
      </c>
      <c r="AT225" s="151" t="s">
        <v>180</v>
      </c>
      <c r="AU225" s="151" t="s">
        <v>198</v>
      </c>
      <c r="AY225" s="19" t="s">
        <v>177</v>
      </c>
      <c r="BE225" s="152">
        <f>IF(N225="základní",J225,0)</f>
        <v>0</v>
      </c>
      <c r="BF225" s="152">
        <f>IF(N225="snížená",J225,0)</f>
        <v>0</v>
      </c>
      <c r="BG225" s="152">
        <f>IF(N225="zákl. přenesená",J225,0)</f>
        <v>0</v>
      </c>
      <c r="BH225" s="152">
        <f>IF(N225="sníž. přenesená",J225,0)</f>
        <v>0</v>
      </c>
      <c r="BI225" s="152">
        <f>IF(N225="nulová",J225,0)</f>
        <v>0</v>
      </c>
      <c r="BJ225" s="19" t="s">
        <v>85</v>
      </c>
      <c r="BK225" s="152">
        <f>ROUND(I225*H225,2)</f>
        <v>0</v>
      </c>
      <c r="BL225" s="19" t="s">
        <v>185</v>
      </c>
      <c r="BM225" s="151" t="s">
        <v>2009</v>
      </c>
    </row>
    <row r="226" spans="1:65" s="2" customFormat="1">
      <c r="A226" s="34"/>
      <c r="B226" s="35"/>
      <c r="C226" s="34"/>
      <c r="D226" s="153" t="s">
        <v>187</v>
      </c>
      <c r="E226" s="34"/>
      <c r="F226" s="154" t="s">
        <v>2010</v>
      </c>
      <c r="G226" s="34"/>
      <c r="H226" s="34"/>
      <c r="I226" s="155"/>
      <c r="J226" s="34"/>
      <c r="K226" s="34"/>
      <c r="L226" s="35"/>
      <c r="M226" s="156"/>
      <c r="N226" s="157"/>
      <c r="O226" s="55"/>
      <c r="P226" s="55"/>
      <c r="Q226" s="55"/>
      <c r="R226" s="55"/>
      <c r="S226" s="55"/>
      <c r="T226" s="56"/>
      <c r="U226" s="34"/>
      <c r="V226" s="34"/>
      <c r="W226" s="34"/>
      <c r="X226" s="34"/>
      <c r="Y226" s="34"/>
      <c r="Z226" s="34"/>
      <c r="AA226" s="34"/>
      <c r="AB226" s="34"/>
      <c r="AC226" s="34"/>
      <c r="AD226" s="34"/>
      <c r="AE226" s="34"/>
      <c r="AT226" s="19" t="s">
        <v>187</v>
      </c>
      <c r="AU226" s="19" t="s">
        <v>198</v>
      </c>
    </row>
    <row r="227" spans="1:65" s="2" customFormat="1">
      <c r="A227" s="34"/>
      <c r="B227" s="35"/>
      <c r="C227" s="34"/>
      <c r="D227" s="158" t="s">
        <v>189</v>
      </c>
      <c r="E227" s="34"/>
      <c r="F227" s="159" t="s">
        <v>2011</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189</v>
      </c>
      <c r="AU227" s="19" t="s">
        <v>198</v>
      </c>
    </row>
    <row r="228" spans="1:65" s="2" customFormat="1" ht="29.25">
      <c r="A228" s="34"/>
      <c r="B228" s="35"/>
      <c r="C228" s="34"/>
      <c r="D228" s="153" t="s">
        <v>191</v>
      </c>
      <c r="E228" s="34"/>
      <c r="F228" s="160" t="s">
        <v>2005</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191</v>
      </c>
      <c r="AU228" s="19" t="s">
        <v>198</v>
      </c>
    </row>
    <row r="229" spans="1:65" s="12" customFormat="1" ht="22.9" customHeight="1">
      <c r="B229" s="126"/>
      <c r="D229" s="127" t="s">
        <v>76</v>
      </c>
      <c r="E229" s="137" t="s">
        <v>233</v>
      </c>
      <c r="F229" s="137" t="s">
        <v>626</v>
      </c>
      <c r="I229" s="129"/>
      <c r="J229" s="138">
        <f>BK229</f>
        <v>0</v>
      </c>
      <c r="L229" s="126"/>
      <c r="M229" s="131"/>
      <c r="N229" s="132"/>
      <c r="O229" s="132"/>
      <c r="P229" s="133">
        <f>SUM(P230:P281)</f>
        <v>0</v>
      </c>
      <c r="Q229" s="132"/>
      <c r="R229" s="133">
        <f>SUM(R230:R281)</f>
        <v>16.587492599999997</v>
      </c>
      <c r="S229" s="132"/>
      <c r="T229" s="134">
        <f>SUM(T230:T281)</f>
        <v>0</v>
      </c>
      <c r="AR229" s="127" t="s">
        <v>85</v>
      </c>
      <c r="AT229" s="135" t="s">
        <v>76</v>
      </c>
      <c r="AU229" s="135" t="s">
        <v>85</v>
      </c>
      <c r="AY229" s="127" t="s">
        <v>177</v>
      </c>
      <c r="BK229" s="136">
        <f>SUM(BK230:BK281)</f>
        <v>0</v>
      </c>
    </row>
    <row r="230" spans="1:65" s="2" customFormat="1" ht="16.5" customHeight="1">
      <c r="A230" s="34"/>
      <c r="B230" s="139"/>
      <c r="C230" s="140" t="s">
        <v>502</v>
      </c>
      <c r="D230" s="140" t="s">
        <v>180</v>
      </c>
      <c r="E230" s="141" t="s">
        <v>1745</v>
      </c>
      <c r="F230" s="142" t="s">
        <v>1746</v>
      </c>
      <c r="G230" s="143" t="s">
        <v>808</v>
      </c>
      <c r="H230" s="144">
        <v>6.0339999999999998</v>
      </c>
      <c r="I230" s="145"/>
      <c r="J230" s="146">
        <f>ROUND(I230*H230,2)</f>
        <v>0</v>
      </c>
      <c r="K230" s="142" t="s">
        <v>184</v>
      </c>
      <c r="L230" s="35"/>
      <c r="M230" s="147" t="s">
        <v>3</v>
      </c>
      <c r="N230" s="148" t="s">
        <v>48</v>
      </c>
      <c r="O230" s="55"/>
      <c r="P230" s="149">
        <f>O230*H230</f>
        <v>0</v>
      </c>
      <c r="Q230" s="149">
        <v>2.5249999999999999E-3</v>
      </c>
      <c r="R230" s="149">
        <f>Q230*H230</f>
        <v>1.5235849999999999E-2</v>
      </c>
      <c r="S230" s="149">
        <v>0</v>
      </c>
      <c r="T230" s="150">
        <f>S230*H230</f>
        <v>0</v>
      </c>
      <c r="U230" s="34"/>
      <c r="V230" s="34"/>
      <c r="W230" s="34"/>
      <c r="X230" s="34"/>
      <c r="Y230" s="34"/>
      <c r="Z230" s="34"/>
      <c r="AA230" s="34"/>
      <c r="AB230" s="34"/>
      <c r="AC230" s="34"/>
      <c r="AD230" s="34"/>
      <c r="AE230" s="34"/>
      <c r="AR230" s="151" t="s">
        <v>185</v>
      </c>
      <c r="AT230" s="151" t="s">
        <v>180</v>
      </c>
      <c r="AU230" s="151" t="s">
        <v>87</v>
      </c>
      <c r="AY230" s="19" t="s">
        <v>177</v>
      </c>
      <c r="BE230" s="152">
        <f>IF(N230="základní",J230,0)</f>
        <v>0</v>
      </c>
      <c r="BF230" s="152">
        <f>IF(N230="snížená",J230,0)</f>
        <v>0</v>
      </c>
      <c r="BG230" s="152">
        <f>IF(N230="zákl. přenesená",J230,0)</f>
        <v>0</v>
      </c>
      <c r="BH230" s="152">
        <f>IF(N230="sníž. přenesená",J230,0)</f>
        <v>0</v>
      </c>
      <c r="BI230" s="152">
        <f>IF(N230="nulová",J230,0)</f>
        <v>0</v>
      </c>
      <c r="BJ230" s="19" t="s">
        <v>85</v>
      </c>
      <c r="BK230" s="152">
        <f>ROUND(I230*H230,2)</f>
        <v>0</v>
      </c>
      <c r="BL230" s="19" t="s">
        <v>185</v>
      </c>
      <c r="BM230" s="151" t="s">
        <v>2012</v>
      </c>
    </row>
    <row r="231" spans="1:65" s="2" customFormat="1">
      <c r="A231" s="34"/>
      <c r="B231" s="35"/>
      <c r="C231" s="34"/>
      <c r="D231" s="153" t="s">
        <v>187</v>
      </c>
      <c r="E231" s="34"/>
      <c r="F231" s="154" t="s">
        <v>1748</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187</v>
      </c>
      <c r="AU231" s="19" t="s">
        <v>87</v>
      </c>
    </row>
    <row r="232" spans="1:65" s="2" customFormat="1">
      <c r="A232" s="34"/>
      <c r="B232" s="35"/>
      <c r="C232" s="34"/>
      <c r="D232" s="158" t="s">
        <v>189</v>
      </c>
      <c r="E232" s="34"/>
      <c r="F232" s="159" t="s">
        <v>1749</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189</v>
      </c>
      <c r="AU232" s="19" t="s">
        <v>87</v>
      </c>
    </row>
    <row r="233" spans="1:65" s="13" customFormat="1">
      <c r="B233" s="161"/>
      <c r="D233" s="153" t="s">
        <v>193</v>
      </c>
      <c r="E233" s="162" t="s">
        <v>3</v>
      </c>
      <c r="F233" s="163" t="s">
        <v>2013</v>
      </c>
      <c r="H233" s="164">
        <v>6.0339999999999998</v>
      </c>
      <c r="I233" s="165"/>
      <c r="L233" s="161"/>
      <c r="M233" s="166"/>
      <c r="N233" s="167"/>
      <c r="O233" s="167"/>
      <c r="P233" s="167"/>
      <c r="Q233" s="167"/>
      <c r="R233" s="167"/>
      <c r="S233" s="167"/>
      <c r="T233" s="168"/>
      <c r="AT233" s="162" t="s">
        <v>193</v>
      </c>
      <c r="AU233" s="162" t="s">
        <v>87</v>
      </c>
      <c r="AV233" s="13" t="s">
        <v>87</v>
      </c>
      <c r="AW233" s="13" t="s">
        <v>36</v>
      </c>
      <c r="AX233" s="13" t="s">
        <v>85</v>
      </c>
      <c r="AY233" s="162" t="s">
        <v>177</v>
      </c>
    </row>
    <row r="234" spans="1:65" s="2" customFormat="1" ht="16.5" customHeight="1">
      <c r="A234" s="34"/>
      <c r="B234" s="139"/>
      <c r="C234" s="140" t="s">
        <v>504</v>
      </c>
      <c r="D234" s="140" t="s">
        <v>180</v>
      </c>
      <c r="E234" s="141" t="s">
        <v>1751</v>
      </c>
      <c r="F234" s="142" t="s">
        <v>1752</v>
      </c>
      <c r="G234" s="143" t="s">
        <v>332</v>
      </c>
      <c r="H234" s="144">
        <v>301.7</v>
      </c>
      <c r="I234" s="145"/>
      <c r="J234" s="146">
        <f>ROUND(I234*H234,2)</f>
        <v>0</v>
      </c>
      <c r="K234" s="142" t="s">
        <v>184</v>
      </c>
      <c r="L234" s="35"/>
      <c r="M234" s="147" t="s">
        <v>3</v>
      </c>
      <c r="N234" s="148" t="s">
        <v>48</v>
      </c>
      <c r="O234" s="55"/>
      <c r="P234" s="149">
        <f>O234*H234</f>
        <v>0</v>
      </c>
      <c r="Q234" s="149">
        <v>4.0800000000000003E-2</v>
      </c>
      <c r="R234" s="149">
        <f>Q234*H234</f>
        <v>12.30936</v>
      </c>
      <c r="S234" s="149">
        <v>0</v>
      </c>
      <c r="T234" s="150">
        <f>S234*H234</f>
        <v>0</v>
      </c>
      <c r="U234" s="34"/>
      <c r="V234" s="34"/>
      <c r="W234" s="34"/>
      <c r="X234" s="34"/>
      <c r="Y234" s="34"/>
      <c r="Z234" s="34"/>
      <c r="AA234" s="34"/>
      <c r="AB234" s="34"/>
      <c r="AC234" s="34"/>
      <c r="AD234" s="34"/>
      <c r="AE234" s="34"/>
      <c r="AR234" s="151" t="s">
        <v>185</v>
      </c>
      <c r="AT234" s="151" t="s">
        <v>180</v>
      </c>
      <c r="AU234" s="151" t="s">
        <v>87</v>
      </c>
      <c r="AY234" s="19" t="s">
        <v>177</v>
      </c>
      <c r="BE234" s="152">
        <f>IF(N234="základní",J234,0)</f>
        <v>0</v>
      </c>
      <c r="BF234" s="152">
        <f>IF(N234="snížená",J234,0)</f>
        <v>0</v>
      </c>
      <c r="BG234" s="152">
        <f>IF(N234="zákl. přenesená",J234,0)</f>
        <v>0</v>
      </c>
      <c r="BH234" s="152">
        <f>IF(N234="sníž. přenesená",J234,0)</f>
        <v>0</v>
      </c>
      <c r="BI234" s="152">
        <f>IF(N234="nulová",J234,0)</f>
        <v>0</v>
      </c>
      <c r="BJ234" s="19" t="s">
        <v>85</v>
      </c>
      <c r="BK234" s="152">
        <f>ROUND(I234*H234,2)</f>
        <v>0</v>
      </c>
      <c r="BL234" s="19" t="s">
        <v>185</v>
      </c>
      <c r="BM234" s="151" t="s">
        <v>2014</v>
      </c>
    </row>
    <row r="235" spans="1:65" s="2" customFormat="1">
      <c r="A235" s="34"/>
      <c r="B235" s="35"/>
      <c r="C235" s="34"/>
      <c r="D235" s="153" t="s">
        <v>187</v>
      </c>
      <c r="E235" s="34"/>
      <c r="F235" s="154" t="s">
        <v>1754</v>
      </c>
      <c r="G235" s="34"/>
      <c r="H235" s="34"/>
      <c r="I235" s="155"/>
      <c r="J235" s="34"/>
      <c r="K235" s="34"/>
      <c r="L235" s="35"/>
      <c r="M235" s="156"/>
      <c r="N235" s="157"/>
      <c r="O235" s="55"/>
      <c r="P235" s="55"/>
      <c r="Q235" s="55"/>
      <c r="R235" s="55"/>
      <c r="S235" s="55"/>
      <c r="T235" s="56"/>
      <c r="U235" s="34"/>
      <c r="V235" s="34"/>
      <c r="W235" s="34"/>
      <c r="X235" s="34"/>
      <c r="Y235" s="34"/>
      <c r="Z235" s="34"/>
      <c r="AA235" s="34"/>
      <c r="AB235" s="34"/>
      <c r="AC235" s="34"/>
      <c r="AD235" s="34"/>
      <c r="AE235" s="34"/>
      <c r="AT235" s="19" t="s">
        <v>187</v>
      </c>
      <c r="AU235" s="19" t="s">
        <v>87</v>
      </c>
    </row>
    <row r="236" spans="1:65" s="2" customFormat="1">
      <c r="A236" s="34"/>
      <c r="B236" s="35"/>
      <c r="C236" s="34"/>
      <c r="D236" s="158" t="s">
        <v>189</v>
      </c>
      <c r="E236" s="34"/>
      <c r="F236" s="159" t="s">
        <v>1755</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189</v>
      </c>
      <c r="AU236" s="19" t="s">
        <v>87</v>
      </c>
    </row>
    <row r="237" spans="1:65" s="13" customFormat="1">
      <c r="B237" s="161"/>
      <c r="D237" s="153" t="s">
        <v>193</v>
      </c>
      <c r="E237" s="162" t="s">
        <v>3</v>
      </c>
      <c r="F237" s="163" t="s">
        <v>2015</v>
      </c>
      <c r="H237" s="164">
        <v>301.7</v>
      </c>
      <c r="I237" s="165"/>
      <c r="L237" s="161"/>
      <c r="M237" s="166"/>
      <c r="N237" s="167"/>
      <c r="O237" s="167"/>
      <c r="P237" s="167"/>
      <c r="Q237" s="167"/>
      <c r="R237" s="167"/>
      <c r="S237" s="167"/>
      <c r="T237" s="168"/>
      <c r="AT237" s="162" t="s">
        <v>193</v>
      </c>
      <c r="AU237" s="162" t="s">
        <v>87</v>
      </c>
      <c r="AV237" s="13" t="s">
        <v>87</v>
      </c>
      <c r="AW237" s="13" t="s">
        <v>36</v>
      </c>
      <c r="AX237" s="13" t="s">
        <v>85</v>
      </c>
      <c r="AY237" s="162" t="s">
        <v>177</v>
      </c>
    </row>
    <row r="238" spans="1:65" s="2" customFormat="1" ht="21.75" customHeight="1">
      <c r="A238" s="34"/>
      <c r="B238" s="139"/>
      <c r="C238" s="140" t="s">
        <v>507</v>
      </c>
      <c r="D238" s="140" t="s">
        <v>180</v>
      </c>
      <c r="E238" s="141" t="s">
        <v>1757</v>
      </c>
      <c r="F238" s="142" t="s">
        <v>1758</v>
      </c>
      <c r="G238" s="143" t="s">
        <v>476</v>
      </c>
      <c r="H238" s="144">
        <v>186.46</v>
      </c>
      <c r="I238" s="145"/>
      <c r="J238" s="146">
        <f>ROUND(I238*H238,2)</f>
        <v>0</v>
      </c>
      <c r="K238" s="142" t="s">
        <v>184</v>
      </c>
      <c r="L238" s="35"/>
      <c r="M238" s="147" t="s">
        <v>3</v>
      </c>
      <c r="N238" s="148" t="s">
        <v>48</v>
      </c>
      <c r="O238" s="55"/>
      <c r="P238" s="149">
        <f>O238*H238</f>
        <v>0</v>
      </c>
      <c r="Q238" s="149">
        <v>2.0999999999999999E-5</v>
      </c>
      <c r="R238" s="149">
        <f>Q238*H238</f>
        <v>3.9156599999999996E-3</v>
      </c>
      <c r="S238" s="149">
        <v>0</v>
      </c>
      <c r="T238" s="150">
        <f>S238*H238</f>
        <v>0</v>
      </c>
      <c r="U238" s="34"/>
      <c r="V238" s="34"/>
      <c r="W238" s="34"/>
      <c r="X238" s="34"/>
      <c r="Y238" s="34"/>
      <c r="Z238" s="34"/>
      <c r="AA238" s="34"/>
      <c r="AB238" s="34"/>
      <c r="AC238" s="34"/>
      <c r="AD238" s="34"/>
      <c r="AE238" s="34"/>
      <c r="AR238" s="151" t="s">
        <v>185</v>
      </c>
      <c r="AT238" s="151" t="s">
        <v>180</v>
      </c>
      <c r="AU238" s="151" t="s">
        <v>87</v>
      </c>
      <c r="AY238" s="19" t="s">
        <v>177</v>
      </c>
      <c r="BE238" s="152">
        <f>IF(N238="základní",J238,0)</f>
        <v>0</v>
      </c>
      <c r="BF238" s="152">
        <f>IF(N238="snížená",J238,0)</f>
        <v>0</v>
      </c>
      <c r="BG238" s="152">
        <f>IF(N238="zákl. přenesená",J238,0)</f>
        <v>0</v>
      </c>
      <c r="BH238" s="152">
        <f>IF(N238="sníž. přenesená",J238,0)</f>
        <v>0</v>
      </c>
      <c r="BI238" s="152">
        <f>IF(N238="nulová",J238,0)</f>
        <v>0</v>
      </c>
      <c r="BJ238" s="19" t="s">
        <v>85</v>
      </c>
      <c r="BK238" s="152">
        <f>ROUND(I238*H238,2)</f>
        <v>0</v>
      </c>
      <c r="BL238" s="19" t="s">
        <v>185</v>
      </c>
      <c r="BM238" s="151" t="s">
        <v>2016</v>
      </c>
    </row>
    <row r="239" spans="1:65" s="2" customFormat="1">
      <c r="A239" s="34"/>
      <c r="B239" s="35"/>
      <c r="C239" s="34"/>
      <c r="D239" s="153" t="s">
        <v>187</v>
      </c>
      <c r="E239" s="34"/>
      <c r="F239" s="154" t="s">
        <v>1760</v>
      </c>
      <c r="G239" s="34"/>
      <c r="H239" s="34"/>
      <c r="I239" s="155"/>
      <c r="J239" s="34"/>
      <c r="K239" s="34"/>
      <c r="L239" s="35"/>
      <c r="M239" s="156"/>
      <c r="N239" s="157"/>
      <c r="O239" s="55"/>
      <c r="P239" s="55"/>
      <c r="Q239" s="55"/>
      <c r="R239" s="55"/>
      <c r="S239" s="55"/>
      <c r="T239" s="56"/>
      <c r="U239" s="34"/>
      <c r="V239" s="34"/>
      <c r="W239" s="34"/>
      <c r="X239" s="34"/>
      <c r="Y239" s="34"/>
      <c r="Z239" s="34"/>
      <c r="AA239" s="34"/>
      <c r="AB239" s="34"/>
      <c r="AC239" s="34"/>
      <c r="AD239" s="34"/>
      <c r="AE239" s="34"/>
      <c r="AT239" s="19" t="s">
        <v>187</v>
      </c>
      <c r="AU239" s="19" t="s">
        <v>87</v>
      </c>
    </row>
    <row r="240" spans="1:65" s="2" customFormat="1">
      <c r="A240" s="34"/>
      <c r="B240" s="35"/>
      <c r="C240" s="34"/>
      <c r="D240" s="158" t="s">
        <v>189</v>
      </c>
      <c r="E240" s="34"/>
      <c r="F240" s="159" t="s">
        <v>1761</v>
      </c>
      <c r="G240" s="34"/>
      <c r="H240" s="34"/>
      <c r="I240" s="155"/>
      <c r="J240" s="34"/>
      <c r="K240" s="34"/>
      <c r="L240" s="35"/>
      <c r="M240" s="156"/>
      <c r="N240" s="157"/>
      <c r="O240" s="55"/>
      <c r="P240" s="55"/>
      <c r="Q240" s="55"/>
      <c r="R240" s="55"/>
      <c r="S240" s="55"/>
      <c r="T240" s="56"/>
      <c r="U240" s="34"/>
      <c r="V240" s="34"/>
      <c r="W240" s="34"/>
      <c r="X240" s="34"/>
      <c r="Y240" s="34"/>
      <c r="Z240" s="34"/>
      <c r="AA240" s="34"/>
      <c r="AB240" s="34"/>
      <c r="AC240" s="34"/>
      <c r="AD240" s="34"/>
      <c r="AE240" s="34"/>
      <c r="AT240" s="19" t="s">
        <v>189</v>
      </c>
      <c r="AU240" s="19" t="s">
        <v>87</v>
      </c>
    </row>
    <row r="241" spans="1:65" s="13" customFormat="1">
      <c r="B241" s="161"/>
      <c r="D241" s="153" t="s">
        <v>193</v>
      </c>
      <c r="E241" s="162" t="s">
        <v>3</v>
      </c>
      <c r="F241" s="163" t="s">
        <v>2017</v>
      </c>
      <c r="H241" s="164">
        <v>54.71</v>
      </c>
      <c r="I241" s="165"/>
      <c r="L241" s="161"/>
      <c r="M241" s="166"/>
      <c r="N241" s="167"/>
      <c r="O241" s="167"/>
      <c r="P241" s="167"/>
      <c r="Q241" s="167"/>
      <c r="R241" s="167"/>
      <c r="S241" s="167"/>
      <c r="T241" s="168"/>
      <c r="AT241" s="162" t="s">
        <v>193</v>
      </c>
      <c r="AU241" s="162" t="s">
        <v>87</v>
      </c>
      <c r="AV241" s="13" t="s">
        <v>87</v>
      </c>
      <c r="AW241" s="13" t="s">
        <v>36</v>
      </c>
      <c r="AX241" s="13" t="s">
        <v>77</v>
      </c>
      <c r="AY241" s="162" t="s">
        <v>177</v>
      </c>
    </row>
    <row r="242" spans="1:65" s="13" customFormat="1">
      <c r="B242" s="161"/>
      <c r="D242" s="153" t="s">
        <v>193</v>
      </c>
      <c r="E242" s="162" t="s">
        <v>3</v>
      </c>
      <c r="F242" s="163" t="s">
        <v>2018</v>
      </c>
      <c r="H242" s="164">
        <v>39.799999999999997</v>
      </c>
      <c r="I242" s="165"/>
      <c r="L242" s="161"/>
      <c r="M242" s="166"/>
      <c r="N242" s="167"/>
      <c r="O242" s="167"/>
      <c r="P242" s="167"/>
      <c r="Q242" s="167"/>
      <c r="R242" s="167"/>
      <c r="S242" s="167"/>
      <c r="T242" s="168"/>
      <c r="AT242" s="162" t="s">
        <v>193</v>
      </c>
      <c r="AU242" s="162" t="s">
        <v>87</v>
      </c>
      <c r="AV242" s="13" t="s">
        <v>87</v>
      </c>
      <c r="AW242" s="13" t="s">
        <v>36</v>
      </c>
      <c r="AX242" s="13" t="s">
        <v>77</v>
      </c>
      <c r="AY242" s="162" t="s">
        <v>177</v>
      </c>
    </row>
    <row r="243" spans="1:65" s="13" customFormat="1">
      <c r="B243" s="161"/>
      <c r="D243" s="153" t="s">
        <v>193</v>
      </c>
      <c r="E243" s="162" t="s">
        <v>3</v>
      </c>
      <c r="F243" s="163" t="s">
        <v>2019</v>
      </c>
      <c r="H243" s="164">
        <v>35.74</v>
      </c>
      <c r="I243" s="165"/>
      <c r="L243" s="161"/>
      <c r="M243" s="166"/>
      <c r="N243" s="167"/>
      <c r="O243" s="167"/>
      <c r="P243" s="167"/>
      <c r="Q243" s="167"/>
      <c r="R243" s="167"/>
      <c r="S243" s="167"/>
      <c r="T243" s="168"/>
      <c r="AT243" s="162" t="s">
        <v>193</v>
      </c>
      <c r="AU243" s="162" t="s">
        <v>87</v>
      </c>
      <c r="AV243" s="13" t="s">
        <v>87</v>
      </c>
      <c r="AW243" s="13" t="s">
        <v>36</v>
      </c>
      <c r="AX243" s="13" t="s">
        <v>77</v>
      </c>
      <c r="AY243" s="162" t="s">
        <v>177</v>
      </c>
    </row>
    <row r="244" spans="1:65" s="13" customFormat="1">
      <c r="B244" s="161"/>
      <c r="D244" s="153" t="s">
        <v>193</v>
      </c>
      <c r="E244" s="162" t="s">
        <v>3</v>
      </c>
      <c r="F244" s="163" t="s">
        <v>2020</v>
      </c>
      <c r="H244" s="164">
        <v>16.2</v>
      </c>
      <c r="I244" s="165"/>
      <c r="L244" s="161"/>
      <c r="M244" s="166"/>
      <c r="N244" s="167"/>
      <c r="O244" s="167"/>
      <c r="P244" s="167"/>
      <c r="Q244" s="167"/>
      <c r="R244" s="167"/>
      <c r="S244" s="167"/>
      <c r="T244" s="168"/>
      <c r="AT244" s="162" t="s">
        <v>193</v>
      </c>
      <c r="AU244" s="162" t="s">
        <v>87</v>
      </c>
      <c r="AV244" s="13" t="s">
        <v>87</v>
      </c>
      <c r="AW244" s="13" t="s">
        <v>36</v>
      </c>
      <c r="AX244" s="13" t="s">
        <v>77</v>
      </c>
      <c r="AY244" s="162" t="s">
        <v>177</v>
      </c>
    </row>
    <row r="245" spans="1:65" s="13" customFormat="1">
      <c r="B245" s="161"/>
      <c r="D245" s="153" t="s">
        <v>193</v>
      </c>
      <c r="E245" s="162" t="s">
        <v>3</v>
      </c>
      <c r="F245" s="163" t="s">
        <v>2021</v>
      </c>
      <c r="H245" s="164">
        <v>15.41</v>
      </c>
      <c r="I245" s="165"/>
      <c r="L245" s="161"/>
      <c r="M245" s="166"/>
      <c r="N245" s="167"/>
      <c r="O245" s="167"/>
      <c r="P245" s="167"/>
      <c r="Q245" s="167"/>
      <c r="R245" s="167"/>
      <c r="S245" s="167"/>
      <c r="T245" s="168"/>
      <c r="AT245" s="162" t="s">
        <v>193</v>
      </c>
      <c r="AU245" s="162" t="s">
        <v>87</v>
      </c>
      <c r="AV245" s="13" t="s">
        <v>87</v>
      </c>
      <c r="AW245" s="13" t="s">
        <v>36</v>
      </c>
      <c r="AX245" s="13" t="s">
        <v>77</v>
      </c>
      <c r="AY245" s="162" t="s">
        <v>177</v>
      </c>
    </row>
    <row r="246" spans="1:65" s="13" customFormat="1">
      <c r="B246" s="161"/>
      <c r="D246" s="153" t="s">
        <v>193</v>
      </c>
      <c r="E246" s="162" t="s">
        <v>3</v>
      </c>
      <c r="F246" s="163" t="s">
        <v>2022</v>
      </c>
      <c r="H246" s="164">
        <v>24.6</v>
      </c>
      <c r="I246" s="165"/>
      <c r="L246" s="161"/>
      <c r="M246" s="166"/>
      <c r="N246" s="167"/>
      <c r="O246" s="167"/>
      <c r="P246" s="167"/>
      <c r="Q246" s="167"/>
      <c r="R246" s="167"/>
      <c r="S246" s="167"/>
      <c r="T246" s="168"/>
      <c r="AT246" s="162" t="s">
        <v>193</v>
      </c>
      <c r="AU246" s="162" t="s">
        <v>87</v>
      </c>
      <c r="AV246" s="13" t="s">
        <v>87</v>
      </c>
      <c r="AW246" s="13" t="s">
        <v>36</v>
      </c>
      <c r="AX246" s="13" t="s">
        <v>77</v>
      </c>
      <c r="AY246" s="162" t="s">
        <v>177</v>
      </c>
    </row>
    <row r="247" spans="1:65" s="16" customFormat="1">
      <c r="B247" s="184"/>
      <c r="D247" s="153" t="s">
        <v>193</v>
      </c>
      <c r="E247" s="185" t="s">
        <v>3</v>
      </c>
      <c r="F247" s="186" t="s">
        <v>201</v>
      </c>
      <c r="H247" s="187">
        <v>186.45999999999998</v>
      </c>
      <c r="I247" s="188"/>
      <c r="L247" s="184"/>
      <c r="M247" s="189"/>
      <c r="N247" s="190"/>
      <c r="O247" s="190"/>
      <c r="P247" s="190"/>
      <c r="Q247" s="190"/>
      <c r="R247" s="190"/>
      <c r="S247" s="190"/>
      <c r="T247" s="191"/>
      <c r="AT247" s="185" t="s">
        <v>193</v>
      </c>
      <c r="AU247" s="185" t="s">
        <v>87</v>
      </c>
      <c r="AV247" s="16" t="s">
        <v>185</v>
      </c>
      <c r="AW247" s="16" t="s">
        <v>36</v>
      </c>
      <c r="AX247" s="16" t="s">
        <v>85</v>
      </c>
      <c r="AY247" s="185" t="s">
        <v>177</v>
      </c>
    </row>
    <row r="248" spans="1:65" s="2" customFormat="1" ht="16.5" customHeight="1">
      <c r="A248" s="34"/>
      <c r="B248" s="139"/>
      <c r="C248" s="140" t="s">
        <v>509</v>
      </c>
      <c r="D248" s="140" t="s">
        <v>180</v>
      </c>
      <c r="E248" s="141" t="s">
        <v>1766</v>
      </c>
      <c r="F248" s="142" t="s">
        <v>1767</v>
      </c>
      <c r="G248" s="143" t="s">
        <v>236</v>
      </c>
      <c r="H248" s="144">
        <v>7</v>
      </c>
      <c r="I248" s="145"/>
      <c r="J248" s="146">
        <f>ROUND(I248*H248,2)</f>
        <v>0</v>
      </c>
      <c r="K248" s="142" t="s">
        <v>184</v>
      </c>
      <c r="L248" s="35"/>
      <c r="M248" s="147" t="s">
        <v>3</v>
      </c>
      <c r="N248" s="148" t="s">
        <v>48</v>
      </c>
      <c r="O248" s="55"/>
      <c r="P248" s="149">
        <f>O248*H248</f>
        <v>0</v>
      </c>
      <c r="Q248" s="149">
        <v>4.8161770000000002E-4</v>
      </c>
      <c r="R248" s="149">
        <f>Q248*H248</f>
        <v>3.3713239000000002E-3</v>
      </c>
      <c r="S248" s="149">
        <v>0</v>
      </c>
      <c r="T248" s="150">
        <f>S248*H248</f>
        <v>0</v>
      </c>
      <c r="U248" s="34"/>
      <c r="V248" s="34"/>
      <c r="W248" s="34"/>
      <c r="X248" s="34"/>
      <c r="Y248" s="34"/>
      <c r="Z248" s="34"/>
      <c r="AA248" s="34"/>
      <c r="AB248" s="34"/>
      <c r="AC248" s="34"/>
      <c r="AD248" s="34"/>
      <c r="AE248" s="34"/>
      <c r="AR248" s="151" t="s">
        <v>185</v>
      </c>
      <c r="AT248" s="151" t="s">
        <v>180</v>
      </c>
      <c r="AU248" s="151" t="s">
        <v>87</v>
      </c>
      <c r="AY248" s="19" t="s">
        <v>177</v>
      </c>
      <c r="BE248" s="152">
        <f>IF(N248="základní",J248,0)</f>
        <v>0</v>
      </c>
      <c r="BF248" s="152">
        <f>IF(N248="snížená",J248,0)</f>
        <v>0</v>
      </c>
      <c r="BG248" s="152">
        <f>IF(N248="zákl. přenesená",J248,0)</f>
        <v>0</v>
      </c>
      <c r="BH248" s="152">
        <f>IF(N248="sníž. přenesená",J248,0)</f>
        <v>0</v>
      </c>
      <c r="BI248" s="152">
        <f>IF(N248="nulová",J248,0)</f>
        <v>0</v>
      </c>
      <c r="BJ248" s="19" t="s">
        <v>85</v>
      </c>
      <c r="BK248" s="152">
        <f>ROUND(I248*H248,2)</f>
        <v>0</v>
      </c>
      <c r="BL248" s="19" t="s">
        <v>185</v>
      </c>
      <c r="BM248" s="151" t="s">
        <v>2023</v>
      </c>
    </row>
    <row r="249" spans="1:65" s="2" customFormat="1" ht="19.5">
      <c r="A249" s="34"/>
      <c r="B249" s="35"/>
      <c r="C249" s="34"/>
      <c r="D249" s="153" t="s">
        <v>187</v>
      </c>
      <c r="E249" s="34"/>
      <c r="F249" s="154" t="s">
        <v>1769</v>
      </c>
      <c r="G249" s="34"/>
      <c r="H249" s="34"/>
      <c r="I249" s="155"/>
      <c r="J249" s="34"/>
      <c r="K249" s="34"/>
      <c r="L249" s="35"/>
      <c r="M249" s="156"/>
      <c r="N249" s="157"/>
      <c r="O249" s="55"/>
      <c r="P249" s="55"/>
      <c r="Q249" s="55"/>
      <c r="R249" s="55"/>
      <c r="S249" s="55"/>
      <c r="T249" s="56"/>
      <c r="U249" s="34"/>
      <c r="V249" s="34"/>
      <c r="W249" s="34"/>
      <c r="X249" s="34"/>
      <c r="Y249" s="34"/>
      <c r="Z249" s="34"/>
      <c r="AA249" s="34"/>
      <c r="AB249" s="34"/>
      <c r="AC249" s="34"/>
      <c r="AD249" s="34"/>
      <c r="AE249" s="34"/>
      <c r="AT249" s="19" t="s">
        <v>187</v>
      </c>
      <c r="AU249" s="19" t="s">
        <v>87</v>
      </c>
    </row>
    <row r="250" spans="1:65" s="2" customFormat="1">
      <c r="A250" s="34"/>
      <c r="B250" s="35"/>
      <c r="C250" s="34"/>
      <c r="D250" s="158" t="s">
        <v>189</v>
      </c>
      <c r="E250" s="34"/>
      <c r="F250" s="159" t="s">
        <v>1770</v>
      </c>
      <c r="G250" s="34"/>
      <c r="H250" s="34"/>
      <c r="I250" s="155"/>
      <c r="J250" s="34"/>
      <c r="K250" s="34"/>
      <c r="L250" s="35"/>
      <c r="M250" s="156"/>
      <c r="N250" s="157"/>
      <c r="O250" s="55"/>
      <c r="P250" s="55"/>
      <c r="Q250" s="55"/>
      <c r="R250" s="55"/>
      <c r="S250" s="55"/>
      <c r="T250" s="56"/>
      <c r="U250" s="34"/>
      <c r="V250" s="34"/>
      <c r="W250" s="34"/>
      <c r="X250" s="34"/>
      <c r="Y250" s="34"/>
      <c r="Z250" s="34"/>
      <c r="AA250" s="34"/>
      <c r="AB250" s="34"/>
      <c r="AC250" s="34"/>
      <c r="AD250" s="34"/>
      <c r="AE250" s="34"/>
      <c r="AT250" s="19" t="s">
        <v>189</v>
      </c>
      <c r="AU250" s="19" t="s">
        <v>87</v>
      </c>
    </row>
    <row r="251" spans="1:65" s="2" customFormat="1" ht="126.75">
      <c r="A251" s="34"/>
      <c r="B251" s="35"/>
      <c r="C251" s="34"/>
      <c r="D251" s="153" t="s">
        <v>191</v>
      </c>
      <c r="E251" s="34"/>
      <c r="F251" s="160" t="s">
        <v>1771</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191</v>
      </c>
      <c r="AU251" s="19" t="s">
        <v>87</v>
      </c>
    </row>
    <row r="252" spans="1:65" s="2" customFormat="1" ht="16.5" customHeight="1">
      <c r="A252" s="34"/>
      <c r="B252" s="139"/>
      <c r="C252" s="140" t="s">
        <v>512</v>
      </c>
      <c r="D252" s="140" t="s">
        <v>180</v>
      </c>
      <c r="E252" s="141" t="s">
        <v>2024</v>
      </c>
      <c r="F252" s="142" t="s">
        <v>2025</v>
      </c>
      <c r="G252" s="143" t="s">
        <v>236</v>
      </c>
      <c r="H252" s="144">
        <v>1</v>
      </c>
      <c r="I252" s="145"/>
      <c r="J252" s="146">
        <f>ROUND(I252*H252,2)</f>
        <v>0</v>
      </c>
      <c r="K252" s="142" t="s">
        <v>184</v>
      </c>
      <c r="L252" s="35"/>
      <c r="M252" s="147" t="s">
        <v>3</v>
      </c>
      <c r="N252" s="148" t="s">
        <v>48</v>
      </c>
      <c r="O252" s="55"/>
      <c r="P252" s="149">
        <f>O252*H252</f>
        <v>0</v>
      </c>
      <c r="Q252" s="149">
        <v>9.6324609999999999E-4</v>
      </c>
      <c r="R252" s="149">
        <f>Q252*H252</f>
        <v>9.6324609999999999E-4</v>
      </c>
      <c r="S252" s="149">
        <v>0</v>
      </c>
      <c r="T252" s="150">
        <f>S252*H252</f>
        <v>0</v>
      </c>
      <c r="U252" s="34"/>
      <c r="V252" s="34"/>
      <c r="W252" s="34"/>
      <c r="X252" s="34"/>
      <c r="Y252" s="34"/>
      <c r="Z252" s="34"/>
      <c r="AA252" s="34"/>
      <c r="AB252" s="34"/>
      <c r="AC252" s="34"/>
      <c r="AD252" s="34"/>
      <c r="AE252" s="34"/>
      <c r="AR252" s="151" t="s">
        <v>185</v>
      </c>
      <c r="AT252" s="151" t="s">
        <v>180</v>
      </c>
      <c r="AU252" s="151" t="s">
        <v>87</v>
      </c>
      <c r="AY252" s="19" t="s">
        <v>177</v>
      </c>
      <c r="BE252" s="152">
        <f>IF(N252="základní",J252,0)</f>
        <v>0</v>
      </c>
      <c r="BF252" s="152">
        <f>IF(N252="snížená",J252,0)</f>
        <v>0</v>
      </c>
      <c r="BG252" s="152">
        <f>IF(N252="zákl. přenesená",J252,0)</f>
        <v>0</v>
      </c>
      <c r="BH252" s="152">
        <f>IF(N252="sníž. přenesená",J252,0)</f>
        <v>0</v>
      </c>
      <c r="BI252" s="152">
        <f>IF(N252="nulová",J252,0)</f>
        <v>0</v>
      </c>
      <c r="BJ252" s="19" t="s">
        <v>85</v>
      </c>
      <c r="BK252" s="152">
        <f>ROUND(I252*H252,2)</f>
        <v>0</v>
      </c>
      <c r="BL252" s="19" t="s">
        <v>185</v>
      </c>
      <c r="BM252" s="151" t="s">
        <v>2026</v>
      </c>
    </row>
    <row r="253" spans="1:65" s="2" customFormat="1" ht="19.5">
      <c r="A253" s="34"/>
      <c r="B253" s="35"/>
      <c r="C253" s="34"/>
      <c r="D253" s="153" t="s">
        <v>187</v>
      </c>
      <c r="E253" s="34"/>
      <c r="F253" s="154" t="s">
        <v>2027</v>
      </c>
      <c r="G253" s="34"/>
      <c r="H253" s="34"/>
      <c r="I253" s="155"/>
      <c r="J253" s="34"/>
      <c r="K253" s="34"/>
      <c r="L253" s="35"/>
      <c r="M253" s="156"/>
      <c r="N253" s="157"/>
      <c r="O253" s="55"/>
      <c r="P253" s="55"/>
      <c r="Q253" s="55"/>
      <c r="R253" s="55"/>
      <c r="S253" s="55"/>
      <c r="T253" s="56"/>
      <c r="U253" s="34"/>
      <c r="V253" s="34"/>
      <c r="W253" s="34"/>
      <c r="X253" s="34"/>
      <c r="Y253" s="34"/>
      <c r="Z253" s="34"/>
      <c r="AA253" s="34"/>
      <c r="AB253" s="34"/>
      <c r="AC253" s="34"/>
      <c r="AD253" s="34"/>
      <c r="AE253" s="34"/>
      <c r="AT253" s="19" t="s">
        <v>187</v>
      </c>
      <c r="AU253" s="19" t="s">
        <v>87</v>
      </c>
    </row>
    <row r="254" spans="1:65" s="2" customFormat="1">
      <c r="A254" s="34"/>
      <c r="B254" s="35"/>
      <c r="C254" s="34"/>
      <c r="D254" s="158" t="s">
        <v>189</v>
      </c>
      <c r="E254" s="34"/>
      <c r="F254" s="159" t="s">
        <v>2028</v>
      </c>
      <c r="G254" s="34"/>
      <c r="H254" s="34"/>
      <c r="I254" s="155"/>
      <c r="J254" s="34"/>
      <c r="K254" s="34"/>
      <c r="L254" s="35"/>
      <c r="M254" s="156"/>
      <c r="N254" s="157"/>
      <c r="O254" s="55"/>
      <c r="P254" s="55"/>
      <c r="Q254" s="55"/>
      <c r="R254" s="55"/>
      <c r="S254" s="55"/>
      <c r="T254" s="56"/>
      <c r="U254" s="34"/>
      <c r="V254" s="34"/>
      <c r="W254" s="34"/>
      <c r="X254" s="34"/>
      <c r="Y254" s="34"/>
      <c r="Z254" s="34"/>
      <c r="AA254" s="34"/>
      <c r="AB254" s="34"/>
      <c r="AC254" s="34"/>
      <c r="AD254" s="34"/>
      <c r="AE254" s="34"/>
      <c r="AT254" s="19" t="s">
        <v>189</v>
      </c>
      <c r="AU254" s="19" t="s">
        <v>87</v>
      </c>
    </row>
    <row r="255" spans="1:65" s="2" customFormat="1" ht="126.75">
      <c r="A255" s="34"/>
      <c r="B255" s="35"/>
      <c r="C255" s="34"/>
      <c r="D255" s="153" t="s">
        <v>191</v>
      </c>
      <c r="E255" s="34"/>
      <c r="F255" s="160" t="s">
        <v>1771</v>
      </c>
      <c r="G255" s="34"/>
      <c r="H255" s="34"/>
      <c r="I255" s="155"/>
      <c r="J255" s="34"/>
      <c r="K255" s="34"/>
      <c r="L255" s="35"/>
      <c r="M255" s="156"/>
      <c r="N255" s="157"/>
      <c r="O255" s="55"/>
      <c r="P255" s="55"/>
      <c r="Q255" s="55"/>
      <c r="R255" s="55"/>
      <c r="S255" s="55"/>
      <c r="T255" s="56"/>
      <c r="U255" s="34"/>
      <c r="V255" s="34"/>
      <c r="W255" s="34"/>
      <c r="X255" s="34"/>
      <c r="Y255" s="34"/>
      <c r="Z255" s="34"/>
      <c r="AA255" s="34"/>
      <c r="AB255" s="34"/>
      <c r="AC255" s="34"/>
      <c r="AD255" s="34"/>
      <c r="AE255" s="34"/>
      <c r="AT255" s="19" t="s">
        <v>191</v>
      </c>
      <c r="AU255" s="19" t="s">
        <v>87</v>
      </c>
    </row>
    <row r="256" spans="1:65" s="2" customFormat="1" ht="16.5" customHeight="1">
      <c r="A256" s="34"/>
      <c r="B256" s="139"/>
      <c r="C256" s="195" t="s">
        <v>520</v>
      </c>
      <c r="D256" s="195" t="s">
        <v>484</v>
      </c>
      <c r="E256" s="196" t="s">
        <v>1772</v>
      </c>
      <c r="F256" s="197" t="s">
        <v>1773</v>
      </c>
      <c r="G256" s="198" t="s">
        <v>236</v>
      </c>
      <c r="H256" s="199">
        <v>5</v>
      </c>
      <c r="I256" s="200"/>
      <c r="J256" s="201">
        <f>ROUND(I256*H256,2)</f>
        <v>0</v>
      </c>
      <c r="K256" s="197" t="s">
        <v>184</v>
      </c>
      <c r="L256" s="202"/>
      <c r="M256" s="203" t="s">
        <v>3</v>
      </c>
      <c r="N256" s="204" t="s">
        <v>48</v>
      </c>
      <c r="O256" s="55"/>
      <c r="P256" s="149">
        <f>O256*H256</f>
        <v>0</v>
      </c>
      <c r="Q256" s="149">
        <v>1.225E-2</v>
      </c>
      <c r="R256" s="149">
        <f>Q256*H256</f>
        <v>6.1249999999999999E-2</v>
      </c>
      <c r="S256" s="149">
        <v>0</v>
      </c>
      <c r="T256" s="150">
        <f>S256*H256</f>
        <v>0</v>
      </c>
      <c r="U256" s="34"/>
      <c r="V256" s="34"/>
      <c r="W256" s="34"/>
      <c r="X256" s="34"/>
      <c r="Y256" s="34"/>
      <c r="Z256" s="34"/>
      <c r="AA256" s="34"/>
      <c r="AB256" s="34"/>
      <c r="AC256" s="34"/>
      <c r="AD256" s="34"/>
      <c r="AE256" s="34"/>
      <c r="AR256" s="151" t="s">
        <v>248</v>
      </c>
      <c r="AT256" s="151" t="s">
        <v>484</v>
      </c>
      <c r="AU256" s="151" t="s">
        <v>87</v>
      </c>
      <c r="AY256" s="19" t="s">
        <v>177</v>
      </c>
      <c r="BE256" s="152">
        <f>IF(N256="základní",J256,0)</f>
        <v>0</v>
      </c>
      <c r="BF256" s="152">
        <f>IF(N256="snížená",J256,0)</f>
        <v>0</v>
      </c>
      <c r="BG256" s="152">
        <f>IF(N256="zákl. přenesená",J256,0)</f>
        <v>0</v>
      </c>
      <c r="BH256" s="152">
        <f>IF(N256="sníž. přenesená",J256,0)</f>
        <v>0</v>
      </c>
      <c r="BI256" s="152">
        <f>IF(N256="nulová",J256,0)</f>
        <v>0</v>
      </c>
      <c r="BJ256" s="19" t="s">
        <v>85</v>
      </c>
      <c r="BK256" s="152">
        <f>ROUND(I256*H256,2)</f>
        <v>0</v>
      </c>
      <c r="BL256" s="19" t="s">
        <v>185</v>
      </c>
      <c r="BM256" s="151" t="s">
        <v>2029</v>
      </c>
    </row>
    <row r="257" spans="1:65" s="2" customFormat="1">
      <c r="A257" s="34"/>
      <c r="B257" s="35"/>
      <c r="C257" s="34"/>
      <c r="D257" s="153" t="s">
        <v>187</v>
      </c>
      <c r="E257" s="34"/>
      <c r="F257" s="154" t="s">
        <v>1773</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187</v>
      </c>
      <c r="AU257" s="19" t="s">
        <v>87</v>
      </c>
    </row>
    <row r="258" spans="1:65" s="2" customFormat="1" ht="16.5" customHeight="1">
      <c r="A258" s="34"/>
      <c r="B258" s="139"/>
      <c r="C258" s="195" t="s">
        <v>527</v>
      </c>
      <c r="D258" s="195" t="s">
        <v>484</v>
      </c>
      <c r="E258" s="196" t="s">
        <v>2030</v>
      </c>
      <c r="F258" s="197" t="s">
        <v>2031</v>
      </c>
      <c r="G258" s="198" t="s">
        <v>236</v>
      </c>
      <c r="H258" s="199">
        <v>1</v>
      </c>
      <c r="I258" s="200"/>
      <c r="J258" s="201">
        <f>ROUND(I258*H258,2)</f>
        <v>0</v>
      </c>
      <c r="K258" s="197" t="s">
        <v>184</v>
      </c>
      <c r="L258" s="202"/>
      <c r="M258" s="203" t="s">
        <v>3</v>
      </c>
      <c r="N258" s="204" t="s">
        <v>48</v>
      </c>
      <c r="O258" s="55"/>
      <c r="P258" s="149">
        <f>O258*H258</f>
        <v>0</v>
      </c>
      <c r="Q258" s="149">
        <v>1.489E-2</v>
      </c>
      <c r="R258" s="149">
        <f>Q258*H258</f>
        <v>1.489E-2</v>
      </c>
      <c r="S258" s="149">
        <v>0</v>
      </c>
      <c r="T258" s="150">
        <f>S258*H258</f>
        <v>0</v>
      </c>
      <c r="U258" s="34"/>
      <c r="V258" s="34"/>
      <c r="W258" s="34"/>
      <c r="X258" s="34"/>
      <c r="Y258" s="34"/>
      <c r="Z258" s="34"/>
      <c r="AA258" s="34"/>
      <c r="AB258" s="34"/>
      <c r="AC258" s="34"/>
      <c r="AD258" s="34"/>
      <c r="AE258" s="34"/>
      <c r="AR258" s="151" t="s">
        <v>248</v>
      </c>
      <c r="AT258" s="151" t="s">
        <v>484</v>
      </c>
      <c r="AU258" s="151" t="s">
        <v>87</v>
      </c>
      <c r="AY258" s="19" t="s">
        <v>177</v>
      </c>
      <c r="BE258" s="152">
        <f>IF(N258="základní",J258,0)</f>
        <v>0</v>
      </c>
      <c r="BF258" s="152">
        <f>IF(N258="snížená",J258,0)</f>
        <v>0</v>
      </c>
      <c r="BG258" s="152">
        <f>IF(N258="zákl. přenesená",J258,0)</f>
        <v>0</v>
      </c>
      <c r="BH258" s="152">
        <f>IF(N258="sníž. přenesená",J258,0)</f>
        <v>0</v>
      </c>
      <c r="BI258" s="152">
        <f>IF(N258="nulová",J258,0)</f>
        <v>0</v>
      </c>
      <c r="BJ258" s="19" t="s">
        <v>85</v>
      </c>
      <c r="BK258" s="152">
        <f>ROUND(I258*H258,2)</f>
        <v>0</v>
      </c>
      <c r="BL258" s="19" t="s">
        <v>185</v>
      </c>
      <c r="BM258" s="151" t="s">
        <v>2032</v>
      </c>
    </row>
    <row r="259" spans="1:65" s="2" customFormat="1">
      <c r="A259" s="34"/>
      <c r="B259" s="35"/>
      <c r="C259" s="34"/>
      <c r="D259" s="153" t="s">
        <v>187</v>
      </c>
      <c r="E259" s="34"/>
      <c r="F259" s="154" t="s">
        <v>2031</v>
      </c>
      <c r="G259" s="34"/>
      <c r="H259" s="34"/>
      <c r="I259" s="155"/>
      <c r="J259" s="34"/>
      <c r="K259" s="34"/>
      <c r="L259" s="35"/>
      <c r="M259" s="156"/>
      <c r="N259" s="157"/>
      <c r="O259" s="55"/>
      <c r="P259" s="55"/>
      <c r="Q259" s="55"/>
      <c r="R259" s="55"/>
      <c r="S259" s="55"/>
      <c r="T259" s="56"/>
      <c r="U259" s="34"/>
      <c r="V259" s="34"/>
      <c r="W259" s="34"/>
      <c r="X259" s="34"/>
      <c r="Y259" s="34"/>
      <c r="Z259" s="34"/>
      <c r="AA259" s="34"/>
      <c r="AB259" s="34"/>
      <c r="AC259" s="34"/>
      <c r="AD259" s="34"/>
      <c r="AE259" s="34"/>
      <c r="AT259" s="19" t="s">
        <v>187</v>
      </c>
      <c r="AU259" s="19" t="s">
        <v>87</v>
      </c>
    </row>
    <row r="260" spans="1:65" s="2" customFormat="1" ht="16.5" customHeight="1">
      <c r="A260" s="34"/>
      <c r="B260" s="139"/>
      <c r="C260" s="195" t="s">
        <v>537</v>
      </c>
      <c r="D260" s="195" t="s">
        <v>484</v>
      </c>
      <c r="E260" s="196" t="s">
        <v>2033</v>
      </c>
      <c r="F260" s="197" t="s">
        <v>2034</v>
      </c>
      <c r="G260" s="198" t="s">
        <v>236</v>
      </c>
      <c r="H260" s="199">
        <v>1</v>
      </c>
      <c r="I260" s="200"/>
      <c r="J260" s="201">
        <f>ROUND(I260*H260,2)</f>
        <v>0</v>
      </c>
      <c r="K260" s="197" t="s">
        <v>184</v>
      </c>
      <c r="L260" s="202"/>
      <c r="M260" s="203" t="s">
        <v>3</v>
      </c>
      <c r="N260" s="204" t="s">
        <v>48</v>
      </c>
      <c r="O260" s="55"/>
      <c r="P260" s="149">
        <f>O260*H260</f>
        <v>0</v>
      </c>
      <c r="Q260" s="149">
        <v>1.553E-2</v>
      </c>
      <c r="R260" s="149">
        <f>Q260*H260</f>
        <v>1.553E-2</v>
      </c>
      <c r="S260" s="149">
        <v>0</v>
      </c>
      <c r="T260" s="150">
        <f>S260*H260</f>
        <v>0</v>
      </c>
      <c r="U260" s="34"/>
      <c r="V260" s="34"/>
      <c r="W260" s="34"/>
      <c r="X260" s="34"/>
      <c r="Y260" s="34"/>
      <c r="Z260" s="34"/>
      <c r="AA260" s="34"/>
      <c r="AB260" s="34"/>
      <c r="AC260" s="34"/>
      <c r="AD260" s="34"/>
      <c r="AE260" s="34"/>
      <c r="AR260" s="151" t="s">
        <v>248</v>
      </c>
      <c r="AT260" s="151" t="s">
        <v>484</v>
      </c>
      <c r="AU260" s="151" t="s">
        <v>87</v>
      </c>
      <c r="AY260" s="19" t="s">
        <v>177</v>
      </c>
      <c r="BE260" s="152">
        <f>IF(N260="základní",J260,0)</f>
        <v>0</v>
      </c>
      <c r="BF260" s="152">
        <f>IF(N260="snížená",J260,0)</f>
        <v>0</v>
      </c>
      <c r="BG260" s="152">
        <f>IF(N260="zákl. přenesená",J260,0)</f>
        <v>0</v>
      </c>
      <c r="BH260" s="152">
        <f>IF(N260="sníž. přenesená",J260,0)</f>
        <v>0</v>
      </c>
      <c r="BI260" s="152">
        <f>IF(N260="nulová",J260,0)</f>
        <v>0</v>
      </c>
      <c r="BJ260" s="19" t="s">
        <v>85</v>
      </c>
      <c r="BK260" s="152">
        <f>ROUND(I260*H260,2)</f>
        <v>0</v>
      </c>
      <c r="BL260" s="19" t="s">
        <v>185</v>
      </c>
      <c r="BM260" s="151" t="s">
        <v>2035</v>
      </c>
    </row>
    <row r="261" spans="1:65" s="2" customFormat="1">
      <c r="A261" s="34"/>
      <c r="B261" s="35"/>
      <c r="C261" s="34"/>
      <c r="D261" s="153" t="s">
        <v>187</v>
      </c>
      <c r="E261" s="34"/>
      <c r="F261" s="154" t="s">
        <v>2034</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187</v>
      </c>
      <c r="AU261" s="19" t="s">
        <v>87</v>
      </c>
    </row>
    <row r="262" spans="1:65" s="2" customFormat="1" ht="16.5" customHeight="1">
      <c r="A262" s="34"/>
      <c r="B262" s="139"/>
      <c r="C262" s="195" t="s">
        <v>757</v>
      </c>
      <c r="D262" s="195" t="s">
        <v>484</v>
      </c>
      <c r="E262" s="196" t="s">
        <v>2036</v>
      </c>
      <c r="F262" s="197" t="s">
        <v>2037</v>
      </c>
      <c r="G262" s="198" t="s">
        <v>236</v>
      </c>
      <c r="H262" s="199">
        <v>1</v>
      </c>
      <c r="I262" s="200"/>
      <c r="J262" s="201">
        <f>ROUND(I262*H262,2)</f>
        <v>0</v>
      </c>
      <c r="K262" s="197" t="s">
        <v>184</v>
      </c>
      <c r="L262" s="202"/>
      <c r="M262" s="203" t="s">
        <v>3</v>
      </c>
      <c r="N262" s="204" t="s">
        <v>48</v>
      </c>
      <c r="O262" s="55"/>
      <c r="P262" s="149">
        <f>O262*H262</f>
        <v>0</v>
      </c>
      <c r="Q262" s="149">
        <v>2.9000000000000001E-2</v>
      </c>
      <c r="R262" s="149">
        <f>Q262*H262</f>
        <v>2.9000000000000001E-2</v>
      </c>
      <c r="S262" s="149">
        <v>0</v>
      </c>
      <c r="T262" s="150">
        <f>S262*H262</f>
        <v>0</v>
      </c>
      <c r="U262" s="34"/>
      <c r="V262" s="34"/>
      <c r="W262" s="34"/>
      <c r="X262" s="34"/>
      <c r="Y262" s="34"/>
      <c r="Z262" s="34"/>
      <c r="AA262" s="34"/>
      <c r="AB262" s="34"/>
      <c r="AC262" s="34"/>
      <c r="AD262" s="34"/>
      <c r="AE262" s="34"/>
      <c r="AR262" s="151" t="s">
        <v>248</v>
      </c>
      <c r="AT262" s="151" t="s">
        <v>484</v>
      </c>
      <c r="AU262" s="151" t="s">
        <v>87</v>
      </c>
      <c r="AY262" s="19" t="s">
        <v>177</v>
      </c>
      <c r="BE262" s="152">
        <f>IF(N262="základní",J262,0)</f>
        <v>0</v>
      </c>
      <c r="BF262" s="152">
        <f>IF(N262="snížená",J262,0)</f>
        <v>0</v>
      </c>
      <c r="BG262" s="152">
        <f>IF(N262="zákl. přenesená",J262,0)</f>
        <v>0</v>
      </c>
      <c r="BH262" s="152">
        <f>IF(N262="sníž. přenesená",J262,0)</f>
        <v>0</v>
      </c>
      <c r="BI262" s="152">
        <f>IF(N262="nulová",J262,0)</f>
        <v>0</v>
      </c>
      <c r="BJ262" s="19" t="s">
        <v>85</v>
      </c>
      <c r="BK262" s="152">
        <f>ROUND(I262*H262,2)</f>
        <v>0</v>
      </c>
      <c r="BL262" s="19" t="s">
        <v>185</v>
      </c>
      <c r="BM262" s="151" t="s">
        <v>2038</v>
      </c>
    </row>
    <row r="263" spans="1:65" s="2" customFormat="1">
      <c r="A263" s="34"/>
      <c r="B263" s="35"/>
      <c r="C263" s="34"/>
      <c r="D263" s="153" t="s">
        <v>187</v>
      </c>
      <c r="E263" s="34"/>
      <c r="F263" s="154" t="s">
        <v>2037</v>
      </c>
      <c r="G263" s="34"/>
      <c r="H263" s="34"/>
      <c r="I263" s="155"/>
      <c r="J263" s="34"/>
      <c r="K263" s="34"/>
      <c r="L263" s="35"/>
      <c r="M263" s="156"/>
      <c r="N263" s="157"/>
      <c r="O263" s="55"/>
      <c r="P263" s="55"/>
      <c r="Q263" s="55"/>
      <c r="R263" s="55"/>
      <c r="S263" s="55"/>
      <c r="T263" s="56"/>
      <c r="U263" s="34"/>
      <c r="V263" s="34"/>
      <c r="W263" s="34"/>
      <c r="X263" s="34"/>
      <c r="Y263" s="34"/>
      <c r="Z263" s="34"/>
      <c r="AA263" s="34"/>
      <c r="AB263" s="34"/>
      <c r="AC263" s="34"/>
      <c r="AD263" s="34"/>
      <c r="AE263" s="34"/>
      <c r="AT263" s="19" t="s">
        <v>187</v>
      </c>
      <c r="AU263" s="19" t="s">
        <v>87</v>
      </c>
    </row>
    <row r="264" spans="1:65" s="2" customFormat="1" ht="16.5" customHeight="1">
      <c r="A264" s="34"/>
      <c r="B264" s="139"/>
      <c r="C264" s="140" t="s">
        <v>764</v>
      </c>
      <c r="D264" s="140" t="s">
        <v>180</v>
      </c>
      <c r="E264" s="141" t="s">
        <v>1775</v>
      </c>
      <c r="F264" s="142" t="s">
        <v>1776</v>
      </c>
      <c r="G264" s="143" t="s">
        <v>236</v>
      </c>
      <c r="H264" s="144">
        <v>4</v>
      </c>
      <c r="I264" s="145"/>
      <c r="J264" s="146">
        <f>ROUND(I264*H264,2)</f>
        <v>0</v>
      </c>
      <c r="K264" s="142" t="s">
        <v>184</v>
      </c>
      <c r="L264" s="35"/>
      <c r="M264" s="147" t="s">
        <v>3</v>
      </c>
      <c r="N264" s="148" t="s">
        <v>48</v>
      </c>
      <c r="O264" s="55"/>
      <c r="P264" s="149">
        <f>O264*H264</f>
        <v>0</v>
      </c>
      <c r="Q264" s="149">
        <v>0.44170336999999998</v>
      </c>
      <c r="R264" s="149">
        <f>Q264*H264</f>
        <v>1.7668134799999999</v>
      </c>
      <c r="S264" s="149">
        <v>0</v>
      </c>
      <c r="T264" s="150">
        <f>S264*H264</f>
        <v>0</v>
      </c>
      <c r="U264" s="34"/>
      <c r="V264" s="34"/>
      <c r="W264" s="34"/>
      <c r="X264" s="34"/>
      <c r="Y264" s="34"/>
      <c r="Z264" s="34"/>
      <c r="AA264" s="34"/>
      <c r="AB264" s="34"/>
      <c r="AC264" s="34"/>
      <c r="AD264" s="34"/>
      <c r="AE264" s="34"/>
      <c r="AR264" s="151" t="s">
        <v>185</v>
      </c>
      <c r="AT264" s="151" t="s">
        <v>180</v>
      </c>
      <c r="AU264" s="151" t="s">
        <v>87</v>
      </c>
      <c r="AY264" s="19" t="s">
        <v>177</v>
      </c>
      <c r="BE264" s="152">
        <f>IF(N264="základní",J264,0)</f>
        <v>0</v>
      </c>
      <c r="BF264" s="152">
        <f>IF(N264="snížená",J264,0)</f>
        <v>0</v>
      </c>
      <c r="BG264" s="152">
        <f>IF(N264="zákl. přenesená",J264,0)</f>
        <v>0</v>
      </c>
      <c r="BH264" s="152">
        <f>IF(N264="sníž. přenesená",J264,0)</f>
        <v>0</v>
      </c>
      <c r="BI264" s="152">
        <f>IF(N264="nulová",J264,0)</f>
        <v>0</v>
      </c>
      <c r="BJ264" s="19" t="s">
        <v>85</v>
      </c>
      <c r="BK264" s="152">
        <f>ROUND(I264*H264,2)</f>
        <v>0</v>
      </c>
      <c r="BL264" s="19" t="s">
        <v>185</v>
      </c>
      <c r="BM264" s="151" t="s">
        <v>2039</v>
      </c>
    </row>
    <row r="265" spans="1:65" s="2" customFormat="1" ht="19.5">
      <c r="A265" s="34"/>
      <c r="B265" s="35"/>
      <c r="C265" s="34"/>
      <c r="D265" s="153" t="s">
        <v>187</v>
      </c>
      <c r="E265" s="34"/>
      <c r="F265" s="154" t="s">
        <v>1778</v>
      </c>
      <c r="G265" s="34"/>
      <c r="H265" s="34"/>
      <c r="I265" s="155"/>
      <c r="J265" s="34"/>
      <c r="K265" s="34"/>
      <c r="L265" s="35"/>
      <c r="M265" s="156"/>
      <c r="N265" s="157"/>
      <c r="O265" s="55"/>
      <c r="P265" s="55"/>
      <c r="Q265" s="55"/>
      <c r="R265" s="55"/>
      <c r="S265" s="55"/>
      <c r="T265" s="56"/>
      <c r="U265" s="34"/>
      <c r="V265" s="34"/>
      <c r="W265" s="34"/>
      <c r="X265" s="34"/>
      <c r="Y265" s="34"/>
      <c r="Z265" s="34"/>
      <c r="AA265" s="34"/>
      <c r="AB265" s="34"/>
      <c r="AC265" s="34"/>
      <c r="AD265" s="34"/>
      <c r="AE265" s="34"/>
      <c r="AT265" s="19" t="s">
        <v>187</v>
      </c>
      <c r="AU265" s="19" t="s">
        <v>87</v>
      </c>
    </row>
    <row r="266" spans="1:65" s="2" customFormat="1">
      <c r="A266" s="34"/>
      <c r="B266" s="35"/>
      <c r="C266" s="34"/>
      <c r="D266" s="158" t="s">
        <v>189</v>
      </c>
      <c r="E266" s="34"/>
      <c r="F266" s="159" t="s">
        <v>1779</v>
      </c>
      <c r="G266" s="34"/>
      <c r="H266" s="34"/>
      <c r="I266" s="155"/>
      <c r="J266" s="34"/>
      <c r="K266" s="34"/>
      <c r="L266" s="35"/>
      <c r="M266" s="156"/>
      <c r="N266" s="157"/>
      <c r="O266" s="55"/>
      <c r="P266" s="55"/>
      <c r="Q266" s="55"/>
      <c r="R266" s="55"/>
      <c r="S266" s="55"/>
      <c r="T266" s="56"/>
      <c r="U266" s="34"/>
      <c r="V266" s="34"/>
      <c r="W266" s="34"/>
      <c r="X266" s="34"/>
      <c r="Y266" s="34"/>
      <c r="Z266" s="34"/>
      <c r="AA266" s="34"/>
      <c r="AB266" s="34"/>
      <c r="AC266" s="34"/>
      <c r="AD266" s="34"/>
      <c r="AE266" s="34"/>
      <c r="AT266" s="19" t="s">
        <v>189</v>
      </c>
      <c r="AU266" s="19" t="s">
        <v>87</v>
      </c>
    </row>
    <row r="267" spans="1:65" s="2" customFormat="1" ht="87.75">
      <c r="A267" s="34"/>
      <c r="B267" s="35"/>
      <c r="C267" s="34"/>
      <c r="D267" s="153" t="s">
        <v>191</v>
      </c>
      <c r="E267" s="34"/>
      <c r="F267" s="160" t="s">
        <v>1780</v>
      </c>
      <c r="G267" s="34"/>
      <c r="H267" s="34"/>
      <c r="I267" s="155"/>
      <c r="J267" s="34"/>
      <c r="K267" s="34"/>
      <c r="L267" s="35"/>
      <c r="M267" s="156"/>
      <c r="N267" s="157"/>
      <c r="O267" s="55"/>
      <c r="P267" s="55"/>
      <c r="Q267" s="55"/>
      <c r="R267" s="55"/>
      <c r="S267" s="55"/>
      <c r="T267" s="56"/>
      <c r="U267" s="34"/>
      <c r="V267" s="34"/>
      <c r="W267" s="34"/>
      <c r="X267" s="34"/>
      <c r="Y267" s="34"/>
      <c r="Z267" s="34"/>
      <c r="AA267" s="34"/>
      <c r="AB267" s="34"/>
      <c r="AC267" s="34"/>
      <c r="AD267" s="34"/>
      <c r="AE267" s="34"/>
      <c r="AT267" s="19" t="s">
        <v>191</v>
      </c>
      <c r="AU267" s="19" t="s">
        <v>87</v>
      </c>
    </row>
    <row r="268" spans="1:65" s="2" customFormat="1" ht="21.75" customHeight="1">
      <c r="A268" s="34"/>
      <c r="B268" s="139"/>
      <c r="C268" s="195" t="s">
        <v>772</v>
      </c>
      <c r="D268" s="195" t="s">
        <v>484</v>
      </c>
      <c r="E268" s="196" t="s">
        <v>2040</v>
      </c>
      <c r="F268" s="197" t="s">
        <v>2041</v>
      </c>
      <c r="G268" s="198" t="s">
        <v>236</v>
      </c>
      <c r="H268" s="199">
        <v>1</v>
      </c>
      <c r="I268" s="200"/>
      <c r="J268" s="201">
        <f>ROUND(I268*H268,2)</f>
        <v>0</v>
      </c>
      <c r="K268" s="197" t="s">
        <v>184</v>
      </c>
      <c r="L268" s="202"/>
      <c r="M268" s="203" t="s">
        <v>3</v>
      </c>
      <c r="N268" s="204" t="s">
        <v>48</v>
      </c>
      <c r="O268" s="55"/>
      <c r="P268" s="149">
        <f>O268*H268</f>
        <v>0</v>
      </c>
      <c r="Q268" s="149">
        <v>1.2489999999999999E-2</v>
      </c>
      <c r="R268" s="149">
        <f>Q268*H268</f>
        <v>1.2489999999999999E-2</v>
      </c>
      <c r="S268" s="149">
        <v>0</v>
      </c>
      <c r="T268" s="150">
        <f>S268*H268</f>
        <v>0</v>
      </c>
      <c r="U268" s="34"/>
      <c r="V268" s="34"/>
      <c r="W268" s="34"/>
      <c r="X268" s="34"/>
      <c r="Y268" s="34"/>
      <c r="Z268" s="34"/>
      <c r="AA268" s="34"/>
      <c r="AB268" s="34"/>
      <c r="AC268" s="34"/>
      <c r="AD268" s="34"/>
      <c r="AE268" s="34"/>
      <c r="AR268" s="151" t="s">
        <v>248</v>
      </c>
      <c r="AT268" s="151" t="s">
        <v>484</v>
      </c>
      <c r="AU268" s="151" t="s">
        <v>87</v>
      </c>
      <c r="AY268" s="19" t="s">
        <v>177</v>
      </c>
      <c r="BE268" s="152">
        <f>IF(N268="základní",J268,0)</f>
        <v>0</v>
      </c>
      <c r="BF268" s="152">
        <f>IF(N268="snížená",J268,0)</f>
        <v>0</v>
      </c>
      <c r="BG268" s="152">
        <f>IF(N268="zákl. přenesená",J268,0)</f>
        <v>0</v>
      </c>
      <c r="BH268" s="152">
        <f>IF(N268="sníž. přenesená",J268,0)</f>
        <v>0</v>
      </c>
      <c r="BI268" s="152">
        <f>IF(N268="nulová",J268,0)</f>
        <v>0</v>
      </c>
      <c r="BJ268" s="19" t="s">
        <v>85</v>
      </c>
      <c r="BK268" s="152">
        <f>ROUND(I268*H268,2)</f>
        <v>0</v>
      </c>
      <c r="BL268" s="19" t="s">
        <v>185</v>
      </c>
      <c r="BM268" s="151" t="s">
        <v>2042</v>
      </c>
    </row>
    <row r="269" spans="1:65" s="2" customFormat="1">
      <c r="A269" s="34"/>
      <c r="B269" s="35"/>
      <c r="C269" s="34"/>
      <c r="D269" s="153" t="s">
        <v>187</v>
      </c>
      <c r="E269" s="34"/>
      <c r="F269" s="154" t="s">
        <v>2041</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187</v>
      </c>
      <c r="AU269" s="19" t="s">
        <v>87</v>
      </c>
    </row>
    <row r="270" spans="1:65" s="2" customFormat="1" ht="21.75" customHeight="1">
      <c r="A270" s="34"/>
      <c r="B270" s="139"/>
      <c r="C270" s="195" t="s">
        <v>781</v>
      </c>
      <c r="D270" s="195" t="s">
        <v>484</v>
      </c>
      <c r="E270" s="196" t="s">
        <v>1781</v>
      </c>
      <c r="F270" s="197" t="s">
        <v>1782</v>
      </c>
      <c r="G270" s="198" t="s">
        <v>236</v>
      </c>
      <c r="H270" s="199">
        <v>2</v>
      </c>
      <c r="I270" s="200"/>
      <c r="J270" s="201">
        <f>ROUND(I270*H270,2)</f>
        <v>0</v>
      </c>
      <c r="K270" s="197" t="s">
        <v>184</v>
      </c>
      <c r="L270" s="202"/>
      <c r="M270" s="203" t="s">
        <v>3</v>
      </c>
      <c r="N270" s="204" t="s">
        <v>48</v>
      </c>
      <c r="O270" s="55"/>
      <c r="P270" s="149">
        <f>O270*H270</f>
        <v>0</v>
      </c>
      <c r="Q270" s="149">
        <v>1.489E-2</v>
      </c>
      <c r="R270" s="149">
        <f>Q270*H270</f>
        <v>2.9780000000000001E-2</v>
      </c>
      <c r="S270" s="149">
        <v>0</v>
      </c>
      <c r="T270" s="150">
        <f>S270*H270</f>
        <v>0</v>
      </c>
      <c r="U270" s="34"/>
      <c r="V270" s="34"/>
      <c r="W270" s="34"/>
      <c r="X270" s="34"/>
      <c r="Y270" s="34"/>
      <c r="Z270" s="34"/>
      <c r="AA270" s="34"/>
      <c r="AB270" s="34"/>
      <c r="AC270" s="34"/>
      <c r="AD270" s="34"/>
      <c r="AE270" s="34"/>
      <c r="AR270" s="151" t="s">
        <v>248</v>
      </c>
      <c r="AT270" s="151" t="s">
        <v>484</v>
      </c>
      <c r="AU270" s="151" t="s">
        <v>87</v>
      </c>
      <c r="AY270" s="19" t="s">
        <v>177</v>
      </c>
      <c r="BE270" s="152">
        <f>IF(N270="základní",J270,0)</f>
        <v>0</v>
      </c>
      <c r="BF270" s="152">
        <f>IF(N270="snížená",J270,0)</f>
        <v>0</v>
      </c>
      <c r="BG270" s="152">
        <f>IF(N270="zákl. přenesená",J270,0)</f>
        <v>0</v>
      </c>
      <c r="BH270" s="152">
        <f>IF(N270="sníž. přenesená",J270,0)</f>
        <v>0</v>
      </c>
      <c r="BI270" s="152">
        <f>IF(N270="nulová",J270,0)</f>
        <v>0</v>
      </c>
      <c r="BJ270" s="19" t="s">
        <v>85</v>
      </c>
      <c r="BK270" s="152">
        <f>ROUND(I270*H270,2)</f>
        <v>0</v>
      </c>
      <c r="BL270" s="19" t="s">
        <v>185</v>
      </c>
      <c r="BM270" s="151" t="s">
        <v>2043</v>
      </c>
    </row>
    <row r="271" spans="1:65" s="2" customFormat="1">
      <c r="A271" s="34"/>
      <c r="B271" s="35"/>
      <c r="C271" s="34"/>
      <c r="D271" s="153" t="s">
        <v>187</v>
      </c>
      <c r="E271" s="34"/>
      <c r="F271" s="154" t="s">
        <v>1782</v>
      </c>
      <c r="G271" s="34"/>
      <c r="H271" s="34"/>
      <c r="I271" s="155"/>
      <c r="J271" s="34"/>
      <c r="K271" s="34"/>
      <c r="L271" s="35"/>
      <c r="M271" s="156"/>
      <c r="N271" s="157"/>
      <c r="O271" s="55"/>
      <c r="P271" s="55"/>
      <c r="Q271" s="55"/>
      <c r="R271" s="55"/>
      <c r="S271" s="55"/>
      <c r="T271" s="56"/>
      <c r="U271" s="34"/>
      <c r="V271" s="34"/>
      <c r="W271" s="34"/>
      <c r="X271" s="34"/>
      <c r="Y271" s="34"/>
      <c r="Z271" s="34"/>
      <c r="AA271" s="34"/>
      <c r="AB271" s="34"/>
      <c r="AC271" s="34"/>
      <c r="AD271" s="34"/>
      <c r="AE271" s="34"/>
      <c r="AT271" s="19" t="s">
        <v>187</v>
      </c>
      <c r="AU271" s="19" t="s">
        <v>87</v>
      </c>
    </row>
    <row r="272" spans="1:65" s="2" customFormat="1" ht="21.75" customHeight="1">
      <c r="A272" s="34"/>
      <c r="B272" s="139"/>
      <c r="C272" s="195" t="s">
        <v>787</v>
      </c>
      <c r="D272" s="195" t="s">
        <v>484</v>
      </c>
      <c r="E272" s="196" t="s">
        <v>2044</v>
      </c>
      <c r="F272" s="197" t="s">
        <v>2045</v>
      </c>
      <c r="G272" s="198" t="s">
        <v>236</v>
      </c>
      <c r="H272" s="199">
        <v>1</v>
      </c>
      <c r="I272" s="200"/>
      <c r="J272" s="201">
        <f>ROUND(I272*H272,2)</f>
        <v>0</v>
      </c>
      <c r="K272" s="197" t="s">
        <v>184</v>
      </c>
      <c r="L272" s="202"/>
      <c r="M272" s="203" t="s">
        <v>3</v>
      </c>
      <c r="N272" s="204" t="s">
        <v>48</v>
      </c>
      <c r="O272" s="55"/>
      <c r="P272" s="149">
        <f>O272*H272</f>
        <v>0</v>
      </c>
      <c r="Q272" s="149">
        <v>1.553E-2</v>
      </c>
      <c r="R272" s="149">
        <f>Q272*H272</f>
        <v>1.553E-2</v>
      </c>
      <c r="S272" s="149">
        <v>0</v>
      </c>
      <c r="T272" s="150">
        <f>S272*H272</f>
        <v>0</v>
      </c>
      <c r="U272" s="34"/>
      <c r="V272" s="34"/>
      <c r="W272" s="34"/>
      <c r="X272" s="34"/>
      <c r="Y272" s="34"/>
      <c r="Z272" s="34"/>
      <c r="AA272" s="34"/>
      <c r="AB272" s="34"/>
      <c r="AC272" s="34"/>
      <c r="AD272" s="34"/>
      <c r="AE272" s="34"/>
      <c r="AR272" s="151" t="s">
        <v>248</v>
      </c>
      <c r="AT272" s="151" t="s">
        <v>484</v>
      </c>
      <c r="AU272" s="151" t="s">
        <v>87</v>
      </c>
      <c r="AY272" s="19" t="s">
        <v>177</v>
      </c>
      <c r="BE272" s="152">
        <f>IF(N272="základní",J272,0)</f>
        <v>0</v>
      </c>
      <c r="BF272" s="152">
        <f>IF(N272="snížená",J272,0)</f>
        <v>0</v>
      </c>
      <c r="BG272" s="152">
        <f>IF(N272="zákl. přenesená",J272,0)</f>
        <v>0</v>
      </c>
      <c r="BH272" s="152">
        <f>IF(N272="sníž. přenesená",J272,0)</f>
        <v>0</v>
      </c>
      <c r="BI272" s="152">
        <f>IF(N272="nulová",J272,0)</f>
        <v>0</v>
      </c>
      <c r="BJ272" s="19" t="s">
        <v>85</v>
      </c>
      <c r="BK272" s="152">
        <f>ROUND(I272*H272,2)</f>
        <v>0</v>
      </c>
      <c r="BL272" s="19" t="s">
        <v>185</v>
      </c>
      <c r="BM272" s="151" t="s">
        <v>2046</v>
      </c>
    </row>
    <row r="273" spans="1:65" s="2" customFormat="1">
      <c r="A273" s="34"/>
      <c r="B273" s="35"/>
      <c r="C273" s="34"/>
      <c r="D273" s="153" t="s">
        <v>187</v>
      </c>
      <c r="E273" s="34"/>
      <c r="F273" s="154" t="s">
        <v>2045</v>
      </c>
      <c r="G273" s="34"/>
      <c r="H273" s="34"/>
      <c r="I273" s="155"/>
      <c r="J273" s="34"/>
      <c r="K273" s="34"/>
      <c r="L273" s="35"/>
      <c r="M273" s="156"/>
      <c r="N273" s="157"/>
      <c r="O273" s="55"/>
      <c r="P273" s="55"/>
      <c r="Q273" s="55"/>
      <c r="R273" s="55"/>
      <c r="S273" s="55"/>
      <c r="T273" s="56"/>
      <c r="U273" s="34"/>
      <c r="V273" s="34"/>
      <c r="W273" s="34"/>
      <c r="X273" s="34"/>
      <c r="Y273" s="34"/>
      <c r="Z273" s="34"/>
      <c r="AA273" s="34"/>
      <c r="AB273" s="34"/>
      <c r="AC273" s="34"/>
      <c r="AD273" s="34"/>
      <c r="AE273" s="34"/>
      <c r="AT273" s="19" t="s">
        <v>187</v>
      </c>
      <c r="AU273" s="19" t="s">
        <v>87</v>
      </c>
    </row>
    <row r="274" spans="1:65" s="2" customFormat="1" ht="16.5" customHeight="1">
      <c r="A274" s="34"/>
      <c r="B274" s="139"/>
      <c r="C274" s="140" t="s">
        <v>794</v>
      </c>
      <c r="D274" s="140" t="s">
        <v>180</v>
      </c>
      <c r="E274" s="141" t="s">
        <v>1787</v>
      </c>
      <c r="F274" s="142" t="s">
        <v>1788</v>
      </c>
      <c r="G274" s="143" t="s">
        <v>236</v>
      </c>
      <c r="H274" s="144">
        <v>4</v>
      </c>
      <c r="I274" s="145"/>
      <c r="J274" s="146">
        <f>ROUND(I274*H274,2)</f>
        <v>0</v>
      </c>
      <c r="K274" s="142" t="s">
        <v>184</v>
      </c>
      <c r="L274" s="35"/>
      <c r="M274" s="147" t="s">
        <v>3</v>
      </c>
      <c r="N274" s="148" t="s">
        <v>48</v>
      </c>
      <c r="O274" s="55"/>
      <c r="P274" s="149">
        <f>O274*H274</f>
        <v>0</v>
      </c>
      <c r="Q274" s="149">
        <v>0.54769076000000005</v>
      </c>
      <c r="R274" s="149">
        <f>Q274*H274</f>
        <v>2.1907630400000002</v>
      </c>
      <c r="S274" s="149">
        <v>0</v>
      </c>
      <c r="T274" s="150">
        <f>S274*H274</f>
        <v>0</v>
      </c>
      <c r="U274" s="34"/>
      <c r="V274" s="34"/>
      <c r="W274" s="34"/>
      <c r="X274" s="34"/>
      <c r="Y274" s="34"/>
      <c r="Z274" s="34"/>
      <c r="AA274" s="34"/>
      <c r="AB274" s="34"/>
      <c r="AC274" s="34"/>
      <c r="AD274" s="34"/>
      <c r="AE274" s="34"/>
      <c r="AR274" s="151" t="s">
        <v>185</v>
      </c>
      <c r="AT274" s="151" t="s">
        <v>180</v>
      </c>
      <c r="AU274" s="151" t="s">
        <v>87</v>
      </c>
      <c r="AY274" s="19" t="s">
        <v>177</v>
      </c>
      <c r="BE274" s="152">
        <f>IF(N274="základní",J274,0)</f>
        <v>0</v>
      </c>
      <c r="BF274" s="152">
        <f>IF(N274="snížená",J274,0)</f>
        <v>0</v>
      </c>
      <c r="BG274" s="152">
        <f>IF(N274="zákl. přenesená",J274,0)</f>
        <v>0</v>
      </c>
      <c r="BH274" s="152">
        <f>IF(N274="sníž. přenesená",J274,0)</f>
        <v>0</v>
      </c>
      <c r="BI274" s="152">
        <f>IF(N274="nulová",J274,0)</f>
        <v>0</v>
      </c>
      <c r="BJ274" s="19" t="s">
        <v>85</v>
      </c>
      <c r="BK274" s="152">
        <f>ROUND(I274*H274,2)</f>
        <v>0</v>
      </c>
      <c r="BL274" s="19" t="s">
        <v>185</v>
      </c>
      <c r="BM274" s="151" t="s">
        <v>2047</v>
      </c>
    </row>
    <row r="275" spans="1:65" s="2" customFormat="1" ht="19.5">
      <c r="A275" s="34"/>
      <c r="B275" s="35"/>
      <c r="C275" s="34"/>
      <c r="D275" s="153" t="s">
        <v>187</v>
      </c>
      <c r="E275" s="34"/>
      <c r="F275" s="154" t="s">
        <v>1790</v>
      </c>
      <c r="G275" s="34"/>
      <c r="H275" s="34"/>
      <c r="I275" s="155"/>
      <c r="J275" s="34"/>
      <c r="K275" s="34"/>
      <c r="L275" s="35"/>
      <c r="M275" s="156"/>
      <c r="N275" s="157"/>
      <c r="O275" s="55"/>
      <c r="P275" s="55"/>
      <c r="Q275" s="55"/>
      <c r="R275" s="55"/>
      <c r="S275" s="55"/>
      <c r="T275" s="56"/>
      <c r="U275" s="34"/>
      <c r="V275" s="34"/>
      <c r="W275" s="34"/>
      <c r="X275" s="34"/>
      <c r="Y275" s="34"/>
      <c r="Z275" s="34"/>
      <c r="AA275" s="34"/>
      <c r="AB275" s="34"/>
      <c r="AC275" s="34"/>
      <c r="AD275" s="34"/>
      <c r="AE275" s="34"/>
      <c r="AT275" s="19" t="s">
        <v>187</v>
      </c>
      <c r="AU275" s="19" t="s">
        <v>87</v>
      </c>
    </row>
    <row r="276" spans="1:65" s="2" customFormat="1">
      <c r="A276" s="34"/>
      <c r="B276" s="35"/>
      <c r="C276" s="34"/>
      <c r="D276" s="158" t="s">
        <v>189</v>
      </c>
      <c r="E276" s="34"/>
      <c r="F276" s="159" t="s">
        <v>1791</v>
      </c>
      <c r="G276" s="34"/>
      <c r="H276" s="34"/>
      <c r="I276" s="155"/>
      <c r="J276" s="34"/>
      <c r="K276" s="34"/>
      <c r="L276" s="35"/>
      <c r="M276" s="156"/>
      <c r="N276" s="157"/>
      <c r="O276" s="55"/>
      <c r="P276" s="55"/>
      <c r="Q276" s="55"/>
      <c r="R276" s="55"/>
      <c r="S276" s="55"/>
      <c r="T276" s="56"/>
      <c r="U276" s="34"/>
      <c r="V276" s="34"/>
      <c r="W276" s="34"/>
      <c r="X276" s="34"/>
      <c r="Y276" s="34"/>
      <c r="Z276" s="34"/>
      <c r="AA276" s="34"/>
      <c r="AB276" s="34"/>
      <c r="AC276" s="34"/>
      <c r="AD276" s="34"/>
      <c r="AE276" s="34"/>
      <c r="AT276" s="19" t="s">
        <v>189</v>
      </c>
      <c r="AU276" s="19" t="s">
        <v>87</v>
      </c>
    </row>
    <row r="277" spans="1:65" s="2" customFormat="1" ht="87.75">
      <c r="A277" s="34"/>
      <c r="B277" s="35"/>
      <c r="C277" s="34"/>
      <c r="D277" s="153" t="s">
        <v>191</v>
      </c>
      <c r="E277" s="34"/>
      <c r="F277" s="160" t="s">
        <v>1780</v>
      </c>
      <c r="G277" s="34"/>
      <c r="H277" s="34"/>
      <c r="I277" s="155"/>
      <c r="J277" s="34"/>
      <c r="K277" s="34"/>
      <c r="L277" s="35"/>
      <c r="M277" s="156"/>
      <c r="N277" s="157"/>
      <c r="O277" s="55"/>
      <c r="P277" s="55"/>
      <c r="Q277" s="55"/>
      <c r="R277" s="55"/>
      <c r="S277" s="55"/>
      <c r="T277" s="56"/>
      <c r="U277" s="34"/>
      <c r="V277" s="34"/>
      <c r="W277" s="34"/>
      <c r="X277" s="34"/>
      <c r="Y277" s="34"/>
      <c r="Z277" s="34"/>
      <c r="AA277" s="34"/>
      <c r="AB277" s="34"/>
      <c r="AC277" s="34"/>
      <c r="AD277" s="34"/>
      <c r="AE277" s="34"/>
      <c r="AT277" s="19" t="s">
        <v>191</v>
      </c>
      <c r="AU277" s="19" t="s">
        <v>87</v>
      </c>
    </row>
    <row r="278" spans="1:65" s="2" customFormat="1" ht="24.2" customHeight="1">
      <c r="A278" s="34"/>
      <c r="B278" s="139"/>
      <c r="C278" s="195" t="s">
        <v>800</v>
      </c>
      <c r="D278" s="195" t="s">
        <v>484</v>
      </c>
      <c r="E278" s="196" t="s">
        <v>1792</v>
      </c>
      <c r="F278" s="197" t="s">
        <v>1793</v>
      </c>
      <c r="G278" s="198" t="s">
        <v>236</v>
      </c>
      <c r="H278" s="199">
        <v>2</v>
      </c>
      <c r="I278" s="200"/>
      <c r="J278" s="201">
        <f>ROUND(I278*H278,2)</f>
        <v>0</v>
      </c>
      <c r="K278" s="197" t="s">
        <v>244</v>
      </c>
      <c r="L278" s="202"/>
      <c r="M278" s="203" t="s">
        <v>3</v>
      </c>
      <c r="N278" s="204" t="s">
        <v>48</v>
      </c>
      <c r="O278" s="55"/>
      <c r="P278" s="149">
        <f>O278*H278</f>
        <v>0</v>
      </c>
      <c r="Q278" s="149">
        <v>2.9000000000000001E-2</v>
      </c>
      <c r="R278" s="149">
        <f>Q278*H278</f>
        <v>5.8000000000000003E-2</v>
      </c>
      <c r="S278" s="149">
        <v>0</v>
      </c>
      <c r="T278" s="150">
        <f>S278*H278</f>
        <v>0</v>
      </c>
      <c r="U278" s="34"/>
      <c r="V278" s="34"/>
      <c r="W278" s="34"/>
      <c r="X278" s="34"/>
      <c r="Y278" s="34"/>
      <c r="Z278" s="34"/>
      <c r="AA278" s="34"/>
      <c r="AB278" s="34"/>
      <c r="AC278" s="34"/>
      <c r="AD278" s="34"/>
      <c r="AE278" s="34"/>
      <c r="AR278" s="151" t="s">
        <v>248</v>
      </c>
      <c r="AT278" s="151" t="s">
        <v>484</v>
      </c>
      <c r="AU278" s="151" t="s">
        <v>87</v>
      </c>
      <c r="AY278" s="19" t="s">
        <v>177</v>
      </c>
      <c r="BE278" s="152">
        <f>IF(N278="základní",J278,0)</f>
        <v>0</v>
      </c>
      <c r="BF278" s="152">
        <f>IF(N278="snížená",J278,0)</f>
        <v>0</v>
      </c>
      <c r="BG278" s="152">
        <f>IF(N278="zákl. přenesená",J278,0)</f>
        <v>0</v>
      </c>
      <c r="BH278" s="152">
        <f>IF(N278="sníž. přenesená",J278,0)</f>
        <v>0</v>
      </c>
      <c r="BI278" s="152">
        <f>IF(N278="nulová",J278,0)</f>
        <v>0</v>
      </c>
      <c r="BJ278" s="19" t="s">
        <v>85</v>
      </c>
      <c r="BK278" s="152">
        <f>ROUND(I278*H278,2)</f>
        <v>0</v>
      </c>
      <c r="BL278" s="19" t="s">
        <v>185</v>
      </c>
      <c r="BM278" s="151" t="s">
        <v>2048</v>
      </c>
    </row>
    <row r="279" spans="1:65" s="2" customFormat="1">
      <c r="A279" s="34"/>
      <c r="B279" s="35"/>
      <c r="C279" s="34"/>
      <c r="D279" s="153" t="s">
        <v>187</v>
      </c>
      <c r="E279" s="34"/>
      <c r="F279" s="154" t="s">
        <v>1793</v>
      </c>
      <c r="G279" s="34"/>
      <c r="H279" s="34"/>
      <c r="I279" s="155"/>
      <c r="J279" s="34"/>
      <c r="K279" s="34"/>
      <c r="L279" s="35"/>
      <c r="M279" s="156"/>
      <c r="N279" s="157"/>
      <c r="O279" s="55"/>
      <c r="P279" s="55"/>
      <c r="Q279" s="55"/>
      <c r="R279" s="55"/>
      <c r="S279" s="55"/>
      <c r="T279" s="56"/>
      <c r="U279" s="34"/>
      <c r="V279" s="34"/>
      <c r="W279" s="34"/>
      <c r="X279" s="34"/>
      <c r="Y279" s="34"/>
      <c r="Z279" s="34"/>
      <c r="AA279" s="34"/>
      <c r="AB279" s="34"/>
      <c r="AC279" s="34"/>
      <c r="AD279" s="34"/>
      <c r="AE279" s="34"/>
      <c r="AT279" s="19" t="s">
        <v>187</v>
      </c>
      <c r="AU279" s="19" t="s">
        <v>87</v>
      </c>
    </row>
    <row r="280" spans="1:65" s="2" customFormat="1" ht="21.75" customHeight="1">
      <c r="A280" s="34"/>
      <c r="B280" s="139"/>
      <c r="C280" s="195" t="s">
        <v>1117</v>
      </c>
      <c r="D280" s="195" t="s">
        <v>484</v>
      </c>
      <c r="E280" s="196" t="s">
        <v>2049</v>
      </c>
      <c r="F280" s="197" t="s">
        <v>2050</v>
      </c>
      <c r="G280" s="198" t="s">
        <v>236</v>
      </c>
      <c r="H280" s="199">
        <v>2</v>
      </c>
      <c r="I280" s="200"/>
      <c r="J280" s="201">
        <f>ROUND(I280*H280,2)</f>
        <v>0</v>
      </c>
      <c r="K280" s="197" t="s">
        <v>244</v>
      </c>
      <c r="L280" s="202"/>
      <c r="M280" s="203" t="s">
        <v>3</v>
      </c>
      <c r="N280" s="204" t="s">
        <v>48</v>
      </c>
      <c r="O280" s="55"/>
      <c r="P280" s="149">
        <f>O280*H280</f>
        <v>0</v>
      </c>
      <c r="Q280" s="149">
        <v>3.0300000000000001E-2</v>
      </c>
      <c r="R280" s="149">
        <f>Q280*H280</f>
        <v>6.0600000000000001E-2</v>
      </c>
      <c r="S280" s="149">
        <v>0</v>
      </c>
      <c r="T280" s="150">
        <f>S280*H280</f>
        <v>0</v>
      </c>
      <c r="U280" s="34"/>
      <c r="V280" s="34"/>
      <c r="W280" s="34"/>
      <c r="X280" s="34"/>
      <c r="Y280" s="34"/>
      <c r="Z280" s="34"/>
      <c r="AA280" s="34"/>
      <c r="AB280" s="34"/>
      <c r="AC280" s="34"/>
      <c r="AD280" s="34"/>
      <c r="AE280" s="34"/>
      <c r="AR280" s="151" t="s">
        <v>248</v>
      </c>
      <c r="AT280" s="151" t="s">
        <v>484</v>
      </c>
      <c r="AU280" s="151" t="s">
        <v>87</v>
      </c>
      <c r="AY280" s="19" t="s">
        <v>177</v>
      </c>
      <c r="BE280" s="152">
        <f>IF(N280="základní",J280,0)</f>
        <v>0</v>
      </c>
      <c r="BF280" s="152">
        <f>IF(N280="snížená",J280,0)</f>
        <v>0</v>
      </c>
      <c r="BG280" s="152">
        <f>IF(N280="zákl. přenesená",J280,0)</f>
        <v>0</v>
      </c>
      <c r="BH280" s="152">
        <f>IF(N280="sníž. přenesená",J280,0)</f>
        <v>0</v>
      </c>
      <c r="BI280" s="152">
        <f>IF(N280="nulová",J280,0)</f>
        <v>0</v>
      </c>
      <c r="BJ280" s="19" t="s">
        <v>85</v>
      </c>
      <c r="BK280" s="152">
        <f>ROUND(I280*H280,2)</f>
        <v>0</v>
      </c>
      <c r="BL280" s="19" t="s">
        <v>185</v>
      </c>
      <c r="BM280" s="151" t="s">
        <v>2051</v>
      </c>
    </row>
    <row r="281" spans="1:65" s="2" customFormat="1">
      <c r="A281" s="34"/>
      <c r="B281" s="35"/>
      <c r="C281" s="34"/>
      <c r="D281" s="153" t="s">
        <v>187</v>
      </c>
      <c r="E281" s="34"/>
      <c r="F281" s="154" t="s">
        <v>2052</v>
      </c>
      <c r="G281" s="34"/>
      <c r="H281" s="34"/>
      <c r="I281" s="155"/>
      <c r="J281" s="34"/>
      <c r="K281" s="34"/>
      <c r="L281" s="35"/>
      <c r="M281" s="156"/>
      <c r="N281" s="157"/>
      <c r="O281" s="55"/>
      <c r="P281" s="55"/>
      <c r="Q281" s="55"/>
      <c r="R281" s="55"/>
      <c r="S281" s="55"/>
      <c r="T281" s="56"/>
      <c r="U281" s="34"/>
      <c r="V281" s="34"/>
      <c r="W281" s="34"/>
      <c r="X281" s="34"/>
      <c r="Y281" s="34"/>
      <c r="Z281" s="34"/>
      <c r="AA281" s="34"/>
      <c r="AB281" s="34"/>
      <c r="AC281" s="34"/>
      <c r="AD281" s="34"/>
      <c r="AE281" s="34"/>
      <c r="AT281" s="19" t="s">
        <v>187</v>
      </c>
      <c r="AU281" s="19" t="s">
        <v>87</v>
      </c>
    </row>
    <row r="282" spans="1:65" s="12" customFormat="1" ht="22.9" customHeight="1">
      <c r="B282" s="126"/>
      <c r="D282" s="127" t="s">
        <v>76</v>
      </c>
      <c r="E282" s="137" t="s">
        <v>252</v>
      </c>
      <c r="F282" s="137" t="s">
        <v>329</v>
      </c>
      <c r="I282" s="129"/>
      <c r="J282" s="138">
        <f>BK282</f>
        <v>0</v>
      </c>
      <c r="L282" s="126"/>
      <c r="M282" s="131"/>
      <c r="N282" s="132"/>
      <c r="O282" s="132"/>
      <c r="P282" s="133">
        <f>SUM(P283:P305)</f>
        <v>0</v>
      </c>
      <c r="Q282" s="132"/>
      <c r="R282" s="133">
        <f>SUM(R283:R305)</f>
        <v>5.5526903999999995E-2</v>
      </c>
      <c r="S282" s="132"/>
      <c r="T282" s="134">
        <f>SUM(T283:T305)</f>
        <v>0.68300000000000005</v>
      </c>
      <c r="AR282" s="127" t="s">
        <v>85</v>
      </c>
      <c r="AT282" s="135" t="s">
        <v>76</v>
      </c>
      <c r="AU282" s="135" t="s">
        <v>85</v>
      </c>
      <c r="AY282" s="127" t="s">
        <v>177</v>
      </c>
      <c r="BK282" s="136">
        <f>SUM(BK283:BK305)</f>
        <v>0</v>
      </c>
    </row>
    <row r="283" spans="1:65" s="2" customFormat="1" ht="21.75" customHeight="1">
      <c r="A283" s="34"/>
      <c r="B283" s="139"/>
      <c r="C283" s="140" t="s">
        <v>1119</v>
      </c>
      <c r="D283" s="140" t="s">
        <v>180</v>
      </c>
      <c r="E283" s="141" t="s">
        <v>682</v>
      </c>
      <c r="F283" s="142" t="s">
        <v>683</v>
      </c>
      <c r="G283" s="143" t="s">
        <v>332</v>
      </c>
      <c r="H283" s="144">
        <v>328.8</v>
      </c>
      <c r="I283" s="145"/>
      <c r="J283" s="146">
        <f>ROUND(I283*H283,2)</f>
        <v>0</v>
      </c>
      <c r="K283" s="142" t="s">
        <v>184</v>
      </c>
      <c r="L283" s="35"/>
      <c r="M283" s="147" t="s">
        <v>3</v>
      </c>
      <c r="N283" s="148" t="s">
        <v>48</v>
      </c>
      <c r="O283" s="55"/>
      <c r="P283" s="149">
        <f>O283*H283</f>
        <v>0</v>
      </c>
      <c r="Q283" s="149">
        <v>1.2999999999999999E-4</v>
      </c>
      <c r="R283" s="149">
        <f>Q283*H283</f>
        <v>4.2743999999999997E-2</v>
      </c>
      <c r="S283" s="149">
        <v>0</v>
      </c>
      <c r="T283" s="150">
        <f>S283*H283</f>
        <v>0</v>
      </c>
      <c r="U283" s="34"/>
      <c r="V283" s="34"/>
      <c r="W283" s="34"/>
      <c r="X283" s="34"/>
      <c r="Y283" s="34"/>
      <c r="Z283" s="34"/>
      <c r="AA283" s="34"/>
      <c r="AB283" s="34"/>
      <c r="AC283" s="34"/>
      <c r="AD283" s="34"/>
      <c r="AE283" s="34"/>
      <c r="AR283" s="151" t="s">
        <v>185</v>
      </c>
      <c r="AT283" s="151" t="s">
        <v>180</v>
      </c>
      <c r="AU283" s="151" t="s">
        <v>87</v>
      </c>
      <c r="AY283" s="19" t="s">
        <v>177</v>
      </c>
      <c r="BE283" s="152">
        <f>IF(N283="základní",J283,0)</f>
        <v>0</v>
      </c>
      <c r="BF283" s="152">
        <f>IF(N283="snížená",J283,0)</f>
        <v>0</v>
      </c>
      <c r="BG283" s="152">
        <f>IF(N283="zákl. přenesená",J283,0)</f>
        <v>0</v>
      </c>
      <c r="BH283" s="152">
        <f>IF(N283="sníž. přenesená",J283,0)</f>
        <v>0</v>
      </c>
      <c r="BI283" s="152">
        <f>IF(N283="nulová",J283,0)</f>
        <v>0</v>
      </c>
      <c r="BJ283" s="19" t="s">
        <v>85</v>
      </c>
      <c r="BK283" s="152">
        <f>ROUND(I283*H283,2)</f>
        <v>0</v>
      </c>
      <c r="BL283" s="19" t="s">
        <v>185</v>
      </c>
      <c r="BM283" s="151" t="s">
        <v>2053</v>
      </c>
    </row>
    <row r="284" spans="1:65" s="2" customFormat="1">
      <c r="A284" s="34"/>
      <c r="B284" s="35"/>
      <c r="C284" s="34"/>
      <c r="D284" s="153" t="s">
        <v>187</v>
      </c>
      <c r="E284" s="34"/>
      <c r="F284" s="154" t="s">
        <v>685</v>
      </c>
      <c r="G284" s="34"/>
      <c r="H284" s="34"/>
      <c r="I284" s="155"/>
      <c r="J284" s="34"/>
      <c r="K284" s="34"/>
      <c r="L284" s="35"/>
      <c r="M284" s="156"/>
      <c r="N284" s="157"/>
      <c r="O284" s="55"/>
      <c r="P284" s="55"/>
      <c r="Q284" s="55"/>
      <c r="R284" s="55"/>
      <c r="S284" s="55"/>
      <c r="T284" s="56"/>
      <c r="U284" s="34"/>
      <c r="V284" s="34"/>
      <c r="W284" s="34"/>
      <c r="X284" s="34"/>
      <c r="Y284" s="34"/>
      <c r="Z284" s="34"/>
      <c r="AA284" s="34"/>
      <c r="AB284" s="34"/>
      <c r="AC284" s="34"/>
      <c r="AD284" s="34"/>
      <c r="AE284" s="34"/>
      <c r="AT284" s="19" t="s">
        <v>187</v>
      </c>
      <c r="AU284" s="19" t="s">
        <v>87</v>
      </c>
    </row>
    <row r="285" spans="1:65" s="2" customFormat="1">
      <c r="A285" s="34"/>
      <c r="B285" s="35"/>
      <c r="C285" s="34"/>
      <c r="D285" s="158" t="s">
        <v>189</v>
      </c>
      <c r="E285" s="34"/>
      <c r="F285" s="159" t="s">
        <v>686</v>
      </c>
      <c r="G285" s="34"/>
      <c r="H285" s="34"/>
      <c r="I285" s="155"/>
      <c r="J285" s="34"/>
      <c r="K285" s="34"/>
      <c r="L285" s="35"/>
      <c r="M285" s="156"/>
      <c r="N285" s="157"/>
      <c r="O285" s="55"/>
      <c r="P285" s="55"/>
      <c r="Q285" s="55"/>
      <c r="R285" s="55"/>
      <c r="S285" s="55"/>
      <c r="T285" s="56"/>
      <c r="U285" s="34"/>
      <c r="V285" s="34"/>
      <c r="W285" s="34"/>
      <c r="X285" s="34"/>
      <c r="Y285" s="34"/>
      <c r="Z285" s="34"/>
      <c r="AA285" s="34"/>
      <c r="AB285" s="34"/>
      <c r="AC285" s="34"/>
      <c r="AD285" s="34"/>
      <c r="AE285" s="34"/>
      <c r="AT285" s="19" t="s">
        <v>189</v>
      </c>
      <c r="AU285" s="19" t="s">
        <v>87</v>
      </c>
    </row>
    <row r="286" spans="1:65" s="2" customFormat="1" ht="48.75">
      <c r="A286" s="34"/>
      <c r="B286" s="35"/>
      <c r="C286" s="34"/>
      <c r="D286" s="153" t="s">
        <v>191</v>
      </c>
      <c r="E286" s="34"/>
      <c r="F286" s="160" t="s">
        <v>336</v>
      </c>
      <c r="G286" s="34"/>
      <c r="H286" s="34"/>
      <c r="I286" s="155"/>
      <c r="J286" s="34"/>
      <c r="K286" s="34"/>
      <c r="L286" s="35"/>
      <c r="M286" s="156"/>
      <c r="N286" s="157"/>
      <c r="O286" s="55"/>
      <c r="P286" s="55"/>
      <c r="Q286" s="55"/>
      <c r="R286" s="55"/>
      <c r="S286" s="55"/>
      <c r="T286" s="56"/>
      <c r="U286" s="34"/>
      <c r="V286" s="34"/>
      <c r="W286" s="34"/>
      <c r="X286" s="34"/>
      <c r="Y286" s="34"/>
      <c r="Z286" s="34"/>
      <c r="AA286" s="34"/>
      <c r="AB286" s="34"/>
      <c r="AC286" s="34"/>
      <c r="AD286" s="34"/>
      <c r="AE286" s="34"/>
      <c r="AT286" s="19" t="s">
        <v>191</v>
      </c>
      <c r="AU286" s="19" t="s">
        <v>87</v>
      </c>
    </row>
    <row r="287" spans="1:65" s="13" customFormat="1">
      <c r="B287" s="161"/>
      <c r="D287" s="153" t="s">
        <v>193</v>
      </c>
      <c r="E287" s="162" t="s">
        <v>3</v>
      </c>
      <c r="F287" s="163" t="s">
        <v>995</v>
      </c>
      <c r="H287" s="164">
        <v>328.8</v>
      </c>
      <c r="I287" s="165"/>
      <c r="L287" s="161"/>
      <c r="M287" s="166"/>
      <c r="N287" s="167"/>
      <c r="O287" s="167"/>
      <c r="P287" s="167"/>
      <c r="Q287" s="167"/>
      <c r="R287" s="167"/>
      <c r="S287" s="167"/>
      <c r="T287" s="168"/>
      <c r="AT287" s="162" t="s">
        <v>193</v>
      </c>
      <c r="AU287" s="162" t="s">
        <v>87</v>
      </c>
      <c r="AV287" s="13" t="s">
        <v>87</v>
      </c>
      <c r="AW287" s="13" t="s">
        <v>36</v>
      </c>
      <c r="AX287" s="13" t="s">
        <v>77</v>
      </c>
      <c r="AY287" s="162" t="s">
        <v>177</v>
      </c>
    </row>
    <row r="288" spans="1:65" s="16" customFormat="1">
      <c r="B288" s="184"/>
      <c r="D288" s="153" t="s">
        <v>193</v>
      </c>
      <c r="E288" s="185" t="s">
        <v>3</v>
      </c>
      <c r="F288" s="186" t="s">
        <v>201</v>
      </c>
      <c r="H288" s="187">
        <v>328.8</v>
      </c>
      <c r="I288" s="188"/>
      <c r="L288" s="184"/>
      <c r="M288" s="189"/>
      <c r="N288" s="190"/>
      <c r="O288" s="190"/>
      <c r="P288" s="190"/>
      <c r="Q288" s="190"/>
      <c r="R288" s="190"/>
      <c r="S288" s="190"/>
      <c r="T288" s="191"/>
      <c r="AT288" s="185" t="s">
        <v>193</v>
      </c>
      <c r="AU288" s="185" t="s">
        <v>87</v>
      </c>
      <c r="AV288" s="16" t="s">
        <v>185</v>
      </c>
      <c r="AW288" s="16" t="s">
        <v>36</v>
      </c>
      <c r="AX288" s="16" t="s">
        <v>85</v>
      </c>
      <c r="AY288" s="185" t="s">
        <v>177</v>
      </c>
    </row>
    <row r="289" spans="1:65" s="2" customFormat="1" ht="16.5" customHeight="1">
      <c r="A289" s="34"/>
      <c r="B289" s="139"/>
      <c r="C289" s="140" t="s">
        <v>1126</v>
      </c>
      <c r="D289" s="140" t="s">
        <v>180</v>
      </c>
      <c r="E289" s="141" t="s">
        <v>339</v>
      </c>
      <c r="F289" s="142" t="s">
        <v>340</v>
      </c>
      <c r="G289" s="143" t="s">
        <v>332</v>
      </c>
      <c r="H289" s="144">
        <v>328.8</v>
      </c>
      <c r="I289" s="145"/>
      <c r="J289" s="146">
        <f>ROUND(I289*H289,2)</f>
        <v>0</v>
      </c>
      <c r="K289" s="142" t="s">
        <v>184</v>
      </c>
      <c r="L289" s="35"/>
      <c r="M289" s="147" t="s">
        <v>3</v>
      </c>
      <c r="N289" s="148" t="s">
        <v>48</v>
      </c>
      <c r="O289" s="55"/>
      <c r="P289" s="149">
        <f>O289*H289</f>
        <v>0</v>
      </c>
      <c r="Q289" s="149">
        <v>3.4999999999999997E-5</v>
      </c>
      <c r="R289" s="149">
        <f>Q289*H289</f>
        <v>1.1507999999999999E-2</v>
      </c>
      <c r="S289" s="149">
        <v>0</v>
      </c>
      <c r="T289" s="150">
        <f>S289*H289</f>
        <v>0</v>
      </c>
      <c r="U289" s="34"/>
      <c r="V289" s="34"/>
      <c r="W289" s="34"/>
      <c r="X289" s="34"/>
      <c r="Y289" s="34"/>
      <c r="Z289" s="34"/>
      <c r="AA289" s="34"/>
      <c r="AB289" s="34"/>
      <c r="AC289" s="34"/>
      <c r="AD289" s="34"/>
      <c r="AE289" s="34"/>
      <c r="AR289" s="151" t="s">
        <v>185</v>
      </c>
      <c r="AT289" s="151" t="s">
        <v>180</v>
      </c>
      <c r="AU289" s="151" t="s">
        <v>87</v>
      </c>
      <c r="AY289" s="19" t="s">
        <v>177</v>
      </c>
      <c r="BE289" s="152">
        <f>IF(N289="základní",J289,0)</f>
        <v>0</v>
      </c>
      <c r="BF289" s="152">
        <f>IF(N289="snížená",J289,0)</f>
        <v>0</v>
      </c>
      <c r="BG289" s="152">
        <f>IF(N289="zákl. přenesená",J289,0)</f>
        <v>0</v>
      </c>
      <c r="BH289" s="152">
        <f>IF(N289="sníž. přenesená",J289,0)</f>
        <v>0</v>
      </c>
      <c r="BI289" s="152">
        <f>IF(N289="nulová",J289,0)</f>
        <v>0</v>
      </c>
      <c r="BJ289" s="19" t="s">
        <v>85</v>
      </c>
      <c r="BK289" s="152">
        <f>ROUND(I289*H289,2)</f>
        <v>0</v>
      </c>
      <c r="BL289" s="19" t="s">
        <v>185</v>
      </c>
      <c r="BM289" s="151" t="s">
        <v>2054</v>
      </c>
    </row>
    <row r="290" spans="1:65" s="2" customFormat="1">
      <c r="A290" s="34"/>
      <c r="B290" s="35"/>
      <c r="C290" s="34"/>
      <c r="D290" s="153" t="s">
        <v>187</v>
      </c>
      <c r="E290" s="34"/>
      <c r="F290" s="154" t="s">
        <v>342</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187</v>
      </c>
      <c r="AU290" s="19" t="s">
        <v>87</v>
      </c>
    </row>
    <row r="291" spans="1:65" s="2" customFormat="1">
      <c r="A291" s="34"/>
      <c r="B291" s="35"/>
      <c r="C291" s="34"/>
      <c r="D291" s="158" t="s">
        <v>189</v>
      </c>
      <c r="E291" s="34"/>
      <c r="F291" s="159" t="s">
        <v>343</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189</v>
      </c>
      <c r="AU291" s="19" t="s">
        <v>87</v>
      </c>
    </row>
    <row r="292" spans="1:65" s="2" customFormat="1" ht="165.75">
      <c r="A292" s="34"/>
      <c r="B292" s="35"/>
      <c r="C292" s="34"/>
      <c r="D292" s="153" t="s">
        <v>191</v>
      </c>
      <c r="E292" s="34"/>
      <c r="F292" s="160" t="s">
        <v>344</v>
      </c>
      <c r="G292" s="34"/>
      <c r="H292" s="34"/>
      <c r="I292" s="155"/>
      <c r="J292" s="34"/>
      <c r="K292" s="34"/>
      <c r="L292" s="35"/>
      <c r="M292" s="156"/>
      <c r="N292" s="157"/>
      <c r="O292" s="55"/>
      <c r="P292" s="55"/>
      <c r="Q292" s="55"/>
      <c r="R292" s="55"/>
      <c r="S292" s="55"/>
      <c r="T292" s="56"/>
      <c r="U292" s="34"/>
      <c r="V292" s="34"/>
      <c r="W292" s="34"/>
      <c r="X292" s="34"/>
      <c r="Y292" s="34"/>
      <c r="Z292" s="34"/>
      <c r="AA292" s="34"/>
      <c r="AB292" s="34"/>
      <c r="AC292" s="34"/>
      <c r="AD292" s="34"/>
      <c r="AE292" s="34"/>
      <c r="AT292" s="19" t="s">
        <v>191</v>
      </c>
      <c r="AU292" s="19" t="s">
        <v>87</v>
      </c>
    </row>
    <row r="293" spans="1:65" s="2" customFormat="1" ht="16.5" customHeight="1">
      <c r="A293" s="34"/>
      <c r="B293" s="139"/>
      <c r="C293" s="140" t="s">
        <v>1132</v>
      </c>
      <c r="D293" s="140" t="s">
        <v>180</v>
      </c>
      <c r="E293" s="141" t="s">
        <v>2055</v>
      </c>
      <c r="F293" s="142" t="s">
        <v>2056</v>
      </c>
      <c r="G293" s="143" t="s">
        <v>236</v>
      </c>
      <c r="H293" s="144">
        <v>6</v>
      </c>
      <c r="I293" s="145"/>
      <c r="J293" s="146">
        <f>ROUND(I293*H293,2)</f>
        <v>0</v>
      </c>
      <c r="K293" s="142" t="s">
        <v>184</v>
      </c>
      <c r="L293" s="35"/>
      <c r="M293" s="147" t="s">
        <v>3</v>
      </c>
      <c r="N293" s="148" t="s">
        <v>48</v>
      </c>
      <c r="O293" s="55"/>
      <c r="P293" s="149">
        <f>O293*H293</f>
        <v>0</v>
      </c>
      <c r="Q293" s="149">
        <v>4.2484000000000002E-5</v>
      </c>
      <c r="R293" s="149">
        <f>Q293*H293</f>
        <v>2.5490400000000002E-4</v>
      </c>
      <c r="S293" s="149">
        <v>0</v>
      </c>
      <c r="T293" s="150">
        <f>S293*H293</f>
        <v>0</v>
      </c>
      <c r="U293" s="34"/>
      <c r="V293" s="34"/>
      <c r="W293" s="34"/>
      <c r="X293" s="34"/>
      <c r="Y293" s="34"/>
      <c r="Z293" s="34"/>
      <c r="AA293" s="34"/>
      <c r="AB293" s="34"/>
      <c r="AC293" s="34"/>
      <c r="AD293" s="34"/>
      <c r="AE293" s="34"/>
      <c r="AR293" s="151" t="s">
        <v>185</v>
      </c>
      <c r="AT293" s="151" t="s">
        <v>180</v>
      </c>
      <c r="AU293" s="151" t="s">
        <v>87</v>
      </c>
      <c r="AY293" s="19" t="s">
        <v>177</v>
      </c>
      <c r="BE293" s="152">
        <f>IF(N293="základní",J293,0)</f>
        <v>0</v>
      </c>
      <c r="BF293" s="152">
        <f>IF(N293="snížená",J293,0)</f>
        <v>0</v>
      </c>
      <c r="BG293" s="152">
        <f>IF(N293="zákl. přenesená",J293,0)</f>
        <v>0</v>
      </c>
      <c r="BH293" s="152">
        <f>IF(N293="sníž. přenesená",J293,0)</f>
        <v>0</v>
      </c>
      <c r="BI293" s="152">
        <f>IF(N293="nulová",J293,0)</f>
        <v>0</v>
      </c>
      <c r="BJ293" s="19" t="s">
        <v>85</v>
      </c>
      <c r="BK293" s="152">
        <f>ROUND(I293*H293,2)</f>
        <v>0</v>
      </c>
      <c r="BL293" s="19" t="s">
        <v>185</v>
      </c>
      <c r="BM293" s="151" t="s">
        <v>2057</v>
      </c>
    </row>
    <row r="294" spans="1:65" s="2" customFormat="1">
      <c r="A294" s="34"/>
      <c r="B294" s="35"/>
      <c r="C294" s="34"/>
      <c r="D294" s="153" t="s">
        <v>187</v>
      </c>
      <c r="E294" s="34"/>
      <c r="F294" s="154" t="s">
        <v>2058</v>
      </c>
      <c r="G294" s="34"/>
      <c r="H294" s="34"/>
      <c r="I294" s="155"/>
      <c r="J294" s="34"/>
      <c r="K294" s="34"/>
      <c r="L294" s="35"/>
      <c r="M294" s="156"/>
      <c r="N294" s="157"/>
      <c r="O294" s="55"/>
      <c r="P294" s="55"/>
      <c r="Q294" s="55"/>
      <c r="R294" s="55"/>
      <c r="S294" s="55"/>
      <c r="T294" s="56"/>
      <c r="U294" s="34"/>
      <c r="V294" s="34"/>
      <c r="W294" s="34"/>
      <c r="X294" s="34"/>
      <c r="Y294" s="34"/>
      <c r="Z294" s="34"/>
      <c r="AA294" s="34"/>
      <c r="AB294" s="34"/>
      <c r="AC294" s="34"/>
      <c r="AD294" s="34"/>
      <c r="AE294" s="34"/>
      <c r="AT294" s="19" t="s">
        <v>187</v>
      </c>
      <c r="AU294" s="19" t="s">
        <v>87</v>
      </c>
    </row>
    <row r="295" spans="1:65" s="2" customFormat="1">
      <c r="A295" s="34"/>
      <c r="B295" s="35"/>
      <c r="C295" s="34"/>
      <c r="D295" s="158" t="s">
        <v>189</v>
      </c>
      <c r="E295" s="34"/>
      <c r="F295" s="159" t="s">
        <v>2059</v>
      </c>
      <c r="G295" s="34"/>
      <c r="H295" s="34"/>
      <c r="I295" s="155"/>
      <c r="J295" s="34"/>
      <c r="K295" s="34"/>
      <c r="L295" s="35"/>
      <c r="M295" s="156"/>
      <c r="N295" s="157"/>
      <c r="O295" s="55"/>
      <c r="P295" s="55"/>
      <c r="Q295" s="55"/>
      <c r="R295" s="55"/>
      <c r="S295" s="55"/>
      <c r="T295" s="56"/>
      <c r="U295" s="34"/>
      <c r="V295" s="34"/>
      <c r="W295" s="34"/>
      <c r="X295" s="34"/>
      <c r="Y295" s="34"/>
      <c r="Z295" s="34"/>
      <c r="AA295" s="34"/>
      <c r="AB295" s="34"/>
      <c r="AC295" s="34"/>
      <c r="AD295" s="34"/>
      <c r="AE295" s="34"/>
      <c r="AT295" s="19" t="s">
        <v>189</v>
      </c>
      <c r="AU295" s="19" t="s">
        <v>87</v>
      </c>
    </row>
    <row r="296" spans="1:65" s="2" customFormat="1" ht="87.75">
      <c r="A296" s="34"/>
      <c r="B296" s="35"/>
      <c r="C296" s="34"/>
      <c r="D296" s="153" t="s">
        <v>191</v>
      </c>
      <c r="E296" s="34"/>
      <c r="F296" s="160" t="s">
        <v>2060</v>
      </c>
      <c r="G296" s="34"/>
      <c r="H296" s="34"/>
      <c r="I296" s="155"/>
      <c r="J296" s="34"/>
      <c r="K296" s="34"/>
      <c r="L296" s="35"/>
      <c r="M296" s="156"/>
      <c r="N296" s="157"/>
      <c r="O296" s="55"/>
      <c r="P296" s="55"/>
      <c r="Q296" s="55"/>
      <c r="R296" s="55"/>
      <c r="S296" s="55"/>
      <c r="T296" s="56"/>
      <c r="U296" s="34"/>
      <c r="V296" s="34"/>
      <c r="W296" s="34"/>
      <c r="X296" s="34"/>
      <c r="Y296" s="34"/>
      <c r="Z296" s="34"/>
      <c r="AA296" s="34"/>
      <c r="AB296" s="34"/>
      <c r="AC296" s="34"/>
      <c r="AD296" s="34"/>
      <c r="AE296" s="34"/>
      <c r="AT296" s="19" t="s">
        <v>191</v>
      </c>
      <c r="AU296" s="19" t="s">
        <v>87</v>
      </c>
    </row>
    <row r="297" spans="1:65" s="2" customFormat="1" ht="16.5" customHeight="1">
      <c r="A297" s="34"/>
      <c r="B297" s="139"/>
      <c r="C297" s="140" t="s">
        <v>1134</v>
      </c>
      <c r="D297" s="140" t="s">
        <v>180</v>
      </c>
      <c r="E297" s="141" t="s">
        <v>2061</v>
      </c>
      <c r="F297" s="142" t="s">
        <v>2062</v>
      </c>
      <c r="G297" s="143" t="s">
        <v>236</v>
      </c>
      <c r="H297" s="144">
        <v>6</v>
      </c>
      <c r="I297" s="145"/>
      <c r="J297" s="146">
        <f>ROUND(I297*H297,2)</f>
        <v>0</v>
      </c>
      <c r="K297" s="142" t="s">
        <v>184</v>
      </c>
      <c r="L297" s="35"/>
      <c r="M297" s="147" t="s">
        <v>3</v>
      </c>
      <c r="N297" s="148" t="s">
        <v>48</v>
      </c>
      <c r="O297" s="55"/>
      <c r="P297" s="149">
        <f>O297*H297</f>
        <v>0</v>
      </c>
      <c r="Q297" s="149">
        <v>1.7000000000000001E-4</v>
      </c>
      <c r="R297" s="149">
        <f>Q297*H297</f>
        <v>1.0200000000000001E-3</v>
      </c>
      <c r="S297" s="149">
        <v>0</v>
      </c>
      <c r="T297" s="150">
        <f>S297*H297</f>
        <v>0</v>
      </c>
      <c r="U297" s="34"/>
      <c r="V297" s="34"/>
      <c r="W297" s="34"/>
      <c r="X297" s="34"/>
      <c r="Y297" s="34"/>
      <c r="Z297" s="34"/>
      <c r="AA297" s="34"/>
      <c r="AB297" s="34"/>
      <c r="AC297" s="34"/>
      <c r="AD297" s="34"/>
      <c r="AE297" s="34"/>
      <c r="AR297" s="151" t="s">
        <v>185</v>
      </c>
      <c r="AT297" s="151" t="s">
        <v>180</v>
      </c>
      <c r="AU297" s="151" t="s">
        <v>87</v>
      </c>
      <c r="AY297" s="19" t="s">
        <v>177</v>
      </c>
      <c r="BE297" s="152">
        <f>IF(N297="základní",J297,0)</f>
        <v>0</v>
      </c>
      <c r="BF297" s="152">
        <f>IF(N297="snížená",J297,0)</f>
        <v>0</v>
      </c>
      <c r="BG297" s="152">
        <f>IF(N297="zákl. přenesená",J297,0)</f>
        <v>0</v>
      </c>
      <c r="BH297" s="152">
        <f>IF(N297="sníž. přenesená",J297,0)</f>
        <v>0</v>
      </c>
      <c r="BI297" s="152">
        <f>IF(N297="nulová",J297,0)</f>
        <v>0</v>
      </c>
      <c r="BJ297" s="19" t="s">
        <v>85</v>
      </c>
      <c r="BK297" s="152">
        <f>ROUND(I297*H297,2)</f>
        <v>0</v>
      </c>
      <c r="BL297" s="19" t="s">
        <v>185</v>
      </c>
      <c r="BM297" s="151" t="s">
        <v>2063</v>
      </c>
    </row>
    <row r="298" spans="1:65" s="2" customFormat="1">
      <c r="A298" s="34"/>
      <c r="B298" s="35"/>
      <c r="C298" s="34"/>
      <c r="D298" s="153" t="s">
        <v>187</v>
      </c>
      <c r="E298" s="34"/>
      <c r="F298" s="154" t="s">
        <v>2064</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187</v>
      </c>
      <c r="AU298" s="19" t="s">
        <v>87</v>
      </c>
    </row>
    <row r="299" spans="1:65" s="2" customFormat="1">
      <c r="A299" s="34"/>
      <c r="B299" s="35"/>
      <c r="C299" s="34"/>
      <c r="D299" s="158" t="s">
        <v>189</v>
      </c>
      <c r="E299" s="34"/>
      <c r="F299" s="159" t="s">
        <v>2065</v>
      </c>
      <c r="G299" s="34"/>
      <c r="H299" s="34"/>
      <c r="I299" s="155"/>
      <c r="J299" s="34"/>
      <c r="K299" s="34"/>
      <c r="L299" s="35"/>
      <c r="M299" s="156"/>
      <c r="N299" s="157"/>
      <c r="O299" s="55"/>
      <c r="P299" s="55"/>
      <c r="Q299" s="55"/>
      <c r="R299" s="55"/>
      <c r="S299" s="55"/>
      <c r="T299" s="56"/>
      <c r="U299" s="34"/>
      <c r="V299" s="34"/>
      <c r="W299" s="34"/>
      <c r="X299" s="34"/>
      <c r="Y299" s="34"/>
      <c r="Z299" s="34"/>
      <c r="AA299" s="34"/>
      <c r="AB299" s="34"/>
      <c r="AC299" s="34"/>
      <c r="AD299" s="34"/>
      <c r="AE299" s="34"/>
      <c r="AT299" s="19" t="s">
        <v>189</v>
      </c>
      <c r="AU299" s="19" t="s">
        <v>87</v>
      </c>
    </row>
    <row r="300" spans="1:65" s="2" customFormat="1" ht="87.75">
      <c r="A300" s="34"/>
      <c r="B300" s="35"/>
      <c r="C300" s="34"/>
      <c r="D300" s="153" t="s">
        <v>191</v>
      </c>
      <c r="E300" s="34"/>
      <c r="F300" s="160" t="s">
        <v>2060</v>
      </c>
      <c r="G300" s="34"/>
      <c r="H300" s="34"/>
      <c r="I300" s="155"/>
      <c r="J300" s="34"/>
      <c r="K300" s="34"/>
      <c r="L300" s="35"/>
      <c r="M300" s="156"/>
      <c r="N300" s="157"/>
      <c r="O300" s="55"/>
      <c r="P300" s="55"/>
      <c r="Q300" s="55"/>
      <c r="R300" s="55"/>
      <c r="S300" s="55"/>
      <c r="T300" s="56"/>
      <c r="U300" s="34"/>
      <c r="V300" s="34"/>
      <c r="W300" s="34"/>
      <c r="X300" s="34"/>
      <c r="Y300" s="34"/>
      <c r="Z300" s="34"/>
      <c r="AA300" s="34"/>
      <c r="AB300" s="34"/>
      <c r="AC300" s="34"/>
      <c r="AD300" s="34"/>
      <c r="AE300" s="34"/>
      <c r="AT300" s="19" t="s">
        <v>191</v>
      </c>
      <c r="AU300" s="19" t="s">
        <v>87</v>
      </c>
    </row>
    <row r="301" spans="1:65" s="2" customFormat="1" ht="16.5" customHeight="1">
      <c r="A301" s="34"/>
      <c r="B301" s="139"/>
      <c r="C301" s="140" t="s">
        <v>1136</v>
      </c>
      <c r="D301" s="140" t="s">
        <v>180</v>
      </c>
      <c r="E301" s="141" t="s">
        <v>2066</v>
      </c>
      <c r="F301" s="142" t="s">
        <v>2067</v>
      </c>
      <c r="G301" s="143" t="s">
        <v>476</v>
      </c>
      <c r="H301" s="144">
        <v>13.66</v>
      </c>
      <c r="I301" s="145"/>
      <c r="J301" s="146">
        <f>ROUND(I301*H301,2)</f>
        <v>0</v>
      </c>
      <c r="K301" s="142" t="s">
        <v>184</v>
      </c>
      <c r="L301" s="35"/>
      <c r="M301" s="147" t="s">
        <v>3</v>
      </c>
      <c r="N301" s="148" t="s">
        <v>48</v>
      </c>
      <c r="O301" s="55"/>
      <c r="P301" s="149">
        <f>O301*H301</f>
        <v>0</v>
      </c>
      <c r="Q301" s="149">
        <v>0</v>
      </c>
      <c r="R301" s="149">
        <f>Q301*H301</f>
        <v>0</v>
      </c>
      <c r="S301" s="149">
        <v>0.05</v>
      </c>
      <c r="T301" s="150">
        <f>S301*H301</f>
        <v>0.68300000000000005</v>
      </c>
      <c r="U301" s="34"/>
      <c r="V301" s="34"/>
      <c r="W301" s="34"/>
      <c r="X301" s="34"/>
      <c r="Y301" s="34"/>
      <c r="Z301" s="34"/>
      <c r="AA301" s="34"/>
      <c r="AB301" s="34"/>
      <c r="AC301" s="34"/>
      <c r="AD301" s="34"/>
      <c r="AE301" s="34"/>
      <c r="AR301" s="151" t="s">
        <v>185</v>
      </c>
      <c r="AT301" s="151" t="s">
        <v>180</v>
      </c>
      <c r="AU301" s="151" t="s">
        <v>87</v>
      </c>
      <c r="AY301" s="19" t="s">
        <v>177</v>
      </c>
      <c r="BE301" s="152">
        <f>IF(N301="základní",J301,0)</f>
        <v>0</v>
      </c>
      <c r="BF301" s="152">
        <f>IF(N301="snížená",J301,0)</f>
        <v>0</v>
      </c>
      <c r="BG301" s="152">
        <f>IF(N301="zákl. přenesená",J301,0)</f>
        <v>0</v>
      </c>
      <c r="BH301" s="152">
        <f>IF(N301="sníž. přenesená",J301,0)</f>
        <v>0</v>
      </c>
      <c r="BI301" s="152">
        <f>IF(N301="nulová",J301,0)</f>
        <v>0</v>
      </c>
      <c r="BJ301" s="19" t="s">
        <v>85</v>
      </c>
      <c r="BK301" s="152">
        <f>ROUND(I301*H301,2)</f>
        <v>0</v>
      </c>
      <c r="BL301" s="19" t="s">
        <v>185</v>
      </c>
      <c r="BM301" s="151" t="s">
        <v>2068</v>
      </c>
    </row>
    <row r="302" spans="1:65" s="2" customFormat="1">
      <c r="A302" s="34"/>
      <c r="B302" s="35"/>
      <c r="C302" s="34"/>
      <c r="D302" s="153" t="s">
        <v>187</v>
      </c>
      <c r="E302" s="34"/>
      <c r="F302" s="154" t="s">
        <v>2069</v>
      </c>
      <c r="G302" s="34"/>
      <c r="H302" s="34"/>
      <c r="I302" s="155"/>
      <c r="J302" s="34"/>
      <c r="K302" s="34"/>
      <c r="L302" s="35"/>
      <c r="M302" s="156"/>
      <c r="N302" s="157"/>
      <c r="O302" s="55"/>
      <c r="P302" s="55"/>
      <c r="Q302" s="55"/>
      <c r="R302" s="55"/>
      <c r="S302" s="55"/>
      <c r="T302" s="56"/>
      <c r="U302" s="34"/>
      <c r="V302" s="34"/>
      <c r="W302" s="34"/>
      <c r="X302" s="34"/>
      <c r="Y302" s="34"/>
      <c r="Z302" s="34"/>
      <c r="AA302" s="34"/>
      <c r="AB302" s="34"/>
      <c r="AC302" s="34"/>
      <c r="AD302" s="34"/>
      <c r="AE302" s="34"/>
      <c r="AT302" s="19" t="s">
        <v>187</v>
      </c>
      <c r="AU302" s="19" t="s">
        <v>87</v>
      </c>
    </row>
    <row r="303" spans="1:65" s="2" customFormat="1">
      <c r="A303" s="34"/>
      <c r="B303" s="35"/>
      <c r="C303" s="34"/>
      <c r="D303" s="158" t="s">
        <v>189</v>
      </c>
      <c r="E303" s="34"/>
      <c r="F303" s="159" t="s">
        <v>2070</v>
      </c>
      <c r="G303" s="34"/>
      <c r="H303" s="34"/>
      <c r="I303" s="155"/>
      <c r="J303" s="34"/>
      <c r="K303" s="34"/>
      <c r="L303" s="35"/>
      <c r="M303" s="156"/>
      <c r="N303" s="157"/>
      <c r="O303" s="55"/>
      <c r="P303" s="55"/>
      <c r="Q303" s="55"/>
      <c r="R303" s="55"/>
      <c r="S303" s="55"/>
      <c r="T303" s="56"/>
      <c r="U303" s="34"/>
      <c r="V303" s="34"/>
      <c r="W303" s="34"/>
      <c r="X303" s="34"/>
      <c r="Y303" s="34"/>
      <c r="Z303" s="34"/>
      <c r="AA303" s="34"/>
      <c r="AB303" s="34"/>
      <c r="AC303" s="34"/>
      <c r="AD303" s="34"/>
      <c r="AE303" s="34"/>
      <c r="AT303" s="19" t="s">
        <v>189</v>
      </c>
      <c r="AU303" s="19" t="s">
        <v>87</v>
      </c>
    </row>
    <row r="304" spans="1:65" s="14" customFormat="1">
      <c r="B304" s="169"/>
      <c r="D304" s="153" t="s">
        <v>193</v>
      </c>
      <c r="E304" s="170" t="s">
        <v>3</v>
      </c>
      <c r="F304" s="171" t="s">
        <v>2071</v>
      </c>
      <c r="H304" s="170" t="s">
        <v>3</v>
      </c>
      <c r="I304" s="172"/>
      <c r="L304" s="169"/>
      <c r="M304" s="173"/>
      <c r="N304" s="174"/>
      <c r="O304" s="174"/>
      <c r="P304" s="174"/>
      <c r="Q304" s="174"/>
      <c r="R304" s="174"/>
      <c r="S304" s="174"/>
      <c r="T304" s="175"/>
      <c r="AT304" s="170" t="s">
        <v>193</v>
      </c>
      <c r="AU304" s="170" t="s">
        <v>87</v>
      </c>
      <c r="AV304" s="14" t="s">
        <v>85</v>
      </c>
      <c r="AW304" s="14" t="s">
        <v>36</v>
      </c>
      <c r="AX304" s="14" t="s">
        <v>77</v>
      </c>
      <c r="AY304" s="170" t="s">
        <v>177</v>
      </c>
    </row>
    <row r="305" spans="1:65" s="13" customFormat="1">
      <c r="B305" s="161"/>
      <c r="D305" s="153" t="s">
        <v>193</v>
      </c>
      <c r="E305" s="162" t="s">
        <v>3</v>
      </c>
      <c r="F305" s="163" t="s">
        <v>2072</v>
      </c>
      <c r="H305" s="164">
        <v>13.66</v>
      </c>
      <c r="I305" s="165"/>
      <c r="L305" s="161"/>
      <c r="M305" s="166"/>
      <c r="N305" s="167"/>
      <c r="O305" s="167"/>
      <c r="P305" s="167"/>
      <c r="Q305" s="167"/>
      <c r="R305" s="167"/>
      <c r="S305" s="167"/>
      <c r="T305" s="168"/>
      <c r="AT305" s="162" t="s">
        <v>193</v>
      </c>
      <c r="AU305" s="162" t="s">
        <v>87</v>
      </c>
      <c r="AV305" s="13" t="s">
        <v>87</v>
      </c>
      <c r="AW305" s="13" t="s">
        <v>36</v>
      </c>
      <c r="AX305" s="13" t="s">
        <v>85</v>
      </c>
      <c r="AY305" s="162" t="s">
        <v>177</v>
      </c>
    </row>
    <row r="306" spans="1:65" s="12" customFormat="1" ht="22.9" customHeight="1">
      <c r="B306" s="126"/>
      <c r="D306" s="127" t="s">
        <v>76</v>
      </c>
      <c r="E306" s="137" t="s">
        <v>178</v>
      </c>
      <c r="F306" s="137" t="s">
        <v>179</v>
      </c>
      <c r="I306" s="129"/>
      <c r="J306" s="138">
        <f>BK306</f>
        <v>0</v>
      </c>
      <c r="L306" s="126"/>
      <c r="M306" s="131"/>
      <c r="N306" s="132"/>
      <c r="O306" s="132"/>
      <c r="P306" s="133">
        <f>SUM(P307:P328)</f>
        <v>0</v>
      </c>
      <c r="Q306" s="132"/>
      <c r="R306" s="133">
        <f>SUM(R307:R328)</f>
        <v>0</v>
      </c>
      <c r="S306" s="132"/>
      <c r="T306" s="134">
        <f>SUM(T307:T328)</f>
        <v>0</v>
      </c>
      <c r="AR306" s="127" t="s">
        <v>85</v>
      </c>
      <c r="AT306" s="135" t="s">
        <v>76</v>
      </c>
      <c r="AU306" s="135" t="s">
        <v>85</v>
      </c>
      <c r="AY306" s="127" t="s">
        <v>177</v>
      </c>
      <c r="BK306" s="136">
        <f>SUM(BK307:BK328)</f>
        <v>0</v>
      </c>
    </row>
    <row r="307" spans="1:65" s="2" customFormat="1" ht="16.5" customHeight="1">
      <c r="A307" s="34"/>
      <c r="B307" s="139"/>
      <c r="C307" s="140" t="s">
        <v>1142</v>
      </c>
      <c r="D307" s="140" t="s">
        <v>180</v>
      </c>
      <c r="E307" s="141" t="s">
        <v>181</v>
      </c>
      <c r="F307" s="142" t="s">
        <v>182</v>
      </c>
      <c r="G307" s="143" t="s">
        <v>183</v>
      </c>
      <c r="H307" s="144">
        <v>0.68300000000000005</v>
      </c>
      <c r="I307" s="145"/>
      <c r="J307" s="146">
        <f>ROUND(I307*H307,2)</f>
        <v>0</v>
      </c>
      <c r="K307" s="142" t="s">
        <v>184</v>
      </c>
      <c r="L307" s="35"/>
      <c r="M307" s="147" t="s">
        <v>3</v>
      </c>
      <c r="N307" s="148" t="s">
        <v>48</v>
      </c>
      <c r="O307" s="55"/>
      <c r="P307" s="149">
        <f>O307*H307</f>
        <v>0</v>
      </c>
      <c r="Q307" s="149">
        <v>0</v>
      </c>
      <c r="R307" s="149">
        <f>Q307*H307</f>
        <v>0</v>
      </c>
      <c r="S307" s="149">
        <v>0</v>
      </c>
      <c r="T307" s="150">
        <f>S307*H307</f>
        <v>0</v>
      </c>
      <c r="U307" s="34"/>
      <c r="V307" s="34"/>
      <c r="W307" s="34"/>
      <c r="X307" s="34"/>
      <c r="Y307" s="34"/>
      <c r="Z307" s="34"/>
      <c r="AA307" s="34"/>
      <c r="AB307" s="34"/>
      <c r="AC307" s="34"/>
      <c r="AD307" s="34"/>
      <c r="AE307" s="34"/>
      <c r="AR307" s="151" t="s">
        <v>185</v>
      </c>
      <c r="AT307" s="151" t="s">
        <v>180</v>
      </c>
      <c r="AU307" s="151" t="s">
        <v>87</v>
      </c>
      <c r="AY307" s="19" t="s">
        <v>177</v>
      </c>
      <c r="BE307" s="152">
        <f>IF(N307="základní",J307,0)</f>
        <v>0</v>
      </c>
      <c r="BF307" s="152">
        <f>IF(N307="snížená",J307,0)</f>
        <v>0</v>
      </c>
      <c r="BG307" s="152">
        <f>IF(N307="zákl. přenesená",J307,0)</f>
        <v>0</v>
      </c>
      <c r="BH307" s="152">
        <f>IF(N307="sníž. přenesená",J307,0)</f>
        <v>0</v>
      </c>
      <c r="BI307" s="152">
        <f>IF(N307="nulová",J307,0)</f>
        <v>0</v>
      </c>
      <c r="BJ307" s="19" t="s">
        <v>85</v>
      </c>
      <c r="BK307" s="152">
        <f>ROUND(I307*H307,2)</f>
        <v>0</v>
      </c>
      <c r="BL307" s="19" t="s">
        <v>185</v>
      </c>
      <c r="BM307" s="151" t="s">
        <v>2073</v>
      </c>
    </row>
    <row r="308" spans="1:65" s="2" customFormat="1">
      <c r="A308" s="34"/>
      <c r="B308" s="35"/>
      <c r="C308" s="34"/>
      <c r="D308" s="153" t="s">
        <v>187</v>
      </c>
      <c r="E308" s="34"/>
      <c r="F308" s="154" t="s">
        <v>188</v>
      </c>
      <c r="G308" s="34"/>
      <c r="H308" s="34"/>
      <c r="I308" s="155"/>
      <c r="J308" s="34"/>
      <c r="K308" s="34"/>
      <c r="L308" s="35"/>
      <c r="M308" s="156"/>
      <c r="N308" s="157"/>
      <c r="O308" s="55"/>
      <c r="P308" s="55"/>
      <c r="Q308" s="55"/>
      <c r="R308" s="55"/>
      <c r="S308" s="55"/>
      <c r="T308" s="56"/>
      <c r="U308" s="34"/>
      <c r="V308" s="34"/>
      <c r="W308" s="34"/>
      <c r="X308" s="34"/>
      <c r="Y308" s="34"/>
      <c r="Z308" s="34"/>
      <c r="AA308" s="34"/>
      <c r="AB308" s="34"/>
      <c r="AC308" s="34"/>
      <c r="AD308" s="34"/>
      <c r="AE308" s="34"/>
      <c r="AT308" s="19" t="s">
        <v>187</v>
      </c>
      <c r="AU308" s="19" t="s">
        <v>87</v>
      </c>
    </row>
    <row r="309" spans="1:65" s="2" customFormat="1">
      <c r="A309" s="34"/>
      <c r="B309" s="35"/>
      <c r="C309" s="34"/>
      <c r="D309" s="158" t="s">
        <v>189</v>
      </c>
      <c r="E309" s="34"/>
      <c r="F309" s="159" t="s">
        <v>190</v>
      </c>
      <c r="G309" s="34"/>
      <c r="H309" s="34"/>
      <c r="I309" s="155"/>
      <c r="J309" s="34"/>
      <c r="K309" s="34"/>
      <c r="L309" s="35"/>
      <c r="M309" s="156"/>
      <c r="N309" s="157"/>
      <c r="O309" s="55"/>
      <c r="P309" s="55"/>
      <c r="Q309" s="55"/>
      <c r="R309" s="55"/>
      <c r="S309" s="55"/>
      <c r="T309" s="56"/>
      <c r="U309" s="34"/>
      <c r="V309" s="34"/>
      <c r="W309" s="34"/>
      <c r="X309" s="34"/>
      <c r="Y309" s="34"/>
      <c r="Z309" s="34"/>
      <c r="AA309" s="34"/>
      <c r="AB309" s="34"/>
      <c r="AC309" s="34"/>
      <c r="AD309" s="34"/>
      <c r="AE309" s="34"/>
      <c r="AT309" s="19" t="s">
        <v>189</v>
      </c>
      <c r="AU309" s="19" t="s">
        <v>87</v>
      </c>
    </row>
    <row r="310" spans="1:65" s="2" customFormat="1" ht="107.25">
      <c r="A310" s="34"/>
      <c r="B310" s="35"/>
      <c r="C310" s="34"/>
      <c r="D310" s="153" t="s">
        <v>191</v>
      </c>
      <c r="E310" s="34"/>
      <c r="F310" s="160" t="s">
        <v>192</v>
      </c>
      <c r="G310" s="34"/>
      <c r="H310" s="34"/>
      <c r="I310" s="155"/>
      <c r="J310" s="34"/>
      <c r="K310" s="34"/>
      <c r="L310" s="35"/>
      <c r="M310" s="156"/>
      <c r="N310" s="157"/>
      <c r="O310" s="55"/>
      <c r="P310" s="55"/>
      <c r="Q310" s="55"/>
      <c r="R310" s="55"/>
      <c r="S310" s="55"/>
      <c r="T310" s="56"/>
      <c r="U310" s="34"/>
      <c r="V310" s="34"/>
      <c r="W310" s="34"/>
      <c r="X310" s="34"/>
      <c r="Y310" s="34"/>
      <c r="Z310" s="34"/>
      <c r="AA310" s="34"/>
      <c r="AB310" s="34"/>
      <c r="AC310" s="34"/>
      <c r="AD310" s="34"/>
      <c r="AE310" s="34"/>
      <c r="AT310" s="19" t="s">
        <v>191</v>
      </c>
      <c r="AU310" s="19" t="s">
        <v>87</v>
      </c>
    </row>
    <row r="311" spans="1:65" s="2" customFormat="1" ht="21.75" customHeight="1">
      <c r="A311" s="34"/>
      <c r="B311" s="139"/>
      <c r="C311" s="140" t="s">
        <v>1146</v>
      </c>
      <c r="D311" s="140" t="s">
        <v>180</v>
      </c>
      <c r="E311" s="141" t="s">
        <v>202</v>
      </c>
      <c r="F311" s="142" t="s">
        <v>203</v>
      </c>
      <c r="G311" s="143" t="s">
        <v>183</v>
      </c>
      <c r="H311" s="144">
        <v>1.3660000000000001</v>
      </c>
      <c r="I311" s="145"/>
      <c r="J311" s="146">
        <f>ROUND(I311*H311,2)</f>
        <v>0</v>
      </c>
      <c r="K311" s="142" t="s">
        <v>184</v>
      </c>
      <c r="L311" s="35"/>
      <c r="M311" s="147" t="s">
        <v>3</v>
      </c>
      <c r="N311" s="148" t="s">
        <v>48</v>
      </c>
      <c r="O311" s="55"/>
      <c r="P311" s="149">
        <f>O311*H311</f>
        <v>0</v>
      </c>
      <c r="Q311" s="149">
        <v>0</v>
      </c>
      <c r="R311" s="149">
        <f>Q311*H311</f>
        <v>0</v>
      </c>
      <c r="S311" s="149">
        <v>0</v>
      </c>
      <c r="T311" s="150">
        <f>S311*H311</f>
        <v>0</v>
      </c>
      <c r="U311" s="34"/>
      <c r="V311" s="34"/>
      <c r="W311" s="34"/>
      <c r="X311" s="34"/>
      <c r="Y311" s="34"/>
      <c r="Z311" s="34"/>
      <c r="AA311" s="34"/>
      <c r="AB311" s="34"/>
      <c r="AC311" s="34"/>
      <c r="AD311" s="34"/>
      <c r="AE311" s="34"/>
      <c r="AR311" s="151" t="s">
        <v>185</v>
      </c>
      <c r="AT311" s="151" t="s">
        <v>180</v>
      </c>
      <c r="AU311" s="151" t="s">
        <v>87</v>
      </c>
      <c r="AY311" s="19" t="s">
        <v>177</v>
      </c>
      <c r="BE311" s="152">
        <f>IF(N311="základní",J311,0)</f>
        <v>0</v>
      </c>
      <c r="BF311" s="152">
        <f>IF(N311="snížená",J311,0)</f>
        <v>0</v>
      </c>
      <c r="BG311" s="152">
        <f>IF(N311="zákl. přenesená",J311,0)</f>
        <v>0</v>
      </c>
      <c r="BH311" s="152">
        <f>IF(N311="sníž. přenesená",J311,0)</f>
        <v>0</v>
      </c>
      <c r="BI311" s="152">
        <f>IF(N311="nulová",J311,0)</f>
        <v>0</v>
      </c>
      <c r="BJ311" s="19" t="s">
        <v>85</v>
      </c>
      <c r="BK311" s="152">
        <f>ROUND(I311*H311,2)</f>
        <v>0</v>
      </c>
      <c r="BL311" s="19" t="s">
        <v>185</v>
      </c>
      <c r="BM311" s="151" t="s">
        <v>2074</v>
      </c>
    </row>
    <row r="312" spans="1:65" s="2" customFormat="1" ht="19.5">
      <c r="A312" s="34"/>
      <c r="B312" s="35"/>
      <c r="C312" s="34"/>
      <c r="D312" s="153" t="s">
        <v>187</v>
      </c>
      <c r="E312" s="34"/>
      <c r="F312" s="154" t="s">
        <v>205</v>
      </c>
      <c r="G312" s="34"/>
      <c r="H312" s="34"/>
      <c r="I312" s="155"/>
      <c r="J312" s="34"/>
      <c r="K312" s="34"/>
      <c r="L312" s="35"/>
      <c r="M312" s="156"/>
      <c r="N312" s="157"/>
      <c r="O312" s="55"/>
      <c r="P312" s="55"/>
      <c r="Q312" s="55"/>
      <c r="R312" s="55"/>
      <c r="S312" s="55"/>
      <c r="T312" s="56"/>
      <c r="U312" s="34"/>
      <c r="V312" s="34"/>
      <c r="W312" s="34"/>
      <c r="X312" s="34"/>
      <c r="Y312" s="34"/>
      <c r="Z312" s="34"/>
      <c r="AA312" s="34"/>
      <c r="AB312" s="34"/>
      <c r="AC312" s="34"/>
      <c r="AD312" s="34"/>
      <c r="AE312" s="34"/>
      <c r="AT312" s="19" t="s">
        <v>187</v>
      </c>
      <c r="AU312" s="19" t="s">
        <v>87</v>
      </c>
    </row>
    <row r="313" spans="1:65" s="2" customFormat="1">
      <c r="A313" s="34"/>
      <c r="B313" s="35"/>
      <c r="C313" s="34"/>
      <c r="D313" s="158" t="s">
        <v>189</v>
      </c>
      <c r="E313" s="34"/>
      <c r="F313" s="159" t="s">
        <v>206</v>
      </c>
      <c r="G313" s="34"/>
      <c r="H313" s="34"/>
      <c r="I313" s="155"/>
      <c r="J313" s="34"/>
      <c r="K313" s="34"/>
      <c r="L313" s="35"/>
      <c r="M313" s="156"/>
      <c r="N313" s="157"/>
      <c r="O313" s="55"/>
      <c r="P313" s="55"/>
      <c r="Q313" s="55"/>
      <c r="R313" s="55"/>
      <c r="S313" s="55"/>
      <c r="T313" s="56"/>
      <c r="U313" s="34"/>
      <c r="V313" s="34"/>
      <c r="W313" s="34"/>
      <c r="X313" s="34"/>
      <c r="Y313" s="34"/>
      <c r="Z313" s="34"/>
      <c r="AA313" s="34"/>
      <c r="AB313" s="34"/>
      <c r="AC313" s="34"/>
      <c r="AD313" s="34"/>
      <c r="AE313" s="34"/>
      <c r="AT313" s="19" t="s">
        <v>189</v>
      </c>
      <c r="AU313" s="19" t="s">
        <v>87</v>
      </c>
    </row>
    <row r="314" spans="1:65" s="2" customFormat="1" ht="107.25">
      <c r="A314" s="34"/>
      <c r="B314" s="35"/>
      <c r="C314" s="34"/>
      <c r="D314" s="153" t="s">
        <v>191</v>
      </c>
      <c r="E314" s="34"/>
      <c r="F314" s="160" t="s">
        <v>192</v>
      </c>
      <c r="G314" s="34"/>
      <c r="H314" s="34"/>
      <c r="I314" s="155"/>
      <c r="J314" s="34"/>
      <c r="K314" s="34"/>
      <c r="L314" s="35"/>
      <c r="M314" s="156"/>
      <c r="N314" s="157"/>
      <c r="O314" s="55"/>
      <c r="P314" s="55"/>
      <c r="Q314" s="55"/>
      <c r="R314" s="55"/>
      <c r="S314" s="55"/>
      <c r="T314" s="56"/>
      <c r="U314" s="34"/>
      <c r="V314" s="34"/>
      <c r="W314" s="34"/>
      <c r="X314" s="34"/>
      <c r="Y314" s="34"/>
      <c r="Z314" s="34"/>
      <c r="AA314" s="34"/>
      <c r="AB314" s="34"/>
      <c r="AC314" s="34"/>
      <c r="AD314" s="34"/>
      <c r="AE314" s="34"/>
      <c r="AT314" s="19" t="s">
        <v>191</v>
      </c>
      <c r="AU314" s="19" t="s">
        <v>87</v>
      </c>
    </row>
    <row r="315" spans="1:65" s="13" customFormat="1">
      <c r="B315" s="161"/>
      <c r="D315" s="153" t="s">
        <v>193</v>
      </c>
      <c r="F315" s="163" t="s">
        <v>2075</v>
      </c>
      <c r="H315" s="164">
        <v>1.3660000000000001</v>
      </c>
      <c r="I315" s="165"/>
      <c r="L315" s="161"/>
      <c r="M315" s="166"/>
      <c r="N315" s="167"/>
      <c r="O315" s="167"/>
      <c r="P315" s="167"/>
      <c r="Q315" s="167"/>
      <c r="R315" s="167"/>
      <c r="S315" s="167"/>
      <c r="T315" s="168"/>
      <c r="AT315" s="162" t="s">
        <v>193</v>
      </c>
      <c r="AU315" s="162" t="s">
        <v>87</v>
      </c>
      <c r="AV315" s="13" t="s">
        <v>87</v>
      </c>
      <c r="AW315" s="13" t="s">
        <v>4</v>
      </c>
      <c r="AX315" s="13" t="s">
        <v>85</v>
      </c>
      <c r="AY315" s="162" t="s">
        <v>177</v>
      </c>
    </row>
    <row r="316" spans="1:65" s="2" customFormat="1" ht="16.5" customHeight="1">
      <c r="A316" s="34"/>
      <c r="B316" s="139"/>
      <c r="C316" s="140" t="s">
        <v>1150</v>
      </c>
      <c r="D316" s="140" t="s">
        <v>180</v>
      </c>
      <c r="E316" s="141" t="s">
        <v>208</v>
      </c>
      <c r="F316" s="142" t="s">
        <v>209</v>
      </c>
      <c r="G316" s="143" t="s">
        <v>183</v>
      </c>
      <c r="H316" s="144">
        <v>0.68300000000000005</v>
      </c>
      <c r="I316" s="145"/>
      <c r="J316" s="146">
        <f>ROUND(I316*H316,2)</f>
        <v>0</v>
      </c>
      <c r="K316" s="142" t="s">
        <v>184</v>
      </c>
      <c r="L316" s="35"/>
      <c r="M316" s="147" t="s">
        <v>3</v>
      </c>
      <c r="N316" s="148" t="s">
        <v>48</v>
      </c>
      <c r="O316" s="55"/>
      <c r="P316" s="149">
        <f>O316*H316</f>
        <v>0</v>
      </c>
      <c r="Q316" s="149">
        <v>0</v>
      </c>
      <c r="R316" s="149">
        <f>Q316*H316</f>
        <v>0</v>
      </c>
      <c r="S316" s="149">
        <v>0</v>
      </c>
      <c r="T316" s="150">
        <f>S316*H316</f>
        <v>0</v>
      </c>
      <c r="U316" s="34"/>
      <c r="V316" s="34"/>
      <c r="W316" s="34"/>
      <c r="X316" s="34"/>
      <c r="Y316" s="34"/>
      <c r="Z316" s="34"/>
      <c r="AA316" s="34"/>
      <c r="AB316" s="34"/>
      <c r="AC316" s="34"/>
      <c r="AD316" s="34"/>
      <c r="AE316" s="34"/>
      <c r="AR316" s="151" t="s">
        <v>185</v>
      </c>
      <c r="AT316" s="151" t="s">
        <v>180</v>
      </c>
      <c r="AU316" s="151" t="s">
        <v>87</v>
      </c>
      <c r="AY316" s="19" t="s">
        <v>177</v>
      </c>
      <c r="BE316" s="152">
        <f>IF(N316="základní",J316,0)</f>
        <v>0</v>
      </c>
      <c r="BF316" s="152">
        <f>IF(N316="snížená",J316,0)</f>
        <v>0</v>
      </c>
      <c r="BG316" s="152">
        <f>IF(N316="zákl. přenesená",J316,0)</f>
        <v>0</v>
      </c>
      <c r="BH316" s="152">
        <f>IF(N316="sníž. přenesená",J316,0)</f>
        <v>0</v>
      </c>
      <c r="BI316" s="152">
        <f>IF(N316="nulová",J316,0)</f>
        <v>0</v>
      </c>
      <c r="BJ316" s="19" t="s">
        <v>85</v>
      </c>
      <c r="BK316" s="152">
        <f>ROUND(I316*H316,2)</f>
        <v>0</v>
      </c>
      <c r="BL316" s="19" t="s">
        <v>185</v>
      </c>
      <c r="BM316" s="151" t="s">
        <v>2076</v>
      </c>
    </row>
    <row r="317" spans="1:65" s="2" customFormat="1">
      <c r="A317" s="34"/>
      <c r="B317" s="35"/>
      <c r="C317" s="34"/>
      <c r="D317" s="153" t="s">
        <v>187</v>
      </c>
      <c r="E317" s="34"/>
      <c r="F317" s="154" t="s">
        <v>211</v>
      </c>
      <c r="G317" s="34"/>
      <c r="H317" s="34"/>
      <c r="I317" s="155"/>
      <c r="J317" s="34"/>
      <c r="K317" s="34"/>
      <c r="L317" s="35"/>
      <c r="M317" s="156"/>
      <c r="N317" s="157"/>
      <c r="O317" s="55"/>
      <c r="P317" s="55"/>
      <c r="Q317" s="55"/>
      <c r="R317" s="55"/>
      <c r="S317" s="55"/>
      <c r="T317" s="56"/>
      <c r="U317" s="34"/>
      <c r="V317" s="34"/>
      <c r="W317" s="34"/>
      <c r="X317" s="34"/>
      <c r="Y317" s="34"/>
      <c r="Z317" s="34"/>
      <c r="AA317" s="34"/>
      <c r="AB317" s="34"/>
      <c r="AC317" s="34"/>
      <c r="AD317" s="34"/>
      <c r="AE317" s="34"/>
      <c r="AT317" s="19" t="s">
        <v>187</v>
      </c>
      <c r="AU317" s="19" t="s">
        <v>87</v>
      </c>
    </row>
    <row r="318" spans="1:65" s="2" customFormat="1">
      <c r="A318" s="34"/>
      <c r="B318" s="35"/>
      <c r="C318" s="34"/>
      <c r="D318" s="158" t="s">
        <v>189</v>
      </c>
      <c r="E318" s="34"/>
      <c r="F318" s="159" t="s">
        <v>212</v>
      </c>
      <c r="G318" s="34"/>
      <c r="H318" s="34"/>
      <c r="I318" s="155"/>
      <c r="J318" s="34"/>
      <c r="K318" s="34"/>
      <c r="L318" s="35"/>
      <c r="M318" s="156"/>
      <c r="N318" s="157"/>
      <c r="O318" s="55"/>
      <c r="P318" s="55"/>
      <c r="Q318" s="55"/>
      <c r="R318" s="55"/>
      <c r="S318" s="55"/>
      <c r="T318" s="56"/>
      <c r="U318" s="34"/>
      <c r="V318" s="34"/>
      <c r="W318" s="34"/>
      <c r="X318" s="34"/>
      <c r="Y318" s="34"/>
      <c r="Z318" s="34"/>
      <c r="AA318" s="34"/>
      <c r="AB318" s="34"/>
      <c r="AC318" s="34"/>
      <c r="AD318" s="34"/>
      <c r="AE318" s="34"/>
      <c r="AT318" s="19" t="s">
        <v>189</v>
      </c>
      <c r="AU318" s="19" t="s">
        <v>87</v>
      </c>
    </row>
    <row r="319" spans="1:65" s="2" customFormat="1" ht="58.5">
      <c r="A319" s="34"/>
      <c r="B319" s="35"/>
      <c r="C319" s="34"/>
      <c r="D319" s="153" t="s">
        <v>191</v>
      </c>
      <c r="E319" s="34"/>
      <c r="F319" s="160" t="s">
        <v>213</v>
      </c>
      <c r="G319" s="34"/>
      <c r="H319" s="34"/>
      <c r="I319" s="155"/>
      <c r="J319" s="34"/>
      <c r="K319" s="34"/>
      <c r="L319" s="35"/>
      <c r="M319" s="156"/>
      <c r="N319" s="157"/>
      <c r="O319" s="55"/>
      <c r="P319" s="55"/>
      <c r="Q319" s="55"/>
      <c r="R319" s="55"/>
      <c r="S319" s="55"/>
      <c r="T319" s="56"/>
      <c r="U319" s="34"/>
      <c r="V319" s="34"/>
      <c r="W319" s="34"/>
      <c r="X319" s="34"/>
      <c r="Y319" s="34"/>
      <c r="Z319" s="34"/>
      <c r="AA319" s="34"/>
      <c r="AB319" s="34"/>
      <c r="AC319" s="34"/>
      <c r="AD319" s="34"/>
      <c r="AE319" s="34"/>
      <c r="AT319" s="19" t="s">
        <v>191</v>
      </c>
      <c r="AU319" s="19" t="s">
        <v>87</v>
      </c>
    </row>
    <row r="320" spans="1:65" s="2" customFormat="1" ht="16.5" customHeight="1">
      <c r="A320" s="34"/>
      <c r="B320" s="139"/>
      <c r="C320" s="140" t="s">
        <v>1158</v>
      </c>
      <c r="D320" s="140" t="s">
        <v>180</v>
      </c>
      <c r="E320" s="141" t="s">
        <v>214</v>
      </c>
      <c r="F320" s="142" t="s">
        <v>215</v>
      </c>
      <c r="G320" s="143" t="s">
        <v>183</v>
      </c>
      <c r="H320" s="144">
        <v>12.977</v>
      </c>
      <c r="I320" s="145"/>
      <c r="J320" s="146">
        <f>ROUND(I320*H320,2)</f>
        <v>0</v>
      </c>
      <c r="K320" s="142" t="s">
        <v>184</v>
      </c>
      <c r="L320" s="35"/>
      <c r="M320" s="147" t="s">
        <v>3</v>
      </c>
      <c r="N320" s="148" t="s">
        <v>48</v>
      </c>
      <c r="O320" s="55"/>
      <c r="P320" s="149">
        <f>O320*H320</f>
        <v>0</v>
      </c>
      <c r="Q320" s="149">
        <v>0</v>
      </c>
      <c r="R320" s="149">
        <f>Q320*H320</f>
        <v>0</v>
      </c>
      <c r="S320" s="149">
        <v>0</v>
      </c>
      <c r="T320" s="150">
        <f>S320*H320</f>
        <v>0</v>
      </c>
      <c r="U320" s="34"/>
      <c r="V320" s="34"/>
      <c r="W320" s="34"/>
      <c r="X320" s="34"/>
      <c r="Y320" s="34"/>
      <c r="Z320" s="34"/>
      <c r="AA320" s="34"/>
      <c r="AB320" s="34"/>
      <c r="AC320" s="34"/>
      <c r="AD320" s="34"/>
      <c r="AE320" s="34"/>
      <c r="AR320" s="151" t="s">
        <v>185</v>
      </c>
      <c r="AT320" s="151" t="s">
        <v>180</v>
      </c>
      <c r="AU320" s="151" t="s">
        <v>87</v>
      </c>
      <c r="AY320" s="19" t="s">
        <v>177</v>
      </c>
      <c r="BE320" s="152">
        <f>IF(N320="základní",J320,0)</f>
        <v>0</v>
      </c>
      <c r="BF320" s="152">
        <f>IF(N320="snížená",J320,0)</f>
        <v>0</v>
      </c>
      <c r="BG320" s="152">
        <f>IF(N320="zákl. přenesená",J320,0)</f>
        <v>0</v>
      </c>
      <c r="BH320" s="152">
        <f>IF(N320="sníž. přenesená",J320,0)</f>
        <v>0</v>
      </c>
      <c r="BI320" s="152">
        <f>IF(N320="nulová",J320,0)</f>
        <v>0</v>
      </c>
      <c r="BJ320" s="19" t="s">
        <v>85</v>
      </c>
      <c r="BK320" s="152">
        <f>ROUND(I320*H320,2)</f>
        <v>0</v>
      </c>
      <c r="BL320" s="19" t="s">
        <v>185</v>
      </c>
      <c r="BM320" s="151" t="s">
        <v>2077</v>
      </c>
    </row>
    <row r="321" spans="1:65" s="2" customFormat="1" ht="19.5">
      <c r="A321" s="34"/>
      <c r="B321" s="35"/>
      <c r="C321" s="34"/>
      <c r="D321" s="153" t="s">
        <v>187</v>
      </c>
      <c r="E321" s="34"/>
      <c r="F321" s="154" t="s">
        <v>217</v>
      </c>
      <c r="G321" s="34"/>
      <c r="H321" s="34"/>
      <c r="I321" s="155"/>
      <c r="J321" s="34"/>
      <c r="K321" s="34"/>
      <c r="L321" s="35"/>
      <c r="M321" s="156"/>
      <c r="N321" s="157"/>
      <c r="O321" s="55"/>
      <c r="P321" s="55"/>
      <c r="Q321" s="55"/>
      <c r="R321" s="55"/>
      <c r="S321" s="55"/>
      <c r="T321" s="56"/>
      <c r="U321" s="34"/>
      <c r="V321" s="34"/>
      <c r="W321" s="34"/>
      <c r="X321" s="34"/>
      <c r="Y321" s="34"/>
      <c r="Z321" s="34"/>
      <c r="AA321" s="34"/>
      <c r="AB321" s="34"/>
      <c r="AC321" s="34"/>
      <c r="AD321" s="34"/>
      <c r="AE321" s="34"/>
      <c r="AT321" s="19" t="s">
        <v>187</v>
      </c>
      <c r="AU321" s="19" t="s">
        <v>87</v>
      </c>
    </row>
    <row r="322" spans="1:65" s="2" customFormat="1">
      <c r="A322" s="34"/>
      <c r="B322" s="35"/>
      <c r="C322" s="34"/>
      <c r="D322" s="158" t="s">
        <v>189</v>
      </c>
      <c r="E322" s="34"/>
      <c r="F322" s="159" t="s">
        <v>218</v>
      </c>
      <c r="G322" s="34"/>
      <c r="H322" s="34"/>
      <c r="I322" s="155"/>
      <c r="J322" s="34"/>
      <c r="K322" s="34"/>
      <c r="L322" s="35"/>
      <c r="M322" s="156"/>
      <c r="N322" s="157"/>
      <c r="O322" s="55"/>
      <c r="P322" s="55"/>
      <c r="Q322" s="55"/>
      <c r="R322" s="55"/>
      <c r="S322" s="55"/>
      <c r="T322" s="56"/>
      <c r="U322" s="34"/>
      <c r="V322" s="34"/>
      <c r="W322" s="34"/>
      <c r="X322" s="34"/>
      <c r="Y322" s="34"/>
      <c r="Z322" s="34"/>
      <c r="AA322" s="34"/>
      <c r="AB322" s="34"/>
      <c r="AC322" s="34"/>
      <c r="AD322" s="34"/>
      <c r="AE322" s="34"/>
      <c r="AT322" s="19" t="s">
        <v>189</v>
      </c>
      <c r="AU322" s="19" t="s">
        <v>87</v>
      </c>
    </row>
    <row r="323" spans="1:65" s="2" customFormat="1" ht="58.5">
      <c r="A323" s="34"/>
      <c r="B323" s="35"/>
      <c r="C323" s="34"/>
      <c r="D323" s="153" t="s">
        <v>191</v>
      </c>
      <c r="E323" s="34"/>
      <c r="F323" s="160" t="s">
        <v>213</v>
      </c>
      <c r="G323" s="34"/>
      <c r="H323" s="34"/>
      <c r="I323" s="155"/>
      <c r="J323" s="34"/>
      <c r="K323" s="34"/>
      <c r="L323" s="35"/>
      <c r="M323" s="156"/>
      <c r="N323" s="157"/>
      <c r="O323" s="55"/>
      <c r="P323" s="55"/>
      <c r="Q323" s="55"/>
      <c r="R323" s="55"/>
      <c r="S323" s="55"/>
      <c r="T323" s="56"/>
      <c r="U323" s="34"/>
      <c r="V323" s="34"/>
      <c r="W323" s="34"/>
      <c r="X323" s="34"/>
      <c r="Y323" s="34"/>
      <c r="Z323" s="34"/>
      <c r="AA323" s="34"/>
      <c r="AB323" s="34"/>
      <c r="AC323" s="34"/>
      <c r="AD323" s="34"/>
      <c r="AE323" s="34"/>
      <c r="AT323" s="19" t="s">
        <v>191</v>
      </c>
      <c r="AU323" s="19" t="s">
        <v>87</v>
      </c>
    </row>
    <row r="324" spans="1:65" s="13" customFormat="1">
      <c r="B324" s="161"/>
      <c r="D324" s="153" t="s">
        <v>193</v>
      </c>
      <c r="F324" s="163" t="s">
        <v>2078</v>
      </c>
      <c r="H324" s="164">
        <v>12.977</v>
      </c>
      <c r="I324" s="165"/>
      <c r="L324" s="161"/>
      <c r="M324" s="166"/>
      <c r="N324" s="167"/>
      <c r="O324" s="167"/>
      <c r="P324" s="167"/>
      <c r="Q324" s="167"/>
      <c r="R324" s="167"/>
      <c r="S324" s="167"/>
      <c r="T324" s="168"/>
      <c r="AT324" s="162" t="s">
        <v>193</v>
      </c>
      <c r="AU324" s="162" t="s">
        <v>87</v>
      </c>
      <c r="AV324" s="13" t="s">
        <v>87</v>
      </c>
      <c r="AW324" s="13" t="s">
        <v>4</v>
      </c>
      <c r="AX324" s="13" t="s">
        <v>85</v>
      </c>
      <c r="AY324" s="162" t="s">
        <v>177</v>
      </c>
    </row>
    <row r="325" spans="1:65" s="2" customFormat="1" ht="24.2" customHeight="1">
      <c r="A325" s="34"/>
      <c r="B325" s="139"/>
      <c r="C325" s="140" t="s">
        <v>1166</v>
      </c>
      <c r="D325" s="140" t="s">
        <v>180</v>
      </c>
      <c r="E325" s="141" t="s">
        <v>223</v>
      </c>
      <c r="F325" s="142" t="s">
        <v>224</v>
      </c>
      <c r="G325" s="143" t="s">
        <v>183</v>
      </c>
      <c r="H325" s="144">
        <v>0.68300000000000005</v>
      </c>
      <c r="I325" s="145"/>
      <c r="J325" s="146">
        <f>ROUND(I325*H325,2)</f>
        <v>0</v>
      </c>
      <c r="K325" s="142" t="s">
        <v>184</v>
      </c>
      <c r="L325" s="35"/>
      <c r="M325" s="147" t="s">
        <v>3</v>
      </c>
      <c r="N325" s="148" t="s">
        <v>48</v>
      </c>
      <c r="O325" s="55"/>
      <c r="P325" s="149">
        <f>O325*H325</f>
        <v>0</v>
      </c>
      <c r="Q325" s="149">
        <v>0</v>
      </c>
      <c r="R325" s="149">
        <f>Q325*H325</f>
        <v>0</v>
      </c>
      <c r="S325" s="149">
        <v>0</v>
      </c>
      <c r="T325" s="150">
        <f>S325*H325</f>
        <v>0</v>
      </c>
      <c r="U325" s="34"/>
      <c r="V325" s="34"/>
      <c r="W325" s="34"/>
      <c r="X325" s="34"/>
      <c r="Y325" s="34"/>
      <c r="Z325" s="34"/>
      <c r="AA325" s="34"/>
      <c r="AB325" s="34"/>
      <c r="AC325" s="34"/>
      <c r="AD325" s="34"/>
      <c r="AE325" s="34"/>
      <c r="AR325" s="151" t="s">
        <v>185</v>
      </c>
      <c r="AT325" s="151" t="s">
        <v>180</v>
      </c>
      <c r="AU325" s="151" t="s">
        <v>87</v>
      </c>
      <c r="AY325" s="19" t="s">
        <v>177</v>
      </c>
      <c r="BE325" s="152">
        <f>IF(N325="základní",J325,0)</f>
        <v>0</v>
      </c>
      <c r="BF325" s="152">
        <f>IF(N325="snížená",J325,0)</f>
        <v>0</v>
      </c>
      <c r="BG325" s="152">
        <f>IF(N325="zákl. přenesená",J325,0)</f>
        <v>0</v>
      </c>
      <c r="BH325" s="152">
        <f>IF(N325="sníž. přenesená",J325,0)</f>
        <v>0</v>
      </c>
      <c r="BI325" s="152">
        <f>IF(N325="nulová",J325,0)</f>
        <v>0</v>
      </c>
      <c r="BJ325" s="19" t="s">
        <v>85</v>
      </c>
      <c r="BK325" s="152">
        <f>ROUND(I325*H325,2)</f>
        <v>0</v>
      </c>
      <c r="BL325" s="19" t="s">
        <v>185</v>
      </c>
      <c r="BM325" s="151" t="s">
        <v>2079</v>
      </c>
    </row>
    <row r="326" spans="1:65" s="2" customFormat="1" ht="19.5">
      <c r="A326" s="34"/>
      <c r="B326" s="35"/>
      <c r="C326" s="34"/>
      <c r="D326" s="153" t="s">
        <v>187</v>
      </c>
      <c r="E326" s="34"/>
      <c r="F326" s="154" t="s">
        <v>226</v>
      </c>
      <c r="G326" s="34"/>
      <c r="H326" s="34"/>
      <c r="I326" s="155"/>
      <c r="J326" s="34"/>
      <c r="K326" s="34"/>
      <c r="L326" s="35"/>
      <c r="M326" s="156"/>
      <c r="N326" s="157"/>
      <c r="O326" s="55"/>
      <c r="P326" s="55"/>
      <c r="Q326" s="55"/>
      <c r="R326" s="55"/>
      <c r="S326" s="55"/>
      <c r="T326" s="56"/>
      <c r="U326" s="34"/>
      <c r="V326" s="34"/>
      <c r="W326" s="34"/>
      <c r="X326" s="34"/>
      <c r="Y326" s="34"/>
      <c r="Z326" s="34"/>
      <c r="AA326" s="34"/>
      <c r="AB326" s="34"/>
      <c r="AC326" s="34"/>
      <c r="AD326" s="34"/>
      <c r="AE326" s="34"/>
      <c r="AT326" s="19" t="s">
        <v>187</v>
      </c>
      <c r="AU326" s="19" t="s">
        <v>87</v>
      </c>
    </row>
    <row r="327" spans="1:65" s="2" customFormat="1">
      <c r="A327" s="34"/>
      <c r="B327" s="35"/>
      <c r="C327" s="34"/>
      <c r="D327" s="158" t="s">
        <v>189</v>
      </c>
      <c r="E327" s="34"/>
      <c r="F327" s="159" t="s">
        <v>227</v>
      </c>
      <c r="G327" s="34"/>
      <c r="H327" s="34"/>
      <c r="I327" s="155"/>
      <c r="J327" s="34"/>
      <c r="K327" s="34"/>
      <c r="L327" s="35"/>
      <c r="M327" s="156"/>
      <c r="N327" s="157"/>
      <c r="O327" s="55"/>
      <c r="P327" s="55"/>
      <c r="Q327" s="55"/>
      <c r="R327" s="55"/>
      <c r="S327" s="55"/>
      <c r="T327" s="56"/>
      <c r="U327" s="34"/>
      <c r="V327" s="34"/>
      <c r="W327" s="34"/>
      <c r="X327" s="34"/>
      <c r="Y327" s="34"/>
      <c r="Z327" s="34"/>
      <c r="AA327" s="34"/>
      <c r="AB327" s="34"/>
      <c r="AC327" s="34"/>
      <c r="AD327" s="34"/>
      <c r="AE327" s="34"/>
      <c r="AT327" s="19" t="s">
        <v>189</v>
      </c>
      <c r="AU327" s="19" t="s">
        <v>87</v>
      </c>
    </row>
    <row r="328" spans="1:65" s="2" customFormat="1" ht="39">
      <c r="A328" s="34"/>
      <c r="B328" s="35"/>
      <c r="C328" s="34"/>
      <c r="D328" s="153" t="s">
        <v>191</v>
      </c>
      <c r="E328" s="34"/>
      <c r="F328" s="160" t="s">
        <v>228</v>
      </c>
      <c r="G328" s="34"/>
      <c r="H328" s="34"/>
      <c r="I328" s="155"/>
      <c r="J328" s="34"/>
      <c r="K328" s="34"/>
      <c r="L328" s="35"/>
      <c r="M328" s="156"/>
      <c r="N328" s="157"/>
      <c r="O328" s="55"/>
      <c r="P328" s="55"/>
      <c r="Q328" s="55"/>
      <c r="R328" s="55"/>
      <c r="S328" s="55"/>
      <c r="T328" s="56"/>
      <c r="U328" s="34"/>
      <c r="V328" s="34"/>
      <c r="W328" s="34"/>
      <c r="X328" s="34"/>
      <c r="Y328" s="34"/>
      <c r="Z328" s="34"/>
      <c r="AA328" s="34"/>
      <c r="AB328" s="34"/>
      <c r="AC328" s="34"/>
      <c r="AD328" s="34"/>
      <c r="AE328" s="34"/>
      <c r="AT328" s="19" t="s">
        <v>191</v>
      </c>
      <c r="AU328" s="19" t="s">
        <v>87</v>
      </c>
    </row>
    <row r="329" spans="1:65" s="12" customFormat="1" ht="22.9" customHeight="1">
      <c r="B329" s="126"/>
      <c r="D329" s="127" t="s">
        <v>76</v>
      </c>
      <c r="E329" s="137" t="s">
        <v>518</v>
      </c>
      <c r="F329" s="137" t="s">
        <v>519</v>
      </c>
      <c r="I329" s="129"/>
      <c r="J329" s="138">
        <f>BK329</f>
        <v>0</v>
      </c>
      <c r="L329" s="126"/>
      <c r="M329" s="131"/>
      <c r="N329" s="132"/>
      <c r="O329" s="132"/>
      <c r="P329" s="133">
        <f>SUM(P330:P333)</f>
        <v>0</v>
      </c>
      <c r="Q329" s="132"/>
      <c r="R329" s="133">
        <f>SUM(R330:R333)</f>
        <v>0</v>
      </c>
      <c r="S329" s="132"/>
      <c r="T329" s="134">
        <f>SUM(T330:T333)</f>
        <v>0</v>
      </c>
      <c r="AR329" s="127" t="s">
        <v>85</v>
      </c>
      <c r="AT329" s="135" t="s">
        <v>76</v>
      </c>
      <c r="AU329" s="135" t="s">
        <v>85</v>
      </c>
      <c r="AY329" s="127" t="s">
        <v>177</v>
      </c>
      <c r="BK329" s="136">
        <f>SUM(BK330:BK333)</f>
        <v>0</v>
      </c>
    </row>
    <row r="330" spans="1:65" s="2" customFormat="1" ht="16.5" customHeight="1">
      <c r="A330" s="34"/>
      <c r="B330" s="139"/>
      <c r="C330" s="140" t="s">
        <v>1169</v>
      </c>
      <c r="D330" s="140" t="s">
        <v>180</v>
      </c>
      <c r="E330" s="141" t="s">
        <v>521</v>
      </c>
      <c r="F330" s="142" t="s">
        <v>522</v>
      </c>
      <c r="G330" s="143" t="s">
        <v>183</v>
      </c>
      <c r="H330" s="144">
        <v>53.969000000000001</v>
      </c>
      <c r="I330" s="145"/>
      <c r="J330" s="146">
        <f>ROUND(I330*H330,2)</f>
        <v>0</v>
      </c>
      <c r="K330" s="142" t="s">
        <v>184</v>
      </c>
      <c r="L330" s="35"/>
      <c r="M330" s="147" t="s">
        <v>3</v>
      </c>
      <c r="N330" s="148" t="s">
        <v>48</v>
      </c>
      <c r="O330" s="55"/>
      <c r="P330" s="149">
        <f>O330*H330</f>
        <v>0</v>
      </c>
      <c r="Q330" s="149">
        <v>0</v>
      </c>
      <c r="R330" s="149">
        <f>Q330*H330</f>
        <v>0</v>
      </c>
      <c r="S330" s="149">
        <v>0</v>
      </c>
      <c r="T330" s="150">
        <f>S330*H330</f>
        <v>0</v>
      </c>
      <c r="U330" s="34"/>
      <c r="V330" s="34"/>
      <c r="W330" s="34"/>
      <c r="X330" s="34"/>
      <c r="Y330" s="34"/>
      <c r="Z330" s="34"/>
      <c r="AA330" s="34"/>
      <c r="AB330" s="34"/>
      <c r="AC330" s="34"/>
      <c r="AD330" s="34"/>
      <c r="AE330" s="34"/>
      <c r="AR330" s="151" t="s">
        <v>185</v>
      </c>
      <c r="AT330" s="151" t="s">
        <v>180</v>
      </c>
      <c r="AU330" s="151" t="s">
        <v>87</v>
      </c>
      <c r="AY330" s="19" t="s">
        <v>177</v>
      </c>
      <c r="BE330" s="152">
        <f>IF(N330="základní",J330,0)</f>
        <v>0</v>
      </c>
      <c r="BF330" s="152">
        <f>IF(N330="snížená",J330,0)</f>
        <v>0</v>
      </c>
      <c r="BG330" s="152">
        <f>IF(N330="zákl. přenesená",J330,0)</f>
        <v>0</v>
      </c>
      <c r="BH330" s="152">
        <f>IF(N330="sníž. přenesená",J330,0)</f>
        <v>0</v>
      </c>
      <c r="BI330" s="152">
        <f>IF(N330="nulová",J330,0)</f>
        <v>0</v>
      </c>
      <c r="BJ330" s="19" t="s">
        <v>85</v>
      </c>
      <c r="BK330" s="152">
        <f>ROUND(I330*H330,2)</f>
        <v>0</v>
      </c>
      <c r="BL330" s="19" t="s">
        <v>185</v>
      </c>
      <c r="BM330" s="151" t="s">
        <v>2080</v>
      </c>
    </row>
    <row r="331" spans="1:65" s="2" customFormat="1" ht="19.5">
      <c r="A331" s="34"/>
      <c r="B331" s="35"/>
      <c r="C331" s="34"/>
      <c r="D331" s="153" t="s">
        <v>187</v>
      </c>
      <c r="E331" s="34"/>
      <c r="F331" s="154" t="s">
        <v>524</v>
      </c>
      <c r="G331" s="34"/>
      <c r="H331" s="34"/>
      <c r="I331" s="155"/>
      <c r="J331" s="34"/>
      <c r="K331" s="34"/>
      <c r="L331" s="35"/>
      <c r="M331" s="156"/>
      <c r="N331" s="157"/>
      <c r="O331" s="55"/>
      <c r="P331" s="55"/>
      <c r="Q331" s="55"/>
      <c r="R331" s="55"/>
      <c r="S331" s="55"/>
      <c r="T331" s="56"/>
      <c r="U331" s="34"/>
      <c r="V331" s="34"/>
      <c r="W331" s="34"/>
      <c r="X331" s="34"/>
      <c r="Y331" s="34"/>
      <c r="Z331" s="34"/>
      <c r="AA331" s="34"/>
      <c r="AB331" s="34"/>
      <c r="AC331" s="34"/>
      <c r="AD331" s="34"/>
      <c r="AE331" s="34"/>
      <c r="AT331" s="19" t="s">
        <v>187</v>
      </c>
      <c r="AU331" s="19" t="s">
        <v>87</v>
      </c>
    </row>
    <row r="332" spans="1:65" s="2" customFormat="1">
      <c r="A332" s="34"/>
      <c r="B332" s="35"/>
      <c r="C332" s="34"/>
      <c r="D332" s="158" t="s">
        <v>189</v>
      </c>
      <c r="E332" s="34"/>
      <c r="F332" s="159" t="s">
        <v>525</v>
      </c>
      <c r="G332" s="34"/>
      <c r="H332" s="34"/>
      <c r="I332" s="155"/>
      <c r="J332" s="34"/>
      <c r="K332" s="34"/>
      <c r="L332" s="35"/>
      <c r="M332" s="156"/>
      <c r="N332" s="157"/>
      <c r="O332" s="55"/>
      <c r="P332" s="55"/>
      <c r="Q332" s="55"/>
      <c r="R332" s="55"/>
      <c r="S332" s="55"/>
      <c r="T332" s="56"/>
      <c r="U332" s="34"/>
      <c r="V332" s="34"/>
      <c r="W332" s="34"/>
      <c r="X332" s="34"/>
      <c r="Y332" s="34"/>
      <c r="Z332" s="34"/>
      <c r="AA332" s="34"/>
      <c r="AB332" s="34"/>
      <c r="AC332" s="34"/>
      <c r="AD332" s="34"/>
      <c r="AE332" s="34"/>
      <c r="AT332" s="19" t="s">
        <v>189</v>
      </c>
      <c r="AU332" s="19" t="s">
        <v>87</v>
      </c>
    </row>
    <row r="333" spans="1:65" s="2" customFormat="1" ht="58.5">
      <c r="A333" s="34"/>
      <c r="B333" s="35"/>
      <c r="C333" s="34"/>
      <c r="D333" s="153" t="s">
        <v>191</v>
      </c>
      <c r="E333" s="34"/>
      <c r="F333" s="160" t="s">
        <v>526</v>
      </c>
      <c r="G333" s="34"/>
      <c r="H333" s="34"/>
      <c r="I333" s="155"/>
      <c r="J333" s="34"/>
      <c r="K333" s="34"/>
      <c r="L333" s="35"/>
      <c r="M333" s="156"/>
      <c r="N333" s="157"/>
      <c r="O333" s="55"/>
      <c r="P333" s="55"/>
      <c r="Q333" s="55"/>
      <c r="R333" s="55"/>
      <c r="S333" s="55"/>
      <c r="T333" s="56"/>
      <c r="U333" s="34"/>
      <c r="V333" s="34"/>
      <c r="W333" s="34"/>
      <c r="X333" s="34"/>
      <c r="Y333" s="34"/>
      <c r="Z333" s="34"/>
      <c r="AA333" s="34"/>
      <c r="AB333" s="34"/>
      <c r="AC333" s="34"/>
      <c r="AD333" s="34"/>
      <c r="AE333" s="34"/>
      <c r="AT333" s="19" t="s">
        <v>191</v>
      </c>
      <c r="AU333" s="19" t="s">
        <v>87</v>
      </c>
    </row>
    <row r="334" spans="1:65" s="12" customFormat="1" ht="25.9" customHeight="1">
      <c r="B334" s="126"/>
      <c r="D334" s="127" t="s">
        <v>76</v>
      </c>
      <c r="E334" s="128" t="s">
        <v>229</v>
      </c>
      <c r="F334" s="128" t="s">
        <v>230</v>
      </c>
      <c r="I334" s="129"/>
      <c r="J334" s="130">
        <f>BK334</f>
        <v>0</v>
      </c>
      <c r="L334" s="126"/>
      <c r="M334" s="131"/>
      <c r="N334" s="132"/>
      <c r="O334" s="132"/>
      <c r="P334" s="133">
        <f>P335+P353</f>
        <v>0</v>
      </c>
      <c r="Q334" s="132"/>
      <c r="R334" s="133">
        <f>R335+R353</f>
        <v>0.103067149025</v>
      </c>
      <c r="S334" s="132"/>
      <c r="T334" s="134">
        <f>T335+T353</f>
        <v>0</v>
      </c>
      <c r="AR334" s="127" t="s">
        <v>87</v>
      </c>
      <c r="AT334" s="135" t="s">
        <v>76</v>
      </c>
      <c r="AU334" s="135" t="s">
        <v>77</v>
      </c>
      <c r="AY334" s="127" t="s">
        <v>177</v>
      </c>
      <c r="BK334" s="136">
        <f>BK335+BK353</f>
        <v>0</v>
      </c>
    </row>
    <row r="335" spans="1:65" s="12" customFormat="1" ht="22.9" customHeight="1">
      <c r="B335" s="126"/>
      <c r="D335" s="127" t="s">
        <v>76</v>
      </c>
      <c r="E335" s="137" t="s">
        <v>713</v>
      </c>
      <c r="F335" s="137" t="s">
        <v>714</v>
      </c>
      <c r="I335" s="129"/>
      <c r="J335" s="138">
        <f>BK335</f>
        <v>0</v>
      </c>
      <c r="L335" s="126"/>
      <c r="M335" s="131"/>
      <c r="N335" s="132"/>
      <c r="O335" s="132"/>
      <c r="P335" s="133">
        <f>SUM(P336:P352)</f>
        <v>0</v>
      </c>
      <c r="Q335" s="132"/>
      <c r="R335" s="133">
        <f>SUM(R336:R352)</f>
        <v>6.01846875E-2</v>
      </c>
      <c r="S335" s="132"/>
      <c r="T335" s="134">
        <f>SUM(T336:T352)</f>
        <v>0</v>
      </c>
      <c r="AR335" s="127" t="s">
        <v>87</v>
      </c>
      <c r="AT335" s="135" t="s">
        <v>76</v>
      </c>
      <c r="AU335" s="135" t="s">
        <v>85</v>
      </c>
      <c r="AY335" s="127" t="s">
        <v>177</v>
      </c>
      <c r="BK335" s="136">
        <f>SUM(BK336:BK352)</f>
        <v>0</v>
      </c>
    </row>
    <row r="336" spans="1:65" s="2" customFormat="1" ht="16.5" customHeight="1">
      <c r="A336" s="34"/>
      <c r="B336" s="139"/>
      <c r="C336" s="140" t="s">
        <v>1175</v>
      </c>
      <c r="D336" s="140" t="s">
        <v>180</v>
      </c>
      <c r="E336" s="141" t="s">
        <v>737</v>
      </c>
      <c r="F336" s="142" t="s">
        <v>738</v>
      </c>
      <c r="G336" s="143" t="s">
        <v>332</v>
      </c>
      <c r="H336" s="144">
        <v>8.75</v>
      </c>
      <c r="I336" s="145"/>
      <c r="J336" s="146">
        <f>ROUND(I336*H336,2)</f>
        <v>0</v>
      </c>
      <c r="K336" s="142" t="s">
        <v>184</v>
      </c>
      <c r="L336" s="35"/>
      <c r="M336" s="147" t="s">
        <v>3</v>
      </c>
      <c r="N336" s="148" t="s">
        <v>48</v>
      </c>
      <c r="O336" s="55"/>
      <c r="P336" s="149">
        <f>O336*H336</f>
        <v>0</v>
      </c>
      <c r="Q336" s="149">
        <v>3.9825E-4</v>
      </c>
      <c r="R336" s="149">
        <f>Q336*H336</f>
        <v>3.4846874999999999E-3</v>
      </c>
      <c r="S336" s="149">
        <v>0</v>
      </c>
      <c r="T336" s="150">
        <f>S336*H336</f>
        <v>0</v>
      </c>
      <c r="U336" s="34"/>
      <c r="V336" s="34"/>
      <c r="W336" s="34"/>
      <c r="X336" s="34"/>
      <c r="Y336" s="34"/>
      <c r="Z336" s="34"/>
      <c r="AA336" s="34"/>
      <c r="AB336" s="34"/>
      <c r="AC336" s="34"/>
      <c r="AD336" s="34"/>
      <c r="AE336" s="34"/>
      <c r="AR336" s="151" t="s">
        <v>237</v>
      </c>
      <c r="AT336" s="151" t="s">
        <v>180</v>
      </c>
      <c r="AU336" s="151" t="s">
        <v>87</v>
      </c>
      <c r="AY336" s="19" t="s">
        <v>177</v>
      </c>
      <c r="BE336" s="152">
        <f>IF(N336="základní",J336,0)</f>
        <v>0</v>
      </c>
      <c r="BF336" s="152">
        <f>IF(N336="snížená",J336,0)</f>
        <v>0</v>
      </c>
      <c r="BG336" s="152">
        <f>IF(N336="zákl. přenesená",J336,0)</f>
        <v>0</v>
      </c>
      <c r="BH336" s="152">
        <f>IF(N336="sníž. přenesená",J336,0)</f>
        <v>0</v>
      </c>
      <c r="BI336" s="152">
        <f>IF(N336="nulová",J336,0)</f>
        <v>0</v>
      </c>
      <c r="BJ336" s="19" t="s">
        <v>85</v>
      </c>
      <c r="BK336" s="152">
        <f>ROUND(I336*H336,2)</f>
        <v>0</v>
      </c>
      <c r="BL336" s="19" t="s">
        <v>237</v>
      </c>
      <c r="BM336" s="151" t="s">
        <v>2081</v>
      </c>
    </row>
    <row r="337" spans="1:65" s="2" customFormat="1">
      <c r="A337" s="34"/>
      <c r="B337" s="35"/>
      <c r="C337" s="34"/>
      <c r="D337" s="153" t="s">
        <v>187</v>
      </c>
      <c r="E337" s="34"/>
      <c r="F337" s="154" t="s">
        <v>740</v>
      </c>
      <c r="G337" s="34"/>
      <c r="H337" s="34"/>
      <c r="I337" s="155"/>
      <c r="J337" s="34"/>
      <c r="K337" s="34"/>
      <c r="L337" s="35"/>
      <c r="M337" s="156"/>
      <c r="N337" s="157"/>
      <c r="O337" s="55"/>
      <c r="P337" s="55"/>
      <c r="Q337" s="55"/>
      <c r="R337" s="55"/>
      <c r="S337" s="55"/>
      <c r="T337" s="56"/>
      <c r="U337" s="34"/>
      <c r="V337" s="34"/>
      <c r="W337" s="34"/>
      <c r="X337" s="34"/>
      <c r="Y337" s="34"/>
      <c r="Z337" s="34"/>
      <c r="AA337" s="34"/>
      <c r="AB337" s="34"/>
      <c r="AC337" s="34"/>
      <c r="AD337" s="34"/>
      <c r="AE337" s="34"/>
      <c r="AT337" s="19" t="s">
        <v>187</v>
      </c>
      <c r="AU337" s="19" t="s">
        <v>87</v>
      </c>
    </row>
    <row r="338" spans="1:65" s="2" customFormat="1">
      <c r="A338" s="34"/>
      <c r="B338" s="35"/>
      <c r="C338" s="34"/>
      <c r="D338" s="158" t="s">
        <v>189</v>
      </c>
      <c r="E338" s="34"/>
      <c r="F338" s="159" t="s">
        <v>741</v>
      </c>
      <c r="G338" s="34"/>
      <c r="H338" s="34"/>
      <c r="I338" s="155"/>
      <c r="J338" s="34"/>
      <c r="K338" s="34"/>
      <c r="L338" s="35"/>
      <c r="M338" s="156"/>
      <c r="N338" s="157"/>
      <c r="O338" s="55"/>
      <c r="P338" s="55"/>
      <c r="Q338" s="55"/>
      <c r="R338" s="55"/>
      <c r="S338" s="55"/>
      <c r="T338" s="56"/>
      <c r="U338" s="34"/>
      <c r="V338" s="34"/>
      <c r="W338" s="34"/>
      <c r="X338" s="34"/>
      <c r="Y338" s="34"/>
      <c r="Z338" s="34"/>
      <c r="AA338" s="34"/>
      <c r="AB338" s="34"/>
      <c r="AC338" s="34"/>
      <c r="AD338" s="34"/>
      <c r="AE338" s="34"/>
      <c r="AT338" s="19" t="s">
        <v>189</v>
      </c>
      <c r="AU338" s="19" t="s">
        <v>87</v>
      </c>
    </row>
    <row r="339" spans="1:65" s="2" customFormat="1" ht="29.25">
      <c r="A339" s="34"/>
      <c r="B339" s="35"/>
      <c r="C339" s="34"/>
      <c r="D339" s="153" t="s">
        <v>191</v>
      </c>
      <c r="E339" s="34"/>
      <c r="F339" s="160" t="s">
        <v>742</v>
      </c>
      <c r="G339" s="34"/>
      <c r="H339" s="34"/>
      <c r="I339" s="155"/>
      <c r="J339" s="34"/>
      <c r="K339" s="34"/>
      <c r="L339" s="35"/>
      <c r="M339" s="156"/>
      <c r="N339" s="157"/>
      <c r="O339" s="55"/>
      <c r="P339" s="55"/>
      <c r="Q339" s="55"/>
      <c r="R339" s="55"/>
      <c r="S339" s="55"/>
      <c r="T339" s="56"/>
      <c r="U339" s="34"/>
      <c r="V339" s="34"/>
      <c r="W339" s="34"/>
      <c r="X339" s="34"/>
      <c r="Y339" s="34"/>
      <c r="Z339" s="34"/>
      <c r="AA339" s="34"/>
      <c r="AB339" s="34"/>
      <c r="AC339" s="34"/>
      <c r="AD339" s="34"/>
      <c r="AE339" s="34"/>
      <c r="AT339" s="19" t="s">
        <v>191</v>
      </c>
      <c r="AU339" s="19" t="s">
        <v>87</v>
      </c>
    </row>
    <row r="340" spans="1:65" s="14" customFormat="1">
      <c r="B340" s="169"/>
      <c r="D340" s="153" t="s">
        <v>193</v>
      </c>
      <c r="E340" s="170" t="s">
        <v>3</v>
      </c>
      <c r="F340" s="171" t="s">
        <v>1903</v>
      </c>
      <c r="H340" s="170" t="s">
        <v>3</v>
      </c>
      <c r="I340" s="172"/>
      <c r="L340" s="169"/>
      <c r="M340" s="173"/>
      <c r="N340" s="174"/>
      <c r="O340" s="174"/>
      <c r="P340" s="174"/>
      <c r="Q340" s="174"/>
      <c r="R340" s="174"/>
      <c r="S340" s="174"/>
      <c r="T340" s="175"/>
      <c r="AT340" s="170" t="s">
        <v>193</v>
      </c>
      <c r="AU340" s="170" t="s">
        <v>87</v>
      </c>
      <c r="AV340" s="14" t="s">
        <v>85</v>
      </c>
      <c r="AW340" s="14" t="s">
        <v>36</v>
      </c>
      <c r="AX340" s="14" t="s">
        <v>77</v>
      </c>
      <c r="AY340" s="170" t="s">
        <v>177</v>
      </c>
    </row>
    <row r="341" spans="1:65" s="13" customFormat="1">
      <c r="B341" s="161"/>
      <c r="D341" s="153" t="s">
        <v>193</v>
      </c>
      <c r="E341" s="162" t="s">
        <v>3</v>
      </c>
      <c r="F341" s="163" t="s">
        <v>2082</v>
      </c>
      <c r="H341" s="164">
        <v>8.75</v>
      </c>
      <c r="I341" s="165"/>
      <c r="L341" s="161"/>
      <c r="M341" s="166"/>
      <c r="N341" s="167"/>
      <c r="O341" s="167"/>
      <c r="P341" s="167"/>
      <c r="Q341" s="167"/>
      <c r="R341" s="167"/>
      <c r="S341" s="167"/>
      <c r="T341" s="168"/>
      <c r="AT341" s="162" t="s">
        <v>193</v>
      </c>
      <c r="AU341" s="162" t="s">
        <v>87</v>
      </c>
      <c r="AV341" s="13" t="s">
        <v>87</v>
      </c>
      <c r="AW341" s="13" t="s">
        <v>36</v>
      </c>
      <c r="AX341" s="13" t="s">
        <v>85</v>
      </c>
      <c r="AY341" s="162" t="s">
        <v>177</v>
      </c>
    </row>
    <row r="342" spans="1:65" s="2" customFormat="1" ht="24.2" customHeight="1">
      <c r="A342" s="34"/>
      <c r="B342" s="139"/>
      <c r="C342" s="195" t="s">
        <v>1179</v>
      </c>
      <c r="D342" s="195" t="s">
        <v>484</v>
      </c>
      <c r="E342" s="196" t="s">
        <v>2083</v>
      </c>
      <c r="F342" s="197" t="s">
        <v>2084</v>
      </c>
      <c r="G342" s="198" t="s">
        <v>332</v>
      </c>
      <c r="H342" s="199">
        <v>10.5</v>
      </c>
      <c r="I342" s="200"/>
      <c r="J342" s="201">
        <f>ROUND(I342*H342,2)</f>
        <v>0</v>
      </c>
      <c r="K342" s="197" t="s">
        <v>184</v>
      </c>
      <c r="L342" s="202"/>
      <c r="M342" s="203" t="s">
        <v>3</v>
      </c>
      <c r="N342" s="204" t="s">
        <v>48</v>
      </c>
      <c r="O342" s="55"/>
      <c r="P342" s="149">
        <f>O342*H342</f>
        <v>0</v>
      </c>
      <c r="Q342" s="149">
        <v>5.4000000000000003E-3</v>
      </c>
      <c r="R342" s="149">
        <f>Q342*H342</f>
        <v>5.67E-2</v>
      </c>
      <c r="S342" s="149">
        <v>0</v>
      </c>
      <c r="T342" s="150">
        <f>S342*H342</f>
        <v>0</v>
      </c>
      <c r="U342" s="34"/>
      <c r="V342" s="34"/>
      <c r="W342" s="34"/>
      <c r="X342" s="34"/>
      <c r="Y342" s="34"/>
      <c r="Z342" s="34"/>
      <c r="AA342" s="34"/>
      <c r="AB342" s="34"/>
      <c r="AC342" s="34"/>
      <c r="AD342" s="34"/>
      <c r="AE342" s="34"/>
      <c r="AR342" s="151" t="s">
        <v>537</v>
      </c>
      <c r="AT342" s="151" t="s">
        <v>484</v>
      </c>
      <c r="AU342" s="151" t="s">
        <v>87</v>
      </c>
      <c r="AY342" s="19" t="s">
        <v>177</v>
      </c>
      <c r="BE342" s="152">
        <f>IF(N342="základní",J342,0)</f>
        <v>0</v>
      </c>
      <c r="BF342" s="152">
        <f>IF(N342="snížená",J342,0)</f>
        <v>0</v>
      </c>
      <c r="BG342" s="152">
        <f>IF(N342="zákl. přenesená",J342,0)</f>
        <v>0</v>
      </c>
      <c r="BH342" s="152">
        <f>IF(N342="sníž. přenesená",J342,0)</f>
        <v>0</v>
      </c>
      <c r="BI342" s="152">
        <f>IF(N342="nulová",J342,0)</f>
        <v>0</v>
      </c>
      <c r="BJ342" s="19" t="s">
        <v>85</v>
      </c>
      <c r="BK342" s="152">
        <f>ROUND(I342*H342,2)</f>
        <v>0</v>
      </c>
      <c r="BL342" s="19" t="s">
        <v>237</v>
      </c>
      <c r="BM342" s="151" t="s">
        <v>2085</v>
      </c>
    </row>
    <row r="343" spans="1:65" s="2" customFormat="1" ht="19.5">
      <c r="A343" s="34"/>
      <c r="B343" s="35"/>
      <c r="C343" s="34"/>
      <c r="D343" s="153" t="s">
        <v>187</v>
      </c>
      <c r="E343" s="34"/>
      <c r="F343" s="154" t="s">
        <v>2084</v>
      </c>
      <c r="G343" s="34"/>
      <c r="H343" s="34"/>
      <c r="I343" s="155"/>
      <c r="J343" s="34"/>
      <c r="K343" s="34"/>
      <c r="L343" s="35"/>
      <c r="M343" s="156"/>
      <c r="N343" s="157"/>
      <c r="O343" s="55"/>
      <c r="P343" s="55"/>
      <c r="Q343" s="55"/>
      <c r="R343" s="55"/>
      <c r="S343" s="55"/>
      <c r="T343" s="56"/>
      <c r="U343" s="34"/>
      <c r="V343" s="34"/>
      <c r="W343" s="34"/>
      <c r="X343" s="34"/>
      <c r="Y343" s="34"/>
      <c r="Z343" s="34"/>
      <c r="AA343" s="34"/>
      <c r="AB343" s="34"/>
      <c r="AC343" s="34"/>
      <c r="AD343" s="34"/>
      <c r="AE343" s="34"/>
      <c r="AT343" s="19" t="s">
        <v>187</v>
      </c>
      <c r="AU343" s="19" t="s">
        <v>87</v>
      </c>
    </row>
    <row r="344" spans="1:65" s="13" customFormat="1">
      <c r="B344" s="161"/>
      <c r="D344" s="153" t="s">
        <v>193</v>
      </c>
      <c r="F344" s="163" t="s">
        <v>2086</v>
      </c>
      <c r="H344" s="164">
        <v>10.5</v>
      </c>
      <c r="I344" s="165"/>
      <c r="L344" s="161"/>
      <c r="M344" s="166"/>
      <c r="N344" s="167"/>
      <c r="O344" s="167"/>
      <c r="P344" s="167"/>
      <c r="Q344" s="167"/>
      <c r="R344" s="167"/>
      <c r="S344" s="167"/>
      <c r="T344" s="168"/>
      <c r="AT344" s="162" t="s">
        <v>193</v>
      </c>
      <c r="AU344" s="162" t="s">
        <v>87</v>
      </c>
      <c r="AV344" s="13" t="s">
        <v>87</v>
      </c>
      <c r="AW344" s="13" t="s">
        <v>4</v>
      </c>
      <c r="AX344" s="13" t="s">
        <v>85</v>
      </c>
      <c r="AY344" s="162" t="s">
        <v>177</v>
      </c>
    </row>
    <row r="345" spans="1:65" s="2" customFormat="1" ht="16.5" customHeight="1">
      <c r="A345" s="34"/>
      <c r="B345" s="139"/>
      <c r="C345" s="140" t="s">
        <v>1182</v>
      </c>
      <c r="D345" s="140" t="s">
        <v>180</v>
      </c>
      <c r="E345" s="141" t="s">
        <v>758</v>
      </c>
      <c r="F345" s="142" t="s">
        <v>759</v>
      </c>
      <c r="G345" s="143" t="s">
        <v>183</v>
      </c>
      <c r="H345" s="144">
        <v>0.06</v>
      </c>
      <c r="I345" s="145"/>
      <c r="J345" s="146">
        <f>ROUND(I345*H345,2)</f>
        <v>0</v>
      </c>
      <c r="K345" s="142" t="s">
        <v>184</v>
      </c>
      <c r="L345" s="35"/>
      <c r="M345" s="147" t="s">
        <v>3</v>
      </c>
      <c r="N345" s="148" t="s">
        <v>48</v>
      </c>
      <c r="O345" s="55"/>
      <c r="P345" s="149">
        <f>O345*H345</f>
        <v>0</v>
      </c>
      <c r="Q345" s="149">
        <v>0</v>
      </c>
      <c r="R345" s="149">
        <f>Q345*H345</f>
        <v>0</v>
      </c>
      <c r="S345" s="149">
        <v>0</v>
      </c>
      <c r="T345" s="150">
        <f>S345*H345</f>
        <v>0</v>
      </c>
      <c r="U345" s="34"/>
      <c r="V345" s="34"/>
      <c r="W345" s="34"/>
      <c r="X345" s="34"/>
      <c r="Y345" s="34"/>
      <c r="Z345" s="34"/>
      <c r="AA345" s="34"/>
      <c r="AB345" s="34"/>
      <c r="AC345" s="34"/>
      <c r="AD345" s="34"/>
      <c r="AE345" s="34"/>
      <c r="AR345" s="151" t="s">
        <v>237</v>
      </c>
      <c r="AT345" s="151" t="s">
        <v>180</v>
      </c>
      <c r="AU345" s="151" t="s">
        <v>87</v>
      </c>
      <c r="AY345" s="19" t="s">
        <v>177</v>
      </c>
      <c r="BE345" s="152">
        <f>IF(N345="základní",J345,0)</f>
        <v>0</v>
      </c>
      <c r="BF345" s="152">
        <f>IF(N345="snížená",J345,0)</f>
        <v>0</v>
      </c>
      <c r="BG345" s="152">
        <f>IF(N345="zákl. přenesená",J345,0)</f>
        <v>0</v>
      </c>
      <c r="BH345" s="152">
        <f>IF(N345="sníž. přenesená",J345,0)</f>
        <v>0</v>
      </c>
      <c r="BI345" s="152">
        <f>IF(N345="nulová",J345,0)</f>
        <v>0</v>
      </c>
      <c r="BJ345" s="19" t="s">
        <v>85</v>
      </c>
      <c r="BK345" s="152">
        <f>ROUND(I345*H345,2)</f>
        <v>0</v>
      </c>
      <c r="BL345" s="19" t="s">
        <v>237</v>
      </c>
      <c r="BM345" s="151" t="s">
        <v>2087</v>
      </c>
    </row>
    <row r="346" spans="1:65" s="2" customFormat="1" ht="19.5">
      <c r="A346" s="34"/>
      <c r="B346" s="35"/>
      <c r="C346" s="34"/>
      <c r="D346" s="153" t="s">
        <v>187</v>
      </c>
      <c r="E346" s="34"/>
      <c r="F346" s="154" t="s">
        <v>761</v>
      </c>
      <c r="G346" s="34"/>
      <c r="H346" s="34"/>
      <c r="I346" s="155"/>
      <c r="J346" s="34"/>
      <c r="K346" s="34"/>
      <c r="L346" s="35"/>
      <c r="M346" s="156"/>
      <c r="N346" s="157"/>
      <c r="O346" s="55"/>
      <c r="P346" s="55"/>
      <c r="Q346" s="55"/>
      <c r="R346" s="55"/>
      <c r="S346" s="55"/>
      <c r="T346" s="56"/>
      <c r="U346" s="34"/>
      <c r="V346" s="34"/>
      <c r="W346" s="34"/>
      <c r="X346" s="34"/>
      <c r="Y346" s="34"/>
      <c r="Z346" s="34"/>
      <c r="AA346" s="34"/>
      <c r="AB346" s="34"/>
      <c r="AC346" s="34"/>
      <c r="AD346" s="34"/>
      <c r="AE346" s="34"/>
      <c r="AT346" s="19" t="s">
        <v>187</v>
      </c>
      <c r="AU346" s="19" t="s">
        <v>87</v>
      </c>
    </row>
    <row r="347" spans="1:65" s="2" customFormat="1">
      <c r="A347" s="34"/>
      <c r="B347" s="35"/>
      <c r="C347" s="34"/>
      <c r="D347" s="158" t="s">
        <v>189</v>
      </c>
      <c r="E347" s="34"/>
      <c r="F347" s="159" t="s">
        <v>762</v>
      </c>
      <c r="G347" s="34"/>
      <c r="H347" s="34"/>
      <c r="I347" s="155"/>
      <c r="J347" s="34"/>
      <c r="K347" s="34"/>
      <c r="L347" s="35"/>
      <c r="M347" s="156"/>
      <c r="N347" s="157"/>
      <c r="O347" s="55"/>
      <c r="P347" s="55"/>
      <c r="Q347" s="55"/>
      <c r="R347" s="55"/>
      <c r="S347" s="55"/>
      <c r="T347" s="56"/>
      <c r="U347" s="34"/>
      <c r="V347" s="34"/>
      <c r="W347" s="34"/>
      <c r="X347" s="34"/>
      <c r="Y347" s="34"/>
      <c r="Z347" s="34"/>
      <c r="AA347" s="34"/>
      <c r="AB347" s="34"/>
      <c r="AC347" s="34"/>
      <c r="AD347" s="34"/>
      <c r="AE347" s="34"/>
      <c r="AT347" s="19" t="s">
        <v>189</v>
      </c>
      <c r="AU347" s="19" t="s">
        <v>87</v>
      </c>
    </row>
    <row r="348" spans="1:65" s="2" customFormat="1" ht="78">
      <c r="A348" s="34"/>
      <c r="B348" s="35"/>
      <c r="C348" s="34"/>
      <c r="D348" s="153" t="s">
        <v>191</v>
      </c>
      <c r="E348" s="34"/>
      <c r="F348" s="160" t="s">
        <v>763</v>
      </c>
      <c r="G348" s="34"/>
      <c r="H348" s="34"/>
      <c r="I348" s="155"/>
      <c r="J348" s="34"/>
      <c r="K348" s="34"/>
      <c r="L348" s="35"/>
      <c r="M348" s="156"/>
      <c r="N348" s="157"/>
      <c r="O348" s="55"/>
      <c r="P348" s="55"/>
      <c r="Q348" s="55"/>
      <c r="R348" s="55"/>
      <c r="S348" s="55"/>
      <c r="T348" s="56"/>
      <c r="U348" s="34"/>
      <c r="V348" s="34"/>
      <c r="W348" s="34"/>
      <c r="X348" s="34"/>
      <c r="Y348" s="34"/>
      <c r="Z348" s="34"/>
      <c r="AA348" s="34"/>
      <c r="AB348" s="34"/>
      <c r="AC348" s="34"/>
      <c r="AD348" s="34"/>
      <c r="AE348" s="34"/>
      <c r="AT348" s="19" t="s">
        <v>191</v>
      </c>
      <c r="AU348" s="19" t="s">
        <v>87</v>
      </c>
    </row>
    <row r="349" spans="1:65" s="2" customFormat="1" ht="16.5" customHeight="1">
      <c r="A349" s="34"/>
      <c r="B349" s="139"/>
      <c r="C349" s="140" t="s">
        <v>1185</v>
      </c>
      <c r="D349" s="140" t="s">
        <v>180</v>
      </c>
      <c r="E349" s="141" t="s">
        <v>765</v>
      </c>
      <c r="F349" s="142" t="s">
        <v>766</v>
      </c>
      <c r="G349" s="143" t="s">
        <v>183</v>
      </c>
      <c r="H349" s="144">
        <v>0.06</v>
      </c>
      <c r="I349" s="145"/>
      <c r="J349" s="146">
        <f>ROUND(I349*H349,2)</f>
        <v>0</v>
      </c>
      <c r="K349" s="142" t="s">
        <v>184</v>
      </c>
      <c r="L349" s="35"/>
      <c r="M349" s="147" t="s">
        <v>3</v>
      </c>
      <c r="N349" s="148" t="s">
        <v>48</v>
      </c>
      <c r="O349" s="55"/>
      <c r="P349" s="149">
        <f>O349*H349</f>
        <v>0</v>
      </c>
      <c r="Q349" s="149">
        <v>0</v>
      </c>
      <c r="R349" s="149">
        <f>Q349*H349</f>
        <v>0</v>
      </c>
      <c r="S349" s="149">
        <v>0</v>
      </c>
      <c r="T349" s="150">
        <f>S349*H349</f>
        <v>0</v>
      </c>
      <c r="U349" s="34"/>
      <c r="V349" s="34"/>
      <c r="W349" s="34"/>
      <c r="X349" s="34"/>
      <c r="Y349" s="34"/>
      <c r="Z349" s="34"/>
      <c r="AA349" s="34"/>
      <c r="AB349" s="34"/>
      <c r="AC349" s="34"/>
      <c r="AD349" s="34"/>
      <c r="AE349" s="34"/>
      <c r="AR349" s="151" t="s">
        <v>237</v>
      </c>
      <c r="AT349" s="151" t="s">
        <v>180</v>
      </c>
      <c r="AU349" s="151" t="s">
        <v>87</v>
      </c>
      <c r="AY349" s="19" t="s">
        <v>177</v>
      </c>
      <c r="BE349" s="152">
        <f>IF(N349="základní",J349,0)</f>
        <v>0</v>
      </c>
      <c r="BF349" s="152">
        <f>IF(N349="snížená",J349,0)</f>
        <v>0</v>
      </c>
      <c r="BG349" s="152">
        <f>IF(N349="zákl. přenesená",J349,0)</f>
        <v>0</v>
      </c>
      <c r="BH349" s="152">
        <f>IF(N349="sníž. přenesená",J349,0)</f>
        <v>0</v>
      </c>
      <c r="BI349" s="152">
        <f>IF(N349="nulová",J349,0)</f>
        <v>0</v>
      </c>
      <c r="BJ349" s="19" t="s">
        <v>85</v>
      </c>
      <c r="BK349" s="152">
        <f>ROUND(I349*H349,2)</f>
        <v>0</v>
      </c>
      <c r="BL349" s="19" t="s">
        <v>237</v>
      </c>
      <c r="BM349" s="151" t="s">
        <v>2088</v>
      </c>
    </row>
    <row r="350" spans="1:65" s="2" customFormat="1" ht="19.5">
      <c r="A350" s="34"/>
      <c r="B350" s="35"/>
      <c r="C350" s="34"/>
      <c r="D350" s="153" t="s">
        <v>187</v>
      </c>
      <c r="E350" s="34"/>
      <c r="F350" s="154" t="s">
        <v>768</v>
      </c>
      <c r="G350" s="34"/>
      <c r="H350" s="34"/>
      <c r="I350" s="155"/>
      <c r="J350" s="34"/>
      <c r="K350" s="34"/>
      <c r="L350" s="35"/>
      <c r="M350" s="156"/>
      <c r="N350" s="157"/>
      <c r="O350" s="55"/>
      <c r="P350" s="55"/>
      <c r="Q350" s="55"/>
      <c r="R350" s="55"/>
      <c r="S350" s="55"/>
      <c r="T350" s="56"/>
      <c r="U350" s="34"/>
      <c r="V350" s="34"/>
      <c r="W350" s="34"/>
      <c r="X350" s="34"/>
      <c r="Y350" s="34"/>
      <c r="Z350" s="34"/>
      <c r="AA350" s="34"/>
      <c r="AB350" s="34"/>
      <c r="AC350" s="34"/>
      <c r="AD350" s="34"/>
      <c r="AE350" s="34"/>
      <c r="AT350" s="19" t="s">
        <v>187</v>
      </c>
      <c r="AU350" s="19" t="s">
        <v>87</v>
      </c>
    </row>
    <row r="351" spans="1:65" s="2" customFormat="1">
      <c r="A351" s="34"/>
      <c r="B351" s="35"/>
      <c r="C351" s="34"/>
      <c r="D351" s="158" t="s">
        <v>189</v>
      </c>
      <c r="E351" s="34"/>
      <c r="F351" s="159" t="s">
        <v>769</v>
      </c>
      <c r="G351" s="34"/>
      <c r="H351" s="34"/>
      <c r="I351" s="155"/>
      <c r="J351" s="34"/>
      <c r="K351" s="34"/>
      <c r="L351" s="35"/>
      <c r="M351" s="156"/>
      <c r="N351" s="157"/>
      <c r="O351" s="55"/>
      <c r="P351" s="55"/>
      <c r="Q351" s="55"/>
      <c r="R351" s="55"/>
      <c r="S351" s="55"/>
      <c r="T351" s="56"/>
      <c r="U351" s="34"/>
      <c r="V351" s="34"/>
      <c r="W351" s="34"/>
      <c r="X351" s="34"/>
      <c r="Y351" s="34"/>
      <c r="Z351" s="34"/>
      <c r="AA351" s="34"/>
      <c r="AB351" s="34"/>
      <c r="AC351" s="34"/>
      <c r="AD351" s="34"/>
      <c r="AE351" s="34"/>
      <c r="AT351" s="19" t="s">
        <v>189</v>
      </c>
      <c r="AU351" s="19" t="s">
        <v>87</v>
      </c>
    </row>
    <row r="352" spans="1:65" s="2" customFormat="1" ht="78">
      <c r="A352" s="34"/>
      <c r="B352" s="35"/>
      <c r="C352" s="34"/>
      <c r="D352" s="153" t="s">
        <v>191</v>
      </c>
      <c r="E352" s="34"/>
      <c r="F352" s="160" t="s">
        <v>763</v>
      </c>
      <c r="G352" s="34"/>
      <c r="H352" s="34"/>
      <c r="I352" s="155"/>
      <c r="J352" s="34"/>
      <c r="K352" s="34"/>
      <c r="L352" s="35"/>
      <c r="M352" s="156"/>
      <c r="N352" s="157"/>
      <c r="O352" s="55"/>
      <c r="P352" s="55"/>
      <c r="Q352" s="55"/>
      <c r="R352" s="55"/>
      <c r="S352" s="55"/>
      <c r="T352" s="56"/>
      <c r="U352" s="34"/>
      <c r="V352" s="34"/>
      <c r="W352" s="34"/>
      <c r="X352" s="34"/>
      <c r="Y352" s="34"/>
      <c r="Z352" s="34"/>
      <c r="AA352" s="34"/>
      <c r="AB352" s="34"/>
      <c r="AC352" s="34"/>
      <c r="AD352" s="34"/>
      <c r="AE352" s="34"/>
      <c r="AT352" s="19" t="s">
        <v>191</v>
      </c>
      <c r="AU352" s="19" t="s">
        <v>87</v>
      </c>
    </row>
    <row r="353" spans="1:65" s="12" customFormat="1" ht="22.9" customHeight="1">
      <c r="B353" s="126"/>
      <c r="D353" s="127" t="s">
        <v>76</v>
      </c>
      <c r="E353" s="137" t="s">
        <v>1324</v>
      </c>
      <c r="F353" s="137" t="s">
        <v>1325</v>
      </c>
      <c r="I353" s="129"/>
      <c r="J353" s="138">
        <f>BK353</f>
        <v>0</v>
      </c>
      <c r="L353" s="126"/>
      <c r="M353" s="131"/>
      <c r="N353" s="132"/>
      <c r="O353" s="132"/>
      <c r="P353" s="133">
        <f>SUM(P354:P370)</f>
        <v>0</v>
      </c>
      <c r="Q353" s="132"/>
      <c r="R353" s="133">
        <f>SUM(R354:R370)</f>
        <v>4.2882461524999999E-2</v>
      </c>
      <c r="S353" s="132"/>
      <c r="T353" s="134">
        <f>SUM(T354:T370)</f>
        <v>0</v>
      </c>
      <c r="AR353" s="127" t="s">
        <v>87</v>
      </c>
      <c r="AT353" s="135" t="s">
        <v>76</v>
      </c>
      <c r="AU353" s="135" t="s">
        <v>85</v>
      </c>
      <c r="AY353" s="127" t="s">
        <v>177</v>
      </c>
      <c r="BK353" s="136">
        <f>SUM(BK354:BK370)</f>
        <v>0</v>
      </c>
    </row>
    <row r="354" spans="1:65" s="2" customFormat="1" ht="16.5" customHeight="1">
      <c r="A354" s="34"/>
      <c r="B354" s="139"/>
      <c r="C354" s="140" t="s">
        <v>1187</v>
      </c>
      <c r="D354" s="140" t="s">
        <v>180</v>
      </c>
      <c r="E354" s="141" t="s">
        <v>2089</v>
      </c>
      <c r="F354" s="142" t="s">
        <v>2090</v>
      </c>
      <c r="G354" s="143" t="s">
        <v>1630</v>
      </c>
      <c r="H354" s="144">
        <v>36.722000000000001</v>
      </c>
      <c r="I354" s="145"/>
      <c r="J354" s="146">
        <f>ROUND(I354*H354,2)</f>
        <v>0</v>
      </c>
      <c r="K354" s="142" t="s">
        <v>184</v>
      </c>
      <c r="L354" s="35"/>
      <c r="M354" s="147" t="s">
        <v>3</v>
      </c>
      <c r="N354" s="148" t="s">
        <v>48</v>
      </c>
      <c r="O354" s="55"/>
      <c r="P354" s="149">
        <f>O354*H354</f>
        <v>0</v>
      </c>
      <c r="Q354" s="149">
        <v>5.1262499999999999E-5</v>
      </c>
      <c r="R354" s="149">
        <f>Q354*H354</f>
        <v>1.8824615250000001E-3</v>
      </c>
      <c r="S354" s="149">
        <v>0</v>
      </c>
      <c r="T354" s="150">
        <f>S354*H354</f>
        <v>0</v>
      </c>
      <c r="U354" s="34"/>
      <c r="V354" s="34"/>
      <c r="W354" s="34"/>
      <c r="X354" s="34"/>
      <c r="Y354" s="34"/>
      <c r="Z354" s="34"/>
      <c r="AA354" s="34"/>
      <c r="AB354" s="34"/>
      <c r="AC354" s="34"/>
      <c r="AD354" s="34"/>
      <c r="AE354" s="34"/>
      <c r="AR354" s="151" t="s">
        <v>237</v>
      </c>
      <c r="AT354" s="151" t="s">
        <v>180</v>
      </c>
      <c r="AU354" s="151" t="s">
        <v>87</v>
      </c>
      <c r="AY354" s="19" t="s">
        <v>177</v>
      </c>
      <c r="BE354" s="152">
        <f>IF(N354="základní",J354,0)</f>
        <v>0</v>
      </c>
      <c r="BF354" s="152">
        <f>IF(N354="snížená",J354,0)</f>
        <v>0</v>
      </c>
      <c r="BG354" s="152">
        <f>IF(N354="zákl. přenesená",J354,0)</f>
        <v>0</v>
      </c>
      <c r="BH354" s="152">
        <f>IF(N354="sníž. přenesená",J354,0)</f>
        <v>0</v>
      </c>
      <c r="BI354" s="152">
        <f>IF(N354="nulová",J354,0)</f>
        <v>0</v>
      </c>
      <c r="BJ354" s="19" t="s">
        <v>85</v>
      </c>
      <c r="BK354" s="152">
        <f>ROUND(I354*H354,2)</f>
        <v>0</v>
      </c>
      <c r="BL354" s="19" t="s">
        <v>237</v>
      </c>
      <c r="BM354" s="151" t="s">
        <v>2091</v>
      </c>
    </row>
    <row r="355" spans="1:65" s="2" customFormat="1">
      <c r="A355" s="34"/>
      <c r="B355" s="35"/>
      <c r="C355" s="34"/>
      <c r="D355" s="153" t="s">
        <v>187</v>
      </c>
      <c r="E355" s="34"/>
      <c r="F355" s="154" t="s">
        <v>2092</v>
      </c>
      <c r="G355" s="34"/>
      <c r="H355" s="34"/>
      <c r="I355" s="155"/>
      <c r="J355" s="34"/>
      <c r="K355" s="34"/>
      <c r="L355" s="35"/>
      <c r="M355" s="156"/>
      <c r="N355" s="157"/>
      <c r="O355" s="55"/>
      <c r="P355" s="55"/>
      <c r="Q355" s="55"/>
      <c r="R355" s="55"/>
      <c r="S355" s="55"/>
      <c r="T355" s="56"/>
      <c r="U355" s="34"/>
      <c r="V355" s="34"/>
      <c r="W355" s="34"/>
      <c r="X355" s="34"/>
      <c r="Y355" s="34"/>
      <c r="Z355" s="34"/>
      <c r="AA355" s="34"/>
      <c r="AB355" s="34"/>
      <c r="AC355" s="34"/>
      <c r="AD355" s="34"/>
      <c r="AE355" s="34"/>
      <c r="AT355" s="19" t="s">
        <v>187</v>
      </c>
      <c r="AU355" s="19" t="s">
        <v>87</v>
      </c>
    </row>
    <row r="356" spans="1:65" s="2" customFormat="1">
      <c r="A356" s="34"/>
      <c r="B356" s="35"/>
      <c r="C356" s="34"/>
      <c r="D356" s="158" t="s">
        <v>189</v>
      </c>
      <c r="E356" s="34"/>
      <c r="F356" s="159" t="s">
        <v>2093</v>
      </c>
      <c r="G356" s="34"/>
      <c r="H356" s="34"/>
      <c r="I356" s="155"/>
      <c r="J356" s="34"/>
      <c r="K356" s="34"/>
      <c r="L356" s="35"/>
      <c r="M356" s="156"/>
      <c r="N356" s="157"/>
      <c r="O356" s="55"/>
      <c r="P356" s="55"/>
      <c r="Q356" s="55"/>
      <c r="R356" s="55"/>
      <c r="S356" s="55"/>
      <c r="T356" s="56"/>
      <c r="U356" s="34"/>
      <c r="V356" s="34"/>
      <c r="W356" s="34"/>
      <c r="X356" s="34"/>
      <c r="Y356" s="34"/>
      <c r="Z356" s="34"/>
      <c r="AA356" s="34"/>
      <c r="AB356" s="34"/>
      <c r="AC356" s="34"/>
      <c r="AD356" s="34"/>
      <c r="AE356" s="34"/>
      <c r="AT356" s="19" t="s">
        <v>189</v>
      </c>
      <c r="AU356" s="19" t="s">
        <v>87</v>
      </c>
    </row>
    <row r="357" spans="1:65" s="2" customFormat="1" ht="29.25">
      <c r="A357" s="34"/>
      <c r="B357" s="35"/>
      <c r="C357" s="34"/>
      <c r="D357" s="153" t="s">
        <v>191</v>
      </c>
      <c r="E357" s="34"/>
      <c r="F357" s="160" t="s">
        <v>1634</v>
      </c>
      <c r="G357" s="34"/>
      <c r="H357" s="34"/>
      <c r="I357" s="155"/>
      <c r="J357" s="34"/>
      <c r="K357" s="34"/>
      <c r="L357" s="35"/>
      <c r="M357" s="156"/>
      <c r="N357" s="157"/>
      <c r="O357" s="55"/>
      <c r="P357" s="55"/>
      <c r="Q357" s="55"/>
      <c r="R357" s="55"/>
      <c r="S357" s="55"/>
      <c r="T357" s="56"/>
      <c r="U357" s="34"/>
      <c r="V357" s="34"/>
      <c r="W357" s="34"/>
      <c r="X357" s="34"/>
      <c r="Y357" s="34"/>
      <c r="Z357" s="34"/>
      <c r="AA357" s="34"/>
      <c r="AB357" s="34"/>
      <c r="AC357" s="34"/>
      <c r="AD357" s="34"/>
      <c r="AE357" s="34"/>
      <c r="AT357" s="19" t="s">
        <v>191</v>
      </c>
      <c r="AU357" s="19" t="s">
        <v>87</v>
      </c>
    </row>
    <row r="358" spans="1:65" s="13" customFormat="1">
      <c r="B358" s="161"/>
      <c r="D358" s="153" t="s">
        <v>193</v>
      </c>
      <c r="E358" s="162" t="s">
        <v>3</v>
      </c>
      <c r="F358" s="163" t="s">
        <v>2094</v>
      </c>
      <c r="H358" s="164">
        <v>36.722000000000001</v>
      </c>
      <c r="I358" s="165"/>
      <c r="L358" s="161"/>
      <c r="M358" s="166"/>
      <c r="N358" s="167"/>
      <c r="O358" s="167"/>
      <c r="P358" s="167"/>
      <c r="Q358" s="167"/>
      <c r="R358" s="167"/>
      <c r="S358" s="167"/>
      <c r="T358" s="168"/>
      <c r="AT358" s="162" t="s">
        <v>193</v>
      </c>
      <c r="AU358" s="162" t="s">
        <v>87</v>
      </c>
      <c r="AV358" s="13" t="s">
        <v>87</v>
      </c>
      <c r="AW358" s="13" t="s">
        <v>36</v>
      </c>
      <c r="AX358" s="13" t="s">
        <v>85</v>
      </c>
      <c r="AY358" s="162" t="s">
        <v>177</v>
      </c>
    </row>
    <row r="359" spans="1:65" s="2" customFormat="1" ht="16.5" customHeight="1">
      <c r="A359" s="34"/>
      <c r="B359" s="139"/>
      <c r="C359" s="195" t="s">
        <v>1190</v>
      </c>
      <c r="D359" s="195" t="s">
        <v>484</v>
      </c>
      <c r="E359" s="196" t="s">
        <v>2095</v>
      </c>
      <c r="F359" s="197" t="s">
        <v>2096</v>
      </c>
      <c r="G359" s="198" t="s">
        <v>183</v>
      </c>
      <c r="H359" s="199">
        <v>4.1000000000000002E-2</v>
      </c>
      <c r="I359" s="200"/>
      <c r="J359" s="201">
        <f>ROUND(I359*H359,2)</f>
        <v>0</v>
      </c>
      <c r="K359" s="197" t="s">
        <v>184</v>
      </c>
      <c r="L359" s="202"/>
      <c r="M359" s="203" t="s">
        <v>3</v>
      </c>
      <c r="N359" s="204" t="s">
        <v>48</v>
      </c>
      <c r="O359" s="55"/>
      <c r="P359" s="149">
        <f>O359*H359</f>
        <v>0</v>
      </c>
      <c r="Q359" s="149">
        <v>1</v>
      </c>
      <c r="R359" s="149">
        <f>Q359*H359</f>
        <v>4.1000000000000002E-2</v>
      </c>
      <c r="S359" s="149">
        <v>0</v>
      </c>
      <c r="T359" s="150">
        <f>S359*H359</f>
        <v>0</v>
      </c>
      <c r="U359" s="34"/>
      <c r="V359" s="34"/>
      <c r="W359" s="34"/>
      <c r="X359" s="34"/>
      <c r="Y359" s="34"/>
      <c r="Z359" s="34"/>
      <c r="AA359" s="34"/>
      <c r="AB359" s="34"/>
      <c r="AC359" s="34"/>
      <c r="AD359" s="34"/>
      <c r="AE359" s="34"/>
      <c r="AR359" s="151" t="s">
        <v>537</v>
      </c>
      <c r="AT359" s="151" t="s">
        <v>484</v>
      </c>
      <c r="AU359" s="151" t="s">
        <v>87</v>
      </c>
      <c r="AY359" s="19" t="s">
        <v>177</v>
      </c>
      <c r="BE359" s="152">
        <f>IF(N359="základní",J359,0)</f>
        <v>0</v>
      </c>
      <c r="BF359" s="152">
        <f>IF(N359="snížená",J359,0)</f>
        <v>0</v>
      </c>
      <c r="BG359" s="152">
        <f>IF(N359="zákl. přenesená",J359,0)</f>
        <v>0</v>
      </c>
      <c r="BH359" s="152">
        <f>IF(N359="sníž. přenesená",J359,0)</f>
        <v>0</v>
      </c>
      <c r="BI359" s="152">
        <f>IF(N359="nulová",J359,0)</f>
        <v>0</v>
      </c>
      <c r="BJ359" s="19" t="s">
        <v>85</v>
      </c>
      <c r="BK359" s="152">
        <f>ROUND(I359*H359,2)</f>
        <v>0</v>
      </c>
      <c r="BL359" s="19" t="s">
        <v>237</v>
      </c>
      <c r="BM359" s="151" t="s">
        <v>2097</v>
      </c>
    </row>
    <row r="360" spans="1:65" s="2" customFormat="1">
      <c r="A360" s="34"/>
      <c r="B360" s="35"/>
      <c r="C360" s="34"/>
      <c r="D360" s="153" t="s">
        <v>187</v>
      </c>
      <c r="E360" s="34"/>
      <c r="F360" s="154" t="s">
        <v>2098</v>
      </c>
      <c r="G360" s="34"/>
      <c r="H360" s="34"/>
      <c r="I360" s="155"/>
      <c r="J360" s="34"/>
      <c r="K360" s="34"/>
      <c r="L360" s="35"/>
      <c r="M360" s="156"/>
      <c r="N360" s="157"/>
      <c r="O360" s="55"/>
      <c r="P360" s="55"/>
      <c r="Q360" s="55"/>
      <c r="R360" s="55"/>
      <c r="S360" s="55"/>
      <c r="T360" s="56"/>
      <c r="U360" s="34"/>
      <c r="V360" s="34"/>
      <c r="W360" s="34"/>
      <c r="X360" s="34"/>
      <c r="Y360" s="34"/>
      <c r="Z360" s="34"/>
      <c r="AA360" s="34"/>
      <c r="AB360" s="34"/>
      <c r="AC360" s="34"/>
      <c r="AD360" s="34"/>
      <c r="AE360" s="34"/>
      <c r="AT360" s="19" t="s">
        <v>187</v>
      </c>
      <c r="AU360" s="19" t="s">
        <v>87</v>
      </c>
    </row>
    <row r="361" spans="1:65" s="13" customFormat="1">
      <c r="B361" s="161"/>
      <c r="D361" s="153" t="s">
        <v>193</v>
      </c>
      <c r="E361" s="162" t="s">
        <v>3</v>
      </c>
      <c r="F361" s="163" t="s">
        <v>2099</v>
      </c>
      <c r="H361" s="164">
        <v>3.6999999999999998E-2</v>
      </c>
      <c r="I361" s="165"/>
      <c r="L361" s="161"/>
      <c r="M361" s="166"/>
      <c r="N361" s="167"/>
      <c r="O361" s="167"/>
      <c r="P361" s="167"/>
      <c r="Q361" s="167"/>
      <c r="R361" s="167"/>
      <c r="S361" s="167"/>
      <c r="T361" s="168"/>
      <c r="AT361" s="162" t="s">
        <v>193</v>
      </c>
      <c r="AU361" s="162" t="s">
        <v>87</v>
      </c>
      <c r="AV361" s="13" t="s">
        <v>87</v>
      </c>
      <c r="AW361" s="13" t="s">
        <v>36</v>
      </c>
      <c r="AX361" s="13" t="s">
        <v>85</v>
      </c>
      <c r="AY361" s="162" t="s">
        <v>177</v>
      </c>
    </row>
    <row r="362" spans="1:65" s="13" customFormat="1">
      <c r="B362" s="161"/>
      <c r="D362" s="153" t="s">
        <v>193</v>
      </c>
      <c r="F362" s="163" t="s">
        <v>2100</v>
      </c>
      <c r="H362" s="164">
        <v>4.1000000000000002E-2</v>
      </c>
      <c r="I362" s="165"/>
      <c r="L362" s="161"/>
      <c r="M362" s="166"/>
      <c r="N362" s="167"/>
      <c r="O362" s="167"/>
      <c r="P362" s="167"/>
      <c r="Q362" s="167"/>
      <c r="R362" s="167"/>
      <c r="S362" s="167"/>
      <c r="T362" s="168"/>
      <c r="AT362" s="162" t="s">
        <v>193</v>
      </c>
      <c r="AU362" s="162" t="s">
        <v>87</v>
      </c>
      <c r="AV362" s="13" t="s">
        <v>87</v>
      </c>
      <c r="AW362" s="13" t="s">
        <v>4</v>
      </c>
      <c r="AX362" s="13" t="s">
        <v>85</v>
      </c>
      <c r="AY362" s="162" t="s">
        <v>177</v>
      </c>
    </row>
    <row r="363" spans="1:65" s="2" customFormat="1" ht="16.5" customHeight="1">
      <c r="A363" s="34"/>
      <c r="B363" s="139"/>
      <c r="C363" s="140" t="s">
        <v>1192</v>
      </c>
      <c r="D363" s="140" t="s">
        <v>180</v>
      </c>
      <c r="E363" s="141" t="s">
        <v>1648</v>
      </c>
      <c r="F363" s="142" t="s">
        <v>1649</v>
      </c>
      <c r="G363" s="143" t="s">
        <v>183</v>
      </c>
      <c r="H363" s="144">
        <v>4.2999999999999997E-2</v>
      </c>
      <c r="I363" s="145"/>
      <c r="J363" s="146">
        <f>ROUND(I363*H363,2)</f>
        <v>0</v>
      </c>
      <c r="K363" s="142" t="s">
        <v>184</v>
      </c>
      <c r="L363" s="35"/>
      <c r="M363" s="147" t="s">
        <v>3</v>
      </c>
      <c r="N363" s="148" t="s">
        <v>48</v>
      </c>
      <c r="O363" s="55"/>
      <c r="P363" s="149">
        <f>O363*H363</f>
        <v>0</v>
      </c>
      <c r="Q363" s="149">
        <v>0</v>
      </c>
      <c r="R363" s="149">
        <f>Q363*H363</f>
        <v>0</v>
      </c>
      <c r="S363" s="149">
        <v>0</v>
      </c>
      <c r="T363" s="150">
        <f>S363*H363</f>
        <v>0</v>
      </c>
      <c r="U363" s="34"/>
      <c r="V363" s="34"/>
      <c r="W363" s="34"/>
      <c r="X363" s="34"/>
      <c r="Y363" s="34"/>
      <c r="Z363" s="34"/>
      <c r="AA363" s="34"/>
      <c r="AB363" s="34"/>
      <c r="AC363" s="34"/>
      <c r="AD363" s="34"/>
      <c r="AE363" s="34"/>
      <c r="AR363" s="151" t="s">
        <v>237</v>
      </c>
      <c r="AT363" s="151" t="s">
        <v>180</v>
      </c>
      <c r="AU363" s="151" t="s">
        <v>87</v>
      </c>
      <c r="AY363" s="19" t="s">
        <v>177</v>
      </c>
      <c r="BE363" s="152">
        <f>IF(N363="základní",J363,0)</f>
        <v>0</v>
      </c>
      <c r="BF363" s="152">
        <f>IF(N363="snížená",J363,0)</f>
        <v>0</v>
      </c>
      <c r="BG363" s="152">
        <f>IF(N363="zákl. přenesená",J363,0)</f>
        <v>0</v>
      </c>
      <c r="BH363" s="152">
        <f>IF(N363="sníž. přenesená",J363,0)</f>
        <v>0</v>
      </c>
      <c r="BI363" s="152">
        <f>IF(N363="nulová",J363,0)</f>
        <v>0</v>
      </c>
      <c r="BJ363" s="19" t="s">
        <v>85</v>
      </c>
      <c r="BK363" s="152">
        <f>ROUND(I363*H363,2)</f>
        <v>0</v>
      </c>
      <c r="BL363" s="19" t="s">
        <v>237</v>
      </c>
      <c r="BM363" s="151" t="s">
        <v>2101</v>
      </c>
    </row>
    <row r="364" spans="1:65" s="2" customFormat="1" ht="19.5">
      <c r="A364" s="34"/>
      <c r="B364" s="35"/>
      <c r="C364" s="34"/>
      <c r="D364" s="153" t="s">
        <v>187</v>
      </c>
      <c r="E364" s="34"/>
      <c r="F364" s="154" t="s">
        <v>1651</v>
      </c>
      <c r="G364" s="34"/>
      <c r="H364" s="34"/>
      <c r="I364" s="155"/>
      <c r="J364" s="34"/>
      <c r="K364" s="34"/>
      <c r="L364" s="35"/>
      <c r="M364" s="156"/>
      <c r="N364" s="157"/>
      <c r="O364" s="55"/>
      <c r="P364" s="55"/>
      <c r="Q364" s="55"/>
      <c r="R364" s="55"/>
      <c r="S364" s="55"/>
      <c r="T364" s="56"/>
      <c r="U364" s="34"/>
      <c r="V364" s="34"/>
      <c r="W364" s="34"/>
      <c r="X364" s="34"/>
      <c r="Y364" s="34"/>
      <c r="Z364" s="34"/>
      <c r="AA364" s="34"/>
      <c r="AB364" s="34"/>
      <c r="AC364" s="34"/>
      <c r="AD364" s="34"/>
      <c r="AE364" s="34"/>
      <c r="AT364" s="19" t="s">
        <v>187</v>
      </c>
      <c r="AU364" s="19" t="s">
        <v>87</v>
      </c>
    </row>
    <row r="365" spans="1:65" s="2" customFormat="1">
      <c r="A365" s="34"/>
      <c r="B365" s="35"/>
      <c r="C365" s="34"/>
      <c r="D365" s="158" t="s">
        <v>189</v>
      </c>
      <c r="E365" s="34"/>
      <c r="F365" s="159" t="s">
        <v>1652</v>
      </c>
      <c r="G365" s="34"/>
      <c r="H365" s="34"/>
      <c r="I365" s="155"/>
      <c r="J365" s="34"/>
      <c r="K365" s="34"/>
      <c r="L365" s="35"/>
      <c r="M365" s="156"/>
      <c r="N365" s="157"/>
      <c r="O365" s="55"/>
      <c r="P365" s="55"/>
      <c r="Q365" s="55"/>
      <c r="R365" s="55"/>
      <c r="S365" s="55"/>
      <c r="T365" s="56"/>
      <c r="U365" s="34"/>
      <c r="V365" s="34"/>
      <c r="W365" s="34"/>
      <c r="X365" s="34"/>
      <c r="Y365" s="34"/>
      <c r="Z365" s="34"/>
      <c r="AA365" s="34"/>
      <c r="AB365" s="34"/>
      <c r="AC365" s="34"/>
      <c r="AD365" s="34"/>
      <c r="AE365" s="34"/>
      <c r="AT365" s="19" t="s">
        <v>189</v>
      </c>
      <c r="AU365" s="19" t="s">
        <v>87</v>
      </c>
    </row>
    <row r="366" spans="1:65" s="2" customFormat="1" ht="78">
      <c r="A366" s="34"/>
      <c r="B366" s="35"/>
      <c r="C366" s="34"/>
      <c r="D366" s="153" t="s">
        <v>191</v>
      </c>
      <c r="E366" s="34"/>
      <c r="F366" s="160" t="s">
        <v>1653</v>
      </c>
      <c r="G366" s="34"/>
      <c r="H366" s="34"/>
      <c r="I366" s="155"/>
      <c r="J366" s="34"/>
      <c r="K366" s="34"/>
      <c r="L366" s="35"/>
      <c r="M366" s="156"/>
      <c r="N366" s="157"/>
      <c r="O366" s="55"/>
      <c r="P366" s="55"/>
      <c r="Q366" s="55"/>
      <c r="R366" s="55"/>
      <c r="S366" s="55"/>
      <c r="T366" s="56"/>
      <c r="U366" s="34"/>
      <c r="V366" s="34"/>
      <c r="W366" s="34"/>
      <c r="X366" s="34"/>
      <c r="Y366" s="34"/>
      <c r="Z366" s="34"/>
      <c r="AA366" s="34"/>
      <c r="AB366" s="34"/>
      <c r="AC366" s="34"/>
      <c r="AD366" s="34"/>
      <c r="AE366" s="34"/>
      <c r="AT366" s="19" t="s">
        <v>191</v>
      </c>
      <c r="AU366" s="19" t="s">
        <v>87</v>
      </c>
    </row>
    <row r="367" spans="1:65" s="2" customFormat="1" ht="16.5" customHeight="1">
      <c r="A367" s="34"/>
      <c r="B367" s="139"/>
      <c r="C367" s="140" t="s">
        <v>1195</v>
      </c>
      <c r="D367" s="140" t="s">
        <v>180</v>
      </c>
      <c r="E367" s="141" t="s">
        <v>1654</v>
      </c>
      <c r="F367" s="142" t="s">
        <v>1655</v>
      </c>
      <c r="G367" s="143" t="s">
        <v>183</v>
      </c>
      <c r="H367" s="144">
        <v>4.2999999999999997E-2</v>
      </c>
      <c r="I367" s="145"/>
      <c r="J367" s="146">
        <f>ROUND(I367*H367,2)</f>
        <v>0</v>
      </c>
      <c r="K367" s="142" t="s">
        <v>184</v>
      </c>
      <c r="L367" s="35"/>
      <c r="M367" s="147" t="s">
        <v>3</v>
      </c>
      <c r="N367" s="148" t="s">
        <v>48</v>
      </c>
      <c r="O367" s="55"/>
      <c r="P367" s="149">
        <f>O367*H367</f>
        <v>0</v>
      </c>
      <c r="Q367" s="149">
        <v>0</v>
      </c>
      <c r="R367" s="149">
        <f>Q367*H367</f>
        <v>0</v>
      </c>
      <c r="S367" s="149">
        <v>0</v>
      </c>
      <c r="T367" s="150">
        <f>S367*H367</f>
        <v>0</v>
      </c>
      <c r="U367" s="34"/>
      <c r="V367" s="34"/>
      <c r="W367" s="34"/>
      <c r="X367" s="34"/>
      <c r="Y367" s="34"/>
      <c r="Z367" s="34"/>
      <c r="AA367" s="34"/>
      <c r="AB367" s="34"/>
      <c r="AC367" s="34"/>
      <c r="AD367" s="34"/>
      <c r="AE367" s="34"/>
      <c r="AR367" s="151" t="s">
        <v>237</v>
      </c>
      <c r="AT367" s="151" t="s">
        <v>180</v>
      </c>
      <c r="AU367" s="151" t="s">
        <v>87</v>
      </c>
      <c r="AY367" s="19" t="s">
        <v>177</v>
      </c>
      <c r="BE367" s="152">
        <f>IF(N367="základní",J367,0)</f>
        <v>0</v>
      </c>
      <c r="BF367" s="152">
        <f>IF(N367="snížená",J367,0)</f>
        <v>0</v>
      </c>
      <c r="BG367" s="152">
        <f>IF(N367="zákl. přenesená",J367,0)</f>
        <v>0</v>
      </c>
      <c r="BH367" s="152">
        <f>IF(N367="sníž. přenesená",J367,0)</f>
        <v>0</v>
      </c>
      <c r="BI367" s="152">
        <f>IF(N367="nulová",J367,0)</f>
        <v>0</v>
      </c>
      <c r="BJ367" s="19" t="s">
        <v>85</v>
      </c>
      <c r="BK367" s="152">
        <f>ROUND(I367*H367,2)</f>
        <v>0</v>
      </c>
      <c r="BL367" s="19" t="s">
        <v>237</v>
      </c>
      <c r="BM367" s="151" t="s">
        <v>2102</v>
      </c>
    </row>
    <row r="368" spans="1:65" s="2" customFormat="1" ht="19.5">
      <c r="A368" s="34"/>
      <c r="B368" s="35"/>
      <c r="C368" s="34"/>
      <c r="D368" s="153" t="s">
        <v>187</v>
      </c>
      <c r="E368" s="34"/>
      <c r="F368" s="154" t="s">
        <v>1657</v>
      </c>
      <c r="G368" s="34"/>
      <c r="H368" s="34"/>
      <c r="I368" s="155"/>
      <c r="J368" s="34"/>
      <c r="K368" s="34"/>
      <c r="L368" s="35"/>
      <c r="M368" s="156"/>
      <c r="N368" s="157"/>
      <c r="O368" s="55"/>
      <c r="P368" s="55"/>
      <c r="Q368" s="55"/>
      <c r="R368" s="55"/>
      <c r="S368" s="55"/>
      <c r="T368" s="56"/>
      <c r="U368" s="34"/>
      <c r="V368" s="34"/>
      <c r="W368" s="34"/>
      <c r="X368" s="34"/>
      <c r="Y368" s="34"/>
      <c r="Z368" s="34"/>
      <c r="AA368" s="34"/>
      <c r="AB368" s="34"/>
      <c r="AC368" s="34"/>
      <c r="AD368" s="34"/>
      <c r="AE368" s="34"/>
      <c r="AT368" s="19" t="s">
        <v>187</v>
      </c>
      <c r="AU368" s="19" t="s">
        <v>87</v>
      </c>
    </row>
    <row r="369" spans="1:65" s="2" customFormat="1">
      <c r="A369" s="34"/>
      <c r="B369" s="35"/>
      <c r="C369" s="34"/>
      <c r="D369" s="158" t="s">
        <v>189</v>
      </c>
      <c r="E369" s="34"/>
      <c r="F369" s="159" t="s">
        <v>1658</v>
      </c>
      <c r="G369" s="34"/>
      <c r="H369" s="34"/>
      <c r="I369" s="155"/>
      <c r="J369" s="34"/>
      <c r="K369" s="34"/>
      <c r="L369" s="35"/>
      <c r="M369" s="156"/>
      <c r="N369" s="157"/>
      <c r="O369" s="55"/>
      <c r="P369" s="55"/>
      <c r="Q369" s="55"/>
      <c r="R369" s="55"/>
      <c r="S369" s="55"/>
      <c r="T369" s="56"/>
      <c r="U369" s="34"/>
      <c r="V369" s="34"/>
      <c r="W369" s="34"/>
      <c r="X369" s="34"/>
      <c r="Y369" s="34"/>
      <c r="Z369" s="34"/>
      <c r="AA369" s="34"/>
      <c r="AB369" s="34"/>
      <c r="AC369" s="34"/>
      <c r="AD369" s="34"/>
      <c r="AE369" s="34"/>
      <c r="AT369" s="19" t="s">
        <v>189</v>
      </c>
      <c r="AU369" s="19" t="s">
        <v>87</v>
      </c>
    </row>
    <row r="370" spans="1:65" s="2" customFormat="1" ht="78">
      <c r="A370" s="34"/>
      <c r="B370" s="35"/>
      <c r="C370" s="34"/>
      <c r="D370" s="153" t="s">
        <v>191</v>
      </c>
      <c r="E370" s="34"/>
      <c r="F370" s="160" t="s">
        <v>1653</v>
      </c>
      <c r="G370" s="34"/>
      <c r="H370" s="34"/>
      <c r="I370" s="155"/>
      <c r="J370" s="34"/>
      <c r="K370" s="34"/>
      <c r="L370" s="35"/>
      <c r="M370" s="156"/>
      <c r="N370" s="157"/>
      <c r="O370" s="55"/>
      <c r="P370" s="55"/>
      <c r="Q370" s="55"/>
      <c r="R370" s="55"/>
      <c r="S370" s="55"/>
      <c r="T370" s="56"/>
      <c r="U370" s="34"/>
      <c r="V370" s="34"/>
      <c r="W370" s="34"/>
      <c r="X370" s="34"/>
      <c r="Y370" s="34"/>
      <c r="Z370" s="34"/>
      <c r="AA370" s="34"/>
      <c r="AB370" s="34"/>
      <c r="AC370" s="34"/>
      <c r="AD370" s="34"/>
      <c r="AE370" s="34"/>
      <c r="AT370" s="19" t="s">
        <v>191</v>
      </c>
      <c r="AU370" s="19" t="s">
        <v>87</v>
      </c>
    </row>
    <row r="371" spans="1:65" s="12" customFormat="1" ht="25.9" customHeight="1">
      <c r="B371" s="126"/>
      <c r="D371" s="127" t="s">
        <v>76</v>
      </c>
      <c r="E371" s="128" t="s">
        <v>313</v>
      </c>
      <c r="F371" s="128" t="s">
        <v>314</v>
      </c>
      <c r="I371" s="129"/>
      <c r="J371" s="130">
        <f>BK371</f>
        <v>0</v>
      </c>
      <c r="L371" s="126"/>
      <c r="M371" s="131"/>
      <c r="N371" s="132"/>
      <c r="O371" s="132"/>
      <c r="P371" s="133">
        <f>SUM(P372:P374)</f>
        <v>0</v>
      </c>
      <c r="Q371" s="132"/>
      <c r="R371" s="133">
        <f>SUM(R372:R374)</f>
        <v>0</v>
      </c>
      <c r="S371" s="132"/>
      <c r="T371" s="134">
        <f>SUM(T372:T374)</f>
        <v>0</v>
      </c>
      <c r="AR371" s="127" t="s">
        <v>185</v>
      </c>
      <c r="AT371" s="135" t="s">
        <v>76</v>
      </c>
      <c r="AU371" s="135" t="s">
        <v>77</v>
      </c>
      <c r="AY371" s="127" t="s">
        <v>177</v>
      </c>
      <c r="BK371" s="136">
        <f>SUM(BK372:BK374)</f>
        <v>0</v>
      </c>
    </row>
    <row r="372" spans="1:65" s="2" customFormat="1" ht="16.5" customHeight="1">
      <c r="A372" s="34"/>
      <c r="B372" s="139"/>
      <c r="C372" s="140" t="s">
        <v>1203</v>
      </c>
      <c r="D372" s="140" t="s">
        <v>180</v>
      </c>
      <c r="E372" s="141" t="s">
        <v>528</v>
      </c>
      <c r="F372" s="142" t="s">
        <v>529</v>
      </c>
      <c r="G372" s="143" t="s">
        <v>305</v>
      </c>
      <c r="H372" s="144">
        <v>50</v>
      </c>
      <c r="I372" s="145"/>
      <c r="J372" s="146">
        <f>ROUND(I372*H372,2)</f>
        <v>0</v>
      </c>
      <c r="K372" s="142" t="s">
        <v>184</v>
      </c>
      <c r="L372" s="35"/>
      <c r="M372" s="147" t="s">
        <v>3</v>
      </c>
      <c r="N372" s="148" t="s">
        <v>48</v>
      </c>
      <c r="O372" s="55"/>
      <c r="P372" s="149">
        <f>O372*H372</f>
        <v>0</v>
      </c>
      <c r="Q372" s="149">
        <v>0</v>
      </c>
      <c r="R372" s="149">
        <f>Q372*H372</f>
        <v>0</v>
      </c>
      <c r="S372" s="149">
        <v>0</v>
      </c>
      <c r="T372" s="150">
        <f>S372*H372</f>
        <v>0</v>
      </c>
      <c r="U372" s="34"/>
      <c r="V372" s="34"/>
      <c r="W372" s="34"/>
      <c r="X372" s="34"/>
      <c r="Y372" s="34"/>
      <c r="Z372" s="34"/>
      <c r="AA372" s="34"/>
      <c r="AB372" s="34"/>
      <c r="AC372" s="34"/>
      <c r="AD372" s="34"/>
      <c r="AE372" s="34"/>
      <c r="AR372" s="151" t="s">
        <v>318</v>
      </c>
      <c r="AT372" s="151" t="s">
        <v>180</v>
      </c>
      <c r="AU372" s="151" t="s">
        <v>85</v>
      </c>
      <c r="AY372" s="19" t="s">
        <v>177</v>
      </c>
      <c r="BE372" s="152">
        <f>IF(N372="základní",J372,0)</f>
        <v>0</v>
      </c>
      <c r="BF372" s="152">
        <f>IF(N372="snížená",J372,0)</f>
        <v>0</v>
      </c>
      <c r="BG372" s="152">
        <f>IF(N372="zákl. přenesená",J372,0)</f>
        <v>0</v>
      </c>
      <c r="BH372" s="152">
        <f>IF(N372="sníž. přenesená",J372,0)</f>
        <v>0</v>
      </c>
      <c r="BI372" s="152">
        <f>IF(N372="nulová",J372,0)</f>
        <v>0</v>
      </c>
      <c r="BJ372" s="19" t="s">
        <v>85</v>
      </c>
      <c r="BK372" s="152">
        <f>ROUND(I372*H372,2)</f>
        <v>0</v>
      </c>
      <c r="BL372" s="19" t="s">
        <v>318</v>
      </c>
      <c r="BM372" s="151" t="s">
        <v>2103</v>
      </c>
    </row>
    <row r="373" spans="1:65" s="2" customFormat="1">
      <c r="A373" s="34"/>
      <c r="B373" s="35"/>
      <c r="C373" s="34"/>
      <c r="D373" s="153" t="s">
        <v>187</v>
      </c>
      <c r="E373" s="34"/>
      <c r="F373" s="154" t="s">
        <v>531</v>
      </c>
      <c r="G373" s="34"/>
      <c r="H373" s="34"/>
      <c r="I373" s="155"/>
      <c r="J373" s="34"/>
      <c r="K373" s="34"/>
      <c r="L373" s="35"/>
      <c r="M373" s="156"/>
      <c r="N373" s="157"/>
      <c r="O373" s="55"/>
      <c r="P373" s="55"/>
      <c r="Q373" s="55"/>
      <c r="R373" s="55"/>
      <c r="S373" s="55"/>
      <c r="T373" s="56"/>
      <c r="U373" s="34"/>
      <c r="V373" s="34"/>
      <c r="W373" s="34"/>
      <c r="X373" s="34"/>
      <c r="Y373" s="34"/>
      <c r="Z373" s="34"/>
      <c r="AA373" s="34"/>
      <c r="AB373" s="34"/>
      <c r="AC373" s="34"/>
      <c r="AD373" s="34"/>
      <c r="AE373" s="34"/>
      <c r="AT373" s="19" t="s">
        <v>187</v>
      </c>
      <c r="AU373" s="19" t="s">
        <v>85</v>
      </c>
    </row>
    <row r="374" spans="1:65" s="2" customFormat="1">
      <c r="A374" s="34"/>
      <c r="B374" s="35"/>
      <c r="C374" s="34"/>
      <c r="D374" s="158" t="s">
        <v>189</v>
      </c>
      <c r="E374" s="34"/>
      <c r="F374" s="159" t="s">
        <v>532</v>
      </c>
      <c r="G374" s="34"/>
      <c r="H374" s="34"/>
      <c r="I374" s="155"/>
      <c r="J374" s="34"/>
      <c r="K374" s="34"/>
      <c r="L374" s="35"/>
      <c r="M374" s="205"/>
      <c r="N374" s="206"/>
      <c r="O374" s="207"/>
      <c r="P374" s="207"/>
      <c r="Q374" s="207"/>
      <c r="R374" s="207"/>
      <c r="S374" s="207"/>
      <c r="T374" s="208"/>
      <c r="U374" s="34"/>
      <c r="V374" s="34"/>
      <c r="W374" s="34"/>
      <c r="X374" s="34"/>
      <c r="Y374" s="34"/>
      <c r="Z374" s="34"/>
      <c r="AA374" s="34"/>
      <c r="AB374" s="34"/>
      <c r="AC374" s="34"/>
      <c r="AD374" s="34"/>
      <c r="AE374" s="34"/>
      <c r="AT374" s="19" t="s">
        <v>189</v>
      </c>
      <c r="AU374" s="19" t="s">
        <v>85</v>
      </c>
    </row>
    <row r="375" spans="1:65" s="2" customFormat="1" ht="6.95" customHeight="1">
      <c r="A375" s="34"/>
      <c r="B375" s="44"/>
      <c r="C375" s="45"/>
      <c r="D375" s="45"/>
      <c r="E375" s="45"/>
      <c r="F375" s="45"/>
      <c r="G375" s="45"/>
      <c r="H375" s="45"/>
      <c r="I375" s="45"/>
      <c r="J375" s="45"/>
      <c r="K375" s="45"/>
      <c r="L375" s="35"/>
      <c r="M375" s="34"/>
      <c r="O375" s="34"/>
      <c r="P375" s="34"/>
      <c r="Q375" s="34"/>
      <c r="R375" s="34"/>
      <c r="S375" s="34"/>
      <c r="T375" s="34"/>
      <c r="U375" s="34"/>
      <c r="V375" s="34"/>
      <c r="W375" s="34"/>
      <c r="X375" s="34"/>
      <c r="Y375" s="34"/>
      <c r="Z375" s="34"/>
      <c r="AA375" s="34"/>
      <c r="AB375" s="34"/>
      <c r="AC375" s="34"/>
      <c r="AD375" s="34"/>
      <c r="AE375" s="34"/>
    </row>
  </sheetData>
  <autoFilter ref="C90:K374"/>
  <mergeCells count="9">
    <mergeCell ref="E50:H50"/>
    <mergeCell ref="E81:H81"/>
    <mergeCell ref="E83:H83"/>
    <mergeCell ref="L2:V2"/>
    <mergeCell ref="E7:H7"/>
    <mergeCell ref="E9:H9"/>
    <mergeCell ref="E18:H18"/>
    <mergeCell ref="E27:H27"/>
    <mergeCell ref="E48:H48"/>
  </mergeCells>
  <hyperlinks>
    <hyperlink ref="F96" r:id="rId1"/>
    <hyperlink ref="F102" r:id="rId2"/>
    <hyperlink ref="F106" r:id="rId3"/>
    <hyperlink ref="F110" r:id="rId4"/>
    <hyperlink ref="F114" r:id="rId5"/>
    <hyperlink ref="F120" r:id="rId6"/>
    <hyperlink ref="F127" r:id="rId7"/>
    <hyperlink ref="F148" r:id="rId8"/>
    <hyperlink ref="F157" r:id="rId9"/>
    <hyperlink ref="F165" r:id="rId10"/>
    <hyperlink ref="F169" r:id="rId11"/>
    <hyperlink ref="F176" r:id="rId12"/>
    <hyperlink ref="F180" r:id="rId13"/>
    <hyperlink ref="F188" r:id="rId14"/>
    <hyperlink ref="F195" r:id="rId15"/>
    <hyperlink ref="F199" r:id="rId16"/>
    <hyperlink ref="F203" r:id="rId17"/>
    <hyperlink ref="F212" r:id="rId18"/>
    <hyperlink ref="F215" r:id="rId19"/>
    <hyperlink ref="F219" r:id="rId20"/>
    <hyperlink ref="F222" r:id="rId21"/>
    <hyperlink ref="F227" r:id="rId22"/>
    <hyperlink ref="F232" r:id="rId23"/>
    <hyperlink ref="F236" r:id="rId24"/>
    <hyperlink ref="F240" r:id="rId25"/>
    <hyperlink ref="F250" r:id="rId26"/>
    <hyperlink ref="F254" r:id="rId27"/>
    <hyperlink ref="F266" r:id="rId28"/>
    <hyperlink ref="F276" r:id="rId29"/>
    <hyperlink ref="F285" r:id="rId30"/>
    <hyperlink ref="F291" r:id="rId31"/>
    <hyperlink ref="F295" r:id="rId32"/>
    <hyperlink ref="F299" r:id="rId33"/>
    <hyperlink ref="F303" r:id="rId34"/>
    <hyperlink ref="F309" r:id="rId35"/>
    <hyperlink ref="F313" r:id="rId36"/>
    <hyperlink ref="F318" r:id="rId37"/>
    <hyperlink ref="F322" r:id="rId38"/>
    <hyperlink ref="F327" r:id="rId39"/>
    <hyperlink ref="F332" r:id="rId40"/>
    <hyperlink ref="F338" r:id="rId41"/>
    <hyperlink ref="F347" r:id="rId42"/>
    <hyperlink ref="F351" r:id="rId43"/>
    <hyperlink ref="F356" r:id="rId44"/>
    <hyperlink ref="F365" r:id="rId45"/>
    <hyperlink ref="F369" r:id="rId46"/>
    <hyperlink ref="F374" r:id="rId47"/>
  </hyperlinks>
  <pageMargins left="0.39374999999999999" right="0.39374999999999999" top="0.39374999999999999" bottom="0.39374999999999999" header="0" footer="0"/>
  <pageSetup paperSize="9" scale="84" fitToHeight="100" orientation="landscape" blackAndWhite="1" r:id="rId48"/>
  <headerFooter>
    <oddFooter>&amp;CStrana &amp;P z &amp;N</oddFooter>
  </headerFooter>
  <drawing r:id="rId4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2"/>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120</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30" customHeight="1">
      <c r="A9" s="34"/>
      <c r="B9" s="35"/>
      <c r="C9" s="34"/>
      <c r="D9" s="34"/>
      <c r="E9" s="432" t="s">
        <v>2104</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ROUND(J88,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ROUND((SUM(BE88:BE321)),  2)</f>
        <v>0</v>
      </c>
      <c r="G33" s="34"/>
      <c r="H33" s="34"/>
      <c r="I33" s="98">
        <v>0.21</v>
      </c>
      <c r="J33" s="97">
        <f>ROUND(((SUM(BE88:BE321))*I33),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ROUND((SUM(BF88:BF321)),  2)</f>
        <v>0</v>
      </c>
      <c r="G34" s="34"/>
      <c r="H34" s="34"/>
      <c r="I34" s="98">
        <v>0.15</v>
      </c>
      <c r="J34" s="97">
        <f>ROUND(((SUM(BF88:BF321))*I34),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ROUND((SUM(BG88:BG321)),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ROUND((SUM(BH88:BH321)),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ROUND((SUM(BI88:BI321)),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30" customHeight="1">
      <c r="A50" s="34"/>
      <c r="B50" s="35"/>
      <c r="C50" s="34"/>
      <c r="D50" s="34"/>
      <c r="E50" s="432" t="str">
        <f>E9</f>
        <v>E12 - Osazení výplní pláště, rozvody TZB, vnitřní omítky, těžké plovoucí podlahy, sta. úpravy a oprava ter</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J88</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J89</f>
        <v>0</v>
      </c>
      <c r="L60" s="108"/>
    </row>
    <row r="61" spans="1:47" s="10" customFormat="1" ht="19.899999999999999" customHeight="1">
      <c r="B61" s="112"/>
      <c r="D61" s="113" t="s">
        <v>547</v>
      </c>
      <c r="E61" s="114"/>
      <c r="F61" s="114"/>
      <c r="G61" s="114"/>
      <c r="H61" s="114"/>
      <c r="I61" s="114"/>
      <c r="J61" s="115">
        <f>J90</f>
        <v>0</v>
      </c>
      <c r="L61" s="112"/>
    </row>
    <row r="62" spans="1:47" s="10" customFormat="1" ht="19.899999999999999" customHeight="1">
      <c r="B62" s="112"/>
      <c r="D62" s="113" t="s">
        <v>325</v>
      </c>
      <c r="E62" s="114"/>
      <c r="F62" s="114"/>
      <c r="G62" s="114"/>
      <c r="H62" s="114"/>
      <c r="I62" s="114"/>
      <c r="J62" s="115">
        <f>J190</f>
        <v>0</v>
      </c>
      <c r="L62" s="112"/>
    </row>
    <row r="63" spans="1:47" s="10" customFormat="1" ht="19.899999999999999" customHeight="1">
      <c r="B63" s="112"/>
      <c r="D63" s="113" t="s">
        <v>154</v>
      </c>
      <c r="E63" s="114"/>
      <c r="F63" s="114"/>
      <c r="G63" s="114"/>
      <c r="H63" s="114"/>
      <c r="I63" s="114"/>
      <c r="J63" s="115">
        <f>J211</f>
        <v>0</v>
      </c>
      <c r="L63" s="112"/>
    </row>
    <row r="64" spans="1:47" s="10" customFormat="1" ht="19.899999999999999" customHeight="1">
      <c r="B64" s="112"/>
      <c r="D64" s="113" t="s">
        <v>326</v>
      </c>
      <c r="E64" s="114"/>
      <c r="F64" s="114"/>
      <c r="G64" s="114"/>
      <c r="H64" s="114"/>
      <c r="I64" s="114"/>
      <c r="J64" s="115">
        <f>J234</f>
        <v>0</v>
      </c>
      <c r="L64" s="112"/>
    </row>
    <row r="65" spans="1:31" s="9" customFormat="1" ht="24.95" customHeight="1">
      <c r="B65" s="108"/>
      <c r="D65" s="109" t="s">
        <v>155</v>
      </c>
      <c r="E65" s="110"/>
      <c r="F65" s="110"/>
      <c r="G65" s="110"/>
      <c r="H65" s="110"/>
      <c r="I65" s="110"/>
      <c r="J65" s="111">
        <f>J239</f>
        <v>0</v>
      </c>
      <c r="L65" s="108"/>
    </row>
    <row r="66" spans="1:31" s="10" customFormat="1" ht="19.899999999999999" customHeight="1">
      <c r="B66" s="112"/>
      <c r="D66" s="113" t="s">
        <v>549</v>
      </c>
      <c r="E66" s="114"/>
      <c r="F66" s="114"/>
      <c r="G66" s="114"/>
      <c r="H66" s="114"/>
      <c r="I66" s="114"/>
      <c r="J66" s="115">
        <f>J240</f>
        <v>0</v>
      </c>
      <c r="L66" s="112"/>
    </row>
    <row r="67" spans="1:31" s="10" customFormat="1" ht="19.899999999999999" customHeight="1">
      <c r="B67" s="112"/>
      <c r="D67" s="113" t="s">
        <v>1477</v>
      </c>
      <c r="E67" s="114"/>
      <c r="F67" s="114"/>
      <c r="G67" s="114"/>
      <c r="H67" s="114"/>
      <c r="I67" s="114"/>
      <c r="J67" s="115">
        <f>J266</f>
        <v>0</v>
      </c>
      <c r="L67" s="112"/>
    </row>
    <row r="68" spans="1:31" s="9" customFormat="1" ht="24.95" customHeight="1">
      <c r="B68" s="108"/>
      <c r="D68" s="109" t="s">
        <v>161</v>
      </c>
      <c r="E68" s="110"/>
      <c r="F68" s="110"/>
      <c r="G68" s="110"/>
      <c r="H68" s="110"/>
      <c r="I68" s="110"/>
      <c r="J68" s="111">
        <f>J318</f>
        <v>0</v>
      </c>
      <c r="L68" s="108"/>
    </row>
    <row r="69" spans="1:31" s="2" customFormat="1" ht="21.75" customHeight="1">
      <c r="A69" s="34"/>
      <c r="B69" s="35"/>
      <c r="C69" s="34"/>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1"/>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1"/>
      <c r="S74" s="34"/>
      <c r="T74" s="34"/>
      <c r="U74" s="34"/>
      <c r="V74" s="34"/>
      <c r="W74" s="34"/>
      <c r="X74" s="34"/>
      <c r="Y74" s="34"/>
      <c r="Z74" s="34"/>
      <c r="AA74" s="34"/>
      <c r="AB74" s="34"/>
      <c r="AC74" s="34"/>
      <c r="AD74" s="34"/>
      <c r="AE74" s="34"/>
    </row>
    <row r="75" spans="1:31" s="2" customFormat="1" ht="24.95" customHeight="1">
      <c r="A75" s="34"/>
      <c r="B75" s="35"/>
      <c r="C75" s="23" t="s">
        <v>162</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436" t="str">
        <f>E7</f>
        <v>ZŠ P. HOLÉHO - PŘESTAVBA PLAVECKÉHO PAVILONU</v>
      </c>
      <c r="F78" s="437"/>
      <c r="G78" s="437"/>
      <c r="H78" s="437"/>
      <c r="I78" s="34"/>
      <c r="J78" s="34"/>
      <c r="K78" s="34"/>
      <c r="L78" s="91"/>
      <c r="S78" s="34"/>
      <c r="T78" s="34"/>
      <c r="U78" s="34"/>
      <c r="V78" s="34"/>
      <c r="W78" s="34"/>
      <c r="X78" s="34"/>
      <c r="Y78" s="34"/>
      <c r="Z78" s="34"/>
      <c r="AA78" s="34"/>
      <c r="AB78" s="34"/>
      <c r="AC78" s="34"/>
      <c r="AD78" s="34"/>
      <c r="AE78" s="34"/>
    </row>
    <row r="79" spans="1:31" s="2" customFormat="1" ht="12" customHeight="1">
      <c r="A79" s="34"/>
      <c r="B79" s="35"/>
      <c r="C79" s="29" t="s">
        <v>146</v>
      </c>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30" customHeight="1">
      <c r="A80" s="34"/>
      <c r="B80" s="35"/>
      <c r="C80" s="34"/>
      <c r="D80" s="34"/>
      <c r="E80" s="432" t="str">
        <f>E9</f>
        <v>E12 - Osazení výplní pláště, rozvody TZB, vnitřní omítky, těžké plovoucí podlahy, sta. úpravy a oprava ter</v>
      </c>
      <c r="F80" s="435"/>
      <c r="G80" s="435"/>
      <c r="H80" s="435"/>
      <c r="I80" s="34"/>
      <c r="J80" s="34"/>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F12</f>
        <v>Prokopa Holého 2632, Louny, 440 01</v>
      </c>
      <c r="G82" s="34"/>
      <c r="H82" s="34"/>
      <c r="I82" s="29" t="s">
        <v>23</v>
      </c>
      <c r="J82" s="52" t="str">
        <f>IF(J12="","",J12)</f>
        <v>21. 9. 2022</v>
      </c>
      <c r="K82" s="34"/>
      <c r="L82" s="91"/>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E15</f>
        <v>Město Louny</v>
      </c>
      <c r="G84" s="34"/>
      <c r="H84" s="34"/>
      <c r="I84" s="29" t="s">
        <v>32</v>
      </c>
      <c r="J84" s="32" t="str">
        <f>E21</f>
        <v>RYSIK Design s.r.o.</v>
      </c>
      <c r="K84" s="34"/>
      <c r="L84" s="91"/>
      <c r="S84" s="34"/>
      <c r="T84" s="34"/>
      <c r="U84" s="34"/>
      <c r="V84" s="34"/>
      <c r="W84" s="34"/>
      <c r="X84" s="34"/>
      <c r="Y84" s="34"/>
      <c r="Z84" s="34"/>
      <c r="AA84" s="34"/>
      <c r="AB84" s="34"/>
      <c r="AC84" s="34"/>
      <c r="AD84" s="34"/>
      <c r="AE84" s="34"/>
    </row>
    <row r="85" spans="1:65" s="2" customFormat="1" ht="25.7" customHeight="1">
      <c r="A85" s="34"/>
      <c r="B85" s="35"/>
      <c r="C85" s="29" t="s">
        <v>30</v>
      </c>
      <c r="D85" s="34"/>
      <c r="E85" s="34"/>
      <c r="F85" s="27" t="str">
        <f>IF(E18="","",E18)</f>
        <v>Vyplň údaj</v>
      </c>
      <c r="G85" s="34"/>
      <c r="H85" s="34"/>
      <c r="I85" s="29" t="s">
        <v>37</v>
      </c>
      <c r="J85" s="32" t="str">
        <f>E24</f>
        <v>ing. Kateřina Tumpachová</v>
      </c>
      <c r="K85" s="34"/>
      <c r="L85" s="91"/>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11" customFormat="1" ht="29.25" customHeight="1">
      <c r="A87" s="116"/>
      <c r="B87" s="117"/>
      <c r="C87" s="118" t="s">
        <v>163</v>
      </c>
      <c r="D87" s="119" t="s">
        <v>62</v>
      </c>
      <c r="E87" s="119" t="s">
        <v>58</v>
      </c>
      <c r="F87" s="119" t="s">
        <v>59</v>
      </c>
      <c r="G87" s="119" t="s">
        <v>164</v>
      </c>
      <c r="H87" s="119" t="s">
        <v>165</v>
      </c>
      <c r="I87" s="119" t="s">
        <v>166</v>
      </c>
      <c r="J87" s="119" t="s">
        <v>151</v>
      </c>
      <c r="K87" s="120" t="s">
        <v>167</v>
      </c>
      <c r="L87" s="121"/>
      <c r="M87" s="59" t="s">
        <v>3</v>
      </c>
      <c r="N87" s="60" t="s">
        <v>47</v>
      </c>
      <c r="O87" s="60" t="s">
        <v>168</v>
      </c>
      <c r="P87" s="60" t="s">
        <v>169</v>
      </c>
      <c r="Q87" s="60" t="s">
        <v>170</v>
      </c>
      <c r="R87" s="60" t="s">
        <v>171</v>
      </c>
      <c r="S87" s="60" t="s">
        <v>172</v>
      </c>
      <c r="T87" s="61" t="s">
        <v>173</v>
      </c>
      <c r="U87" s="116"/>
      <c r="V87" s="116"/>
      <c r="W87" s="116"/>
      <c r="X87" s="116"/>
      <c r="Y87" s="116"/>
      <c r="Z87" s="116"/>
      <c r="AA87" s="116"/>
      <c r="AB87" s="116"/>
      <c r="AC87" s="116"/>
      <c r="AD87" s="116"/>
      <c r="AE87" s="116"/>
    </row>
    <row r="88" spans="1:65" s="2" customFormat="1" ht="22.9" customHeight="1">
      <c r="A88" s="34"/>
      <c r="B88" s="35"/>
      <c r="C88" s="66" t="s">
        <v>174</v>
      </c>
      <c r="D88" s="34"/>
      <c r="E88" s="34"/>
      <c r="F88" s="34"/>
      <c r="G88" s="34"/>
      <c r="H88" s="34"/>
      <c r="I88" s="34"/>
      <c r="J88" s="122">
        <f>BK88</f>
        <v>0</v>
      </c>
      <c r="K88" s="34"/>
      <c r="L88" s="35"/>
      <c r="M88" s="62"/>
      <c r="N88" s="53"/>
      <c r="O88" s="63"/>
      <c r="P88" s="123">
        <f>P89+P239+P318</f>
        <v>0</v>
      </c>
      <c r="Q88" s="63"/>
      <c r="R88" s="123">
        <f>R89+R239+R318</f>
        <v>150.45908173350003</v>
      </c>
      <c r="S88" s="63"/>
      <c r="T88" s="124">
        <f>T89+T239+T318</f>
        <v>6.33</v>
      </c>
      <c r="U88" s="34"/>
      <c r="V88" s="34"/>
      <c r="W88" s="34"/>
      <c r="X88" s="34"/>
      <c r="Y88" s="34"/>
      <c r="Z88" s="34"/>
      <c r="AA88" s="34"/>
      <c r="AB88" s="34"/>
      <c r="AC88" s="34"/>
      <c r="AD88" s="34"/>
      <c r="AE88" s="34"/>
      <c r="AT88" s="19" t="s">
        <v>76</v>
      </c>
      <c r="AU88" s="19" t="s">
        <v>152</v>
      </c>
      <c r="BK88" s="125">
        <f>BK89+BK239+BK318</f>
        <v>0</v>
      </c>
    </row>
    <row r="89" spans="1:65" s="12" customFormat="1" ht="25.9" customHeight="1">
      <c r="B89" s="126"/>
      <c r="D89" s="127" t="s">
        <v>76</v>
      </c>
      <c r="E89" s="128" t="s">
        <v>175</v>
      </c>
      <c r="F89" s="128" t="s">
        <v>176</v>
      </c>
      <c r="I89" s="129"/>
      <c r="J89" s="130">
        <f>BK89</f>
        <v>0</v>
      </c>
      <c r="L89" s="126"/>
      <c r="M89" s="131"/>
      <c r="N89" s="132"/>
      <c r="O89" s="132"/>
      <c r="P89" s="133">
        <f>P90+P190+P211+P234</f>
        <v>0</v>
      </c>
      <c r="Q89" s="132"/>
      <c r="R89" s="133">
        <f>R90+R190+R211+R234</f>
        <v>144.91656222500004</v>
      </c>
      <c r="S89" s="132"/>
      <c r="T89" s="134">
        <f>T90+T190+T211+T234</f>
        <v>6.33</v>
      </c>
      <c r="AR89" s="127" t="s">
        <v>85</v>
      </c>
      <c r="AT89" s="135" t="s">
        <v>76</v>
      </c>
      <c r="AU89" s="135" t="s">
        <v>77</v>
      </c>
      <c r="AY89" s="127" t="s">
        <v>177</v>
      </c>
      <c r="BK89" s="136">
        <f>BK90+BK190+BK211+BK234</f>
        <v>0</v>
      </c>
    </row>
    <row r="90" spans="1:65" s="12" customFormat="1" ht="22.9" customHeight="1">
      <c r="B90" s="126"/>
      <c r="D90" s="127" t="s">
        <v>76</v>
      </c>
      <c r="E90" s="137" t="s">
        <v>233</v>
      </c>
      <c r="F90" s="137" t="s">
        <v>626</v>
      </c>
      <c r="I90" s="129"/>
      <c r="J90" s="138">
        <f>BK90</f>
        <v>0</v>
      </c>
      <c r="L90" s="126"/>
      <c r="M90" s="131"/>
      <c r="N90" s="132"/>
      <c r="O90" s="132"/>
      <c r="P90" s="133">
        <f>SUM(P91:P189)</f>
        <v>0</v>
      </c>
      <c r="Q90" s="132"/>
      <c r="R90" s="133">
        <f>SUM(R91:R189)</f>
        <v>144.75657822500003</v>
      </c>
      <c r="S90" s="132"/>
      <c r="T90" s="134">
        <f>SUM(T91:T189)</f>
        <v>0</v>
      </c>
      <c r="AR90" s="127" t="s">
        <v>85</v>
      </c>
      <c r="AT90" s="135" t="s">
        <v>76</v>
      </c>
      <c r="AU90" s="135" t="s">
        <v>85</v>
      </c>
      <c r="AY90" s="127" t="s">
        <v>177</v>
      </c>
      <c r="BK90" s="136">
        <f>SUM(BK91:BK189)</f>
        <v>0</v>
      </c>
    </row>
    <row r="91" spans="1:65" s="2" customFormat="1" ht="16.5" customHeight="1">
      <c r="A91" s="34"/>
      <c r="B91" s="139"/>
      <c r="C91" s="140" t="s">
        <v>85</v>
      </c>
      <c r="D91" s="140" t="s">
        <v>180</v>
      </c>
      <c r="E91" s="141" t="s">
        <v>2105</v>
      </c>
      <c r="F91" s="142" t="s">
        <v>2106</v>
      </c>
      <c r="G91" s="143" t="s">
        <v>332</v>
      </c>
      <c r="H91" s="144">
        <v>1693.94</v>
      </c>
      <c r="I91" s="145"/>
      <c r="J91" s="146">
        <f>ROUND(I91*H91,2)</f>
        <v>0</v>
      </c>
      <c r="K91" s="142" t="s">
        <v>184</v>
      </c>
      <c r="L91" s="35"/>
      <c r="M91" s="147" t="s">
        <v>3</v>
      </c>
      <c r="N91" s="148" t="s">
        <v>48</v>
      </c>
      <c r="O91" s="55"/>
      <c r="P91" s="149">
        <f>O91*H91</f>
        <v>0</v>
      </c>
      <c r="Q91" s="149">
        <v>7.3499999999999998E-3</v>
      </c>
      <c r="R91" s="149">
        <f>Q91*H91</f>
        <v>12.450459</v>
      </c>
      <c r="S91" s="149">
        <v>0</v>
      </c>
      <c r="T91" s="150">
        <f>S91*H91</f>
        <v>0</v>
      </c>
      <c r="U91" s="34"/>
      <c r="V91" s="34"/>
      <c r="W91" s="34"/>
      <c r="X91" s="34"/>
      <c r="Y91" s="34"/>
      <c r="Z91" s="34"/>
      <c r="AA91" s="34"/>
      <c r="AB91" s="34"/>
      <c r="AC91" s="34"/>
      <c r="AD91" s="34"/>
      <c r="AE91" s="34"/>
      <c r="AR91" s="151" t="s">
        <v>185</v>
      </c>
      <c r="AT91" s="151" t="s">
        <v>180</v>
      </c>
      <c r="AU91" s="151" t="s">
        <v>87</v>
      </c>
      <c r="AY91" s="19" t="s">
        <v>177</v>
      </c>
      <c r="BE91" s="152">
        <f>IF(N91="základní",J91,0)</f>
        <v>0</v>
      </c>
      <c r="BF91" s="152">
        <f>IF(N91="snížená",J91,0)</f>
        <v>0</v>
      </c>
      <c r="BG91" s="152">
        <f>IF(N91="zákl. přenesená",J91,0)</f>
        <v>0</v>
      </c>
      <c r="BH91" s="152">
        <f>IF(N91="sníž. přenesená",J91,0)</f>
        <v>0</v>
      </c>
      <c r="BI91" s="152">
        <f>IF(N91="nulová",J91,0)</f>
        <v>0</v>
      </c>
      <c r="BJ91" s="19" t="s">
        <v>85</v>
      </c>
      <c r="BK91" s="152">
        <f>ROUND(I91*H91,2)</f>
        <v>0</v>
      </c>
      <c r="BL91" s="19" t="s">
        <v>185</v>
      </c>
      <c r="BM91" s="151" t="s">
        <v>2107</v>
      </c>
    </row>
    <row r="92" spans="1:65" s="2" customFormat="1">
      <c r="A92" s="34"/>
      <c r="B92" s="35"/>
      <c r="C92" s="34"/>
      <c r="D92" s="153" t="s">
        <v>187</v>
      </c>
      <c r="E92" s="34"/>
      <c r="F92" s="154" t="s">
        <v>2108</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187</v>
      </c>
      <c r="AU92" s="19" t="s">
        <v>87</v>
      </c>
    </row>
    <row r="93" spans="1:65" s="2" customFormat="1">
      <c r="A93" s="34"/>
      <c r="B93" s="35"/>
      <c r="C93" s="34"/>
      <c r="D93" s="158" t="s">
        <v>189</v>
      </c>
      <c r="E93" s="34"/>
      <c r="F93" s="159" t="s">
        <v>2109</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189</v>
      </c>
      <c r="AU93" s="19" t="s">
        <v>87</v>
      </c>
    </row>
    <row r="94" spans="1:65" s="2" customFormat="1" ht="16.5" customHeight="1">
      <c r="A94" s="34"/>
      <c r="B94" s="139"/>
      <c r="C94" s="140" t="s">
        <v>87</v>
      </c>
      <c r="D94" s="140" t="s">
        <v>180</v>
      </c>
      <c r="E94" s="141" t="s">
        <v>2110</v>
      </c>
      <c r="F94" s="142" t="s">
        <v>2111</v>
      </c>
      <c r="G94" s="143" t="s">
        <v>332</v>
      </c>
      <c r="H94" s="144">
        <v>1693.94</v>
      </c>
      <c r="I94" s="145"/>
      <c r="J94" s="146">
        <f>ROUND(I94*H94,2)</f>
        <v>0</v>
      </c>
      <c r="K94" s="142" t="s">
        <v>184</v>
      </c>
      <c r="L94" s="35"/>
      <c r="M94" s="147" t="s">
        <v>3</v>
      </c>
      <c r="N94" s="148" t="s">
        <v>48</v>
      </c>
      <c r="O94" s="55"/>
      <c r="P94" s="149">
        <f>O94*H94</f>
        <v>0</v>
      </c>
      <c r="Q94" s="149">
        <v>2.63E-4</v>
      </c>
      <c r="R94" s="149">
        <f>Q94*H94</f>
        <v>0.44550622000000001</v>
      </c>
      <c r="S94" s="149">
        <v>0</v>
      </c>
      <c r="T94" s="150">
        <f>S94*H94</f>
        <v>0</v>
      </c>
      <c r="U94" s="34"/>
      <c r="V94" s="34"/>
      <c r="W94" s="34"/>
      <c r="X94" s="34"/>
      <c r="Y94" s="34"/>
      <c r="Z94" s="34"/>
      <c r="AA94" s="34"/>
      <c r="AB94" s="34"/>
      <c r="AC94" s="34"/>
      <c r="AD94" s="34"/>
      <c r="AE94" s="34"/>
      <c r="AR94" s="151" t="s">
        <v>185</v>
      </c>
      <c r="AT94" s="151" t="s">
        <v>180</v>
      </c>
      <c r="AU94" s="151" t="s">
        <v>87</v>
      </c>
      <c r="AY94" s="19" t="s">
        <v>177</v>
      </c>
      <c r="BE94" s="152">
        <f>IF(N94="základní",J94,0)</f>
        <v>0</v>
      </c>
      <c r="BF94" s="152">
        <f>IF(N94="snížená",J94,0)</f>
        <v>0</v>
      </c>
      <c r="BG94" s="152">
        <f>IF(N94="zákl. přenesená",J94,0)</f>
        <v>0</v>
      </c>
      <c r="BH94" s="152">
        <f>IF(N94="sníž. přenesená",J94,0)</f>
        <v>0</v>
      </c>
      <c r="BI94" s="152">
        <f>IF(N94="nulová",J94,0)</f>
        <v>0</v>
      </c>
      <c r="BJ94" s="19" t="s">
        <v>85</v>
      </c>
      <c r="BK94" s="152">
        <f>ROUND(I94*H94,2)</f>
        <v>0</v>
      </c>
      <c r="BL94" s="19" t="s">
        <v>185</v>
      </c>
      <c r="BM94" s="151" t="s">
        <v>2112</v>
      </c>
    </row>
    <row r="95" spans="1:65" s="2" customFormat="1">
      <c r="A95" s="34"/>
      <c r="B95" s="35"/>
      <c r="C95" s="34"/>
      <c r="D95" s="153" t="s">
        <v>187</v>
      </c>
      <c r="E95" s="34"/>
      <c r="F95" s="154" t="s">
        <v>2113</v>
      </c>
      <c r="G95" s="34"/>
      <c r="H95" s="34"/>
      <c r="I95" s="155"/>
      <c r="J95" s="34"/>
      <c r="K95" s="34"/>
      <c r="L95" s="35"/>
      <c r="M95" s="156"/>
      <c r="N95" s="157"/>
      <c r="O95" s="55"/>
      <c r="P95" s="55"/>
      <c r="Q95" s="55"/>
      <c r="R95" s="55"/>
      <c r="S95" s="55"/>
      <c r="T95" s="56"/>
      <c r="U95" s="34"/>
      <c r="V95" s="34"/>
      <c r="W95" s="34"/>
      <c r="X95" s="34"/>
      <c r="Y95" s="34"/>
      <c r="Z95" s="34"/>
      <c r="AA95" s="34"/>
      <c r="AB95" s="34"/>
      <c r="AC95" s="34"/>
      <c r="AD95" s="34"/>
      <c r="AE95" s="34"/>
      <c r="AT95" s="19" t="s">
        <v>187</v>
      </c>
      <c r="AU95" s="19" t="s">
        <v>87</v>
      </c>
    </row>
    <row r="96" spans="1:65" s="2" customFormat="1">
      <c r="A96" s="34"/>
      <c r="B96" s="35"/>
      <c r="C96" s="34"/>
      <c r="D96" s="158" t="s">
        <v>189</v>
      </c>
      <c r="E96" s="34"/>
      <c r="F96" s="159" t="s">
        <v>2114</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189</v>
      </c>
      <c r="AU96" s="19" t="s">
        <v>87</v>
      </c>
    </row>
    <row r="97" spans="1:65" s="2" customFormat="1" ht="16.5" customHeight="1">
      <c r="A97" s="34"/>
      <c r="B97" s="139"/>
      <c r="C97" s="140" t="s">
        <v>198</v>
      </c>
      <c r="D97" s="140" t="s">
        <v>180</v>
      </c>
      <c r="E97" s="141" t="s">
        <v>2110</v>
      </c>
      <c r="F97" s="142" t="s">
        <v>2111</v>
      </c>
      <c r="G97" s="143" t="s">
        <v>332</v>
      </c>
      <c r="H97" s="144">
        <v>1621.0440000000001</v>
      </c>
      <c r="I97" s="145"/>
      <c r="J97" s="146">
        <f>ROUND(I97*H97,2)</f>
        <v>0</v>
      </c>
      <c r="K97" s="142" t="s">
        <v>184</v>
      </c>
      <c r="L97" s="35"/>
      <c r="M97" s="147" t="s">
        <v>3</v>
      </c>
      <c r="N97" s="148" t="s">
        <v>48</v>
      </c>
      <c r="O97" s="55"/>
      <c r="P97" s="149">
        <f>O97*H97</f>
        <v>0</v>
      </c>
      <c r="Q97" s="149">
        <v>2.5999999999999998E-4</v>
      </c>
      <c r="R97" s="149">
        <f>Q97*H97</f>
        <v>0.42147143999999997</v>
      </c>
      <c r="S97" s="149">
        <v>0</v>
      </c>
      <c r="T97" s="150">
        <f>S97*H97</f>
        <v>0</v>
      </c>
      <c r="U97" s="34"/>
      <c r="V97" s="34"/>
      <c r="W97" s="34"/>
      <c r="X97" s="34"/>
      <c r="Y97" s="34"/>
      <c r="Z97" s="34"/>
      <c r="AA97" s="34"/>
      <c r="AB97" s="34"/>
      <c r="AC97" s="34"/>
      <c r="AD97" s="34"/>
      <c r="AE97" s="34"/>
      <c r="AR97" s="151" t="s">
        <v>185</v>
      </c>
      <c r="AT97" s="151" t="s">
        <v>180</v>
      </c>
      <c r="AU97" s="151" t="s">
        <v>87</v>
      </c>
      <c r="AY97" s="19" t="s">
        <v>177</v>
      </c>
      <c r="BE97" s="152">
        <f>IF(N97="základní",J97,0)</f>
        <v>0</v>
      </c>
      <c r="BF97" s="152">
        <f>IF(N97="snížená",J97,0)</f>
        <v>0</v>
      </c>
      <c r="BG97" s="152">
        <f>IF(N97="zákl. přenesená",J97,0)</f>
        <v>0</v>
      </c>
      <c r="BH97" s="152">
        <f>IF(N97="sníž. přenesená",J97,0)</f>
        <v>0</v>
      </c>
      <c r="BI97" s="152">
        <f>IF(N97="nulová",J97,0)</f>
        <v>0</v>
      </c>
      <c r="BJ97" s="19" t="s">
        <v>85</v>
      </c>
      <c r="BK97" s="152">
        <f>ROUND(I97*H97,2)</f>
        <v>0</v>
      </c>
      <c r="BL97" s="19" t="s">
        <v>185</v>
      </c>
      <c r="BM97" s="151" t="s">
        <v>2115</v>
      </c>
    </row>
    <row r="98" spans="1:65" s="2" customFormat="1">
      <c r="A98" s="34"/>
      <c r="B98" s="35"/>
      <c r="C98" s="34"/>
      <c r="D98" s="153" t="s">
        <v>187</v>
      </c>
      <c r="E98" s="34"/>
      <c r="F98" s="154" t="s">
        <v>2113</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187</v>
      </c>
      <c r="AU98" s="19" t="s">
        <v>87</v>
      </c>
    </row>
    <row r="99" spans="1:65" s="2" customFormat="1">
      <c r="A99" s="34"/>
      <c r="B99" s="35"/>
      <c r="C99" s="34"/>
      <c r="D99" s="158" t="s">
        <v>189</v>
      </c>
      <c r="E99" s="34"/>
      <c r="F99" s="159" t="s">
        <v>2114</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189</v>
      </c>
      <c r="AU99" s="19" t="s">
        <v>87</v>
      </c>
    </row>
    <row r="100" spans="1:65" s="13" customFormat="1">
      <c r="B100" s="161"/>
      <c r="D100" s="153" t="s">
        <v>193</v>
      </c>
      <c r="E100" s="162" t="s">
        <v>3</v>
      </c>
      <c r="F100" s="163" t="s">
        <v>2116</v>
      </c>
      <c r="H100" s="164">
        <v>1621.0440000000001</v>
      </c>
      <c r="I100" s="165"/>
      <c r="L100" s="161"/>
      <c r="M100" s="166"/>
      <c r="N100" s="167"/>
      <c r="O100" s="167"/>
      <c r="P100" s="167"/>
      <c r="Q100" s="167"/>
      <c r="R100" s="167"/>
      <c r="S100" s="167"/>
      <c r="T100" s="168"/>
      <c r="AT100" s="162" t="s">
        <v>193</v>
      </c>
      <c r="AU100" s="162" t="s">
        <v>87</v>
      </c>
      <c r="AV100" s="13" t="s">
        <v>87</v>
      </c>
      <c r="AW100" s="13" t="s">
        <v>36</v>
      </c>
      <c r="AX100" s="13" t="s">
        <v>85</v>
      </c>
      <c r="AY100" s="162" t="s">
        <v>177</v>
      </c>
    </row>
    <row r="101" spans="1:65" s="2" customFormat="1" ht="16.5" customHeight="1">
      <c r="A101" s="34"/>
      <c r="B101" s="139"/>
      <c r="C101" s="140" t="s">
        <v>185</v>
      </c>
      <c r="D101" s="140" t="s">
        <v>180</v>
      </c>
      <c r="E101" s="141" t="s">
        <v>2117</v>
      </c>
      <c r="F101" s="142" t="s">
        <v>2118</v>
      </c>
      <c r="G101" s="143" t="s">
        <v>332</v>
      </c>
      <c r="H101" s="144">
        <v>1693.94</v>
      </c>
      <c r="I101" s="145"/>
      <c r="J101" s="146">
        <f>ROUND(I101*H101,2)</f>
        <v>0</v>
      </c>
      <c r="K101" s="142" t="s">
        <v>184</v>
      </c>
      <c r="L101" s="35"/>
      <c r="M101" s="147" t="s">
        <v>3</v>
      </c>
      <c r="N101" s="148" t="s">
        <v>48</v>
      </c>
      <c r="O101" s="55"/>
      <c r="P101" s="149">
        <f>O101*H101</f>
        <v>0</v>
      </c>
      <c r="Q101" s="149">
        <v>4.3839999999999999E-3</v>
      </c>
      <c r="R101" s="149">
        <f>Q101*H101</f>
        <v>7.4262329600000001</v>
      </c>
      <c r="S101" s="149">
        <v>0</v>
      </c>
      <c r="T101" s="150">
        <f>S101*H101</f>
        <v>0</v>
      </c>
      <c r="U101" s="34"/>
      <c r="V101" s="34"/>
      <c r="W101" s="34"/>
      <c r="X101" s="34"/>
      <c r="Y101" s="34"/>
      <c r="Z101" s="34"/>
      <c r="AA101" s="34"/>
      <c r="AB101" s="34"/>
      <c r="AC101" s="34"/>
      <c r="AD101" s="34"/>
      <c r="AE101" s="34"/>
      <c r="AR101" s="151" t="s">
        <v>185</v>
      </c>
      <c r="AT101" s="151" t="s">
        <v>180</v>
      </c>
      <c r="AU101" s="151" t="s">
        <v>87</v>
      </c>
      <c r="AY101" s="19" t="s">
        <v>177</v>
      </c>
      <c r="BE101" s="152">
        <f>IF(N101="základní",J101,0)</f>
        <v>0</v>
      </c>
      <c r="BF101" s="152">
        <f>IF(N101="snížená",J101,0)</f>
        <v>0</v>
      </c>
      <c r="BG101" s="152">
        <f>IF(N101="zákl. přenesená",J101,0)</f>
        <v>0</v>
      </c>
      <c r="BH101" s="152">
        <f>IF(N101="sníž. přenesená",J101,0)</f>
        <v>0</v>
      </c>
      <c r="BI101" s="152">
        <f>IF(N101="nulová",J101,0)</f>
        <v>0</v>
      </c>
      <c r="BJ101" s="19" t="s">
        <v>85</v>
      </c>
      <c r="BK101" s="152">
        <f>ROUND(I101*H101,2)</f>
        <v>0</v>
      </c>
      <c r="BL101" s="19" t="s">
        <v>185</v>
      </c>
      <c r="BM101" s="151" t="s">
        <v>2119</v>
      </c>
    </row>
    <row r="102" spans="1:65" s="2" customFormat="1">
      <c r="A102" s="34"/>
      <c r="B102" s="35"/>
      <c r="C102" s="34"/>
      <c r="D102" s="153" t="s">
        <v>187</v>
      </c>
      <c r="E102" s="34"/>
      <c r="F102" s="154" t="s">
        <v>2120</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187</v>
      </c>
      <c r="AU102" s="19" t="s">
        <v>87</v>
      </c>
    </row>
    <row r="103" spans="1:65" s="2" customFormat="1">
      <c r="A103" s="34"/>
      <c r="B103" s="35"/>
      <c r="C103" s="34"/>
      <c r="D103" s="158" t="s">
        <v>189</v>
      </c>
      <c r="E103" s="34"/>
      <c r="F103" s="159" t="s">
        <v>2121</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189</v>
      </c>
      <c r="AU103" s="19" t="s">
        <v>87</v>
      </c>
    </row>
    <row r="104" spans="1:65" s="2" customFormat="1" ht="29.25">
      <c r="A104" s="34"/>
      <c r="B104" s="35"/>
      <c r="C104" s="34"/>
      <c r="D104" s="153" t="s">
        <v>191</v>
      </c>
      <c r="E104" s="34"/>
      <c r="F104" s="160" t="s">
        <v>639</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191</v>
      </c>
      <c r="AU104" s="19" t="s">
        <v>87</v>
      </c>
    </row>
    <row r="105" spans="1:65" s="2" customFormat="1" ht="16.5" customHeight="1">
      <c r="A105" s="34"/>
      <c r="B105" s="139"/>
      <c r="C105" s="140" t="s">
        <v>200</v>
      </c>
      <c r="D105" s="140" t="s">
        <v>180</v>
      </c>
      <c r="E105" s="141" t="s">
        <v>2122</v>
      </c>
      <c r="F105" s="142" t="s">
        <v>2123</v>
      </c>
      <c r="G105" s="143" t="s">
        <v>332</v>
      </c>
      <c r="H105" s="144">
        <v>1693.94</v>
      </c>
      <c r="I105" s="145"/>
      <c r="J105" s="146">
        <f>ROUND(I105*H105,2)</f>
        <v>0</v>
      </c>
      <c r="K105" s="142" t="s">
        <v>184</v>
      </c>
      <c r="L105" s="35"/>
      <c r="M105" s="147" t="s">
        <v>3</v>
      </c>
      <c r="N105" s="148" t="s">
        <v>48</v>
      </c>
      <c r="O105" s="55"/>
      <c r="P105" s="149">
        <f>O105*H105</f>
        <v>0</v>
      </c>
      <c r="Q105" s="149">
        <v>1.54E-2</v>
      </c>
      <c r="R105" s="149">
        <f>Q105*H105</f>
        <v>26.086676000000001</v>
      </c>
      <c r="S105" s="149">
        <v>0</v>
      </c>
      <c r="T105" s="150">
        <f>S105*H105</f>
        <v>0</v>
      </c>
      <c r="U105" s="34"/>
      <c r="V105" s="34"/>
      <c r="W105" s="34"/>
      <c r="X105" s="34"/>
      <c r="Y105" s="34"/>
      <c r="Z105" s="34"/>
      <c r="AA105" s="34"/>
      <c r="AB105" s="34"/>
      <c r="AC105" s="34"/>
      <c r="AD105" s="34"/>
      <c r="AE105" s="34"/>
      <c r="AR105" s="151" t="s">
        <v>185</v>
      </c>
      <c r="AT105" s="151" t="s">
        <v>180</v>
      </c>
      <c r="AU105" s="151" t="s">
        <v>87</v>
      </c>
      <c r="AY105" s="19" t="s">
        <v>177</v>
      </c>
      <c r="BE105" s="152">
        <f>IF(N105="základní",J105,0)</f>
        <v>0</v>
      </c>
      <c r="BF105" s="152">
        <f>IF(N105="snížená",J105,0)</f>
        <v>0</v>
      </c>
      <c r="BG105" s="152">
        <f>IF(N105="zákl. přenesená",J105,0)</f>
        <v>0</v>
      </c>
      <c r="BH105" s="152">
        <f>IF(N105="sníž. přenesená",J105,0)</f>
        <v>0</v>
      </c>
      <c r="BI105" s="152">
        <f>IF(N105="nulová",J105,0)</f>
        <v>0</v>
      </c>
      <c r="BJ105" s="19" t="s">
        <v>85</v>
      </c>
      <c r="BK105" s="152">
        <f>ROUND(I105*H105,2)</f>
        <v>0</v>
      </c>
      <c r="BL105" s="19" t="s">
        <v>185</v>
      </c>
      <c r="BM105" s="151" t="s">
        <v>2124</v>
      </c>
    </row>
    <row r="106" spans="1:65" s="2" customFormat="1">
      <c r="A106" s="34"/>
      <c r="B106" s="35"/>
      <c r="C106" s="34"/>
      <c r="D106" s="153" t="s">
        <v>187</v>
      </c>
      <c r="E106" s="34"/>
      <c r="F106" s="154" t="s">
        <v>2125</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187</v>
      </c>
      <c r="AU106" s="19" t="s">
        <v>87</v>
      </c>
    </row>
    <row r="107" spans="1:65" s="2" customFormat="1">
      <c r="A107" s="34"/>
      <c r="B107" s="35"/>
      <c r="C107" s="34"/>
      <c r="D107" s="158" t="s">
        <v>189</v>
      </c>
      <c r="E107" s="34"/>
      <c r="F107" s="159" t="s">
        <v>2126</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189</v>
      </c>
      <c r="AU107" s="19" t="s">
        <v>87</v>
      </c>
    </row>
    <row r="108" spans="1:65" s="2" customFormat="1" ht="48.75">
      <c r="A108" s="34"/>
      <c r="B108" s="35"/>
      <c r="C108" s="34"/>
      <c r="D108" s="153" t="s">
        <v>191</v>
      </c>
      <c r="E108" s="34"/>
      <c r="F108" s="160" t="s">
        <v>2127</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191</v>
      </c>
      <c r="AU108" s="19" t="s">
        <v>87</v>
      </c>
    </row>
    <row r="109" spans="1:65" s="14" customFormat="1">
      <c r="B109" s="169"/>
      <c r="D109" s="153" t="s">
        <v>193</v>
      </c>
      <c r="E109" s="170" t="s">
        <v>3</v>
      </c>
      <c r="F109" s="171" t="s">
        <v>779</v>
      </c>
      <c r="H109" s="170" t="s">
        <v>3</v>
      </c>
      <c r="I109" s="172"/>
      <c r="L109" s="169"/>
      <c r="M109" s="173"/>
      <c r="N109" s="174"/>
      <c r="O109" s="174"/>
      <c r="P109" s="174"/>
      <c r="Q109" s="174"/>
      <c r="R109" s="174"/>
      <c r="S109" s="174"/>
      <c r="T109" s="175"/>
      <c r="AT109" s="170" t="s">
        <v>193</v>
      </c>
      <c r="AU109" s="170" t="s">
        <v>87</v>
      </c>
      <c r="AV109" s="14" t="s">
        <v>85</v>
      </c>
      <c r="AW109" s="14" t="s">
        <v>36</v>
      </c>
      <c r="AX109" s="14" t="s">
        <v>77</v>
      </c>
      <c r="AY109" s="170" t="s">
        <v>177</v>
      </c>
    </row>
    <row r="110" spans="1:65" s="13" customFormat="1">
      <c r="B110" s="161"/>
      <c r="D110" s="153" t="s">
        <v>193</v>
      </c>
      <c r="E110" s="162" t="s">
        <v>3</v>
      </c>
      <c r="F110" s="163" t="s">
        <v>2128</v>
      </c>
      <c r="H110" s="164">
        <v>264.73500000000001</v>
      </c>
      <c r="I110" s="165"/>
      <c r="L110" s="161"/>
      <c r="M110" s="166"/>
      <c r="N110" s="167"/>
      <c r="O110" s="167"/>
      <c r="P110" s="167"/>
      <c r="Q110" s="167"/>
      <c r="R110" s="167"/>
      <c r="S110" s="167"/>
      <c r="T110" s="168"/>
      <c r="AT110" s="162" t="s">
        <v>193</v>
      </c>
      <c r="AU110" s="162" t="s">
        <v>87</v>
      </c>
      <c r="AV110" s="13" t="s">
        <v>87</v>
      </c>
      <c r="AW110" s="13" t="s">
        <v>36</v>
      </c>
      <c r="AX110" s="13" t="s">
        <v>77</v>
      </c>
      <c r="AY110" s="162" t="s">
        <v>177</v>
      </c>
    </row>
    <row r="111" spans="1:65" s="13" customFormat="1">
      <c r="B111" s="161"/>
      <c r="D111" s="153" t="s">
        <v>193</v>
      </c>
      <c r="E111" s="162" t="s">
        <v>3</v>
      </c>
      <c r="F111" s="163" t="s">
        <v>2129</v>
      </c>
      <c r="H111" s="164">
        <v>-3.2</v>
      </c>
      <c r="I111" s="165"/>
      <c r="L111" s="161"/>
      <c r="M111" s="166"/>
      <c r="N111" s="167"/>
      <c r="O111" s="167"/>
      <c r="P111" s="167"/>
      <c r="Q111" s="167"/>
      <c r="R111" s="167"/>
      <c r="S111" s="167"/>
      <c r="T111" s="168"/>
      <c r="AT111" s="162" t="s">
        <v>193</v>
      </c>
      <c r="AU111" s="162" t="s">
        <v>87</v>
      </c>
      <c r="AV111" s="13" t="s">
        <v>87</v>
      </c>
      <c r="AW111" s="13" t="s">
        <v>36</v>
      </c>
      <c r="AX111" s="13" t="s">
        <v>77</v>
      </c>
      <c r="AY111" s="162" t="s">
        <v>177</v>
      </c>
    </row>
    <row r="112" spans="1:65" s="15" customFormat="1">
      <c r="B112" s="176"/>
      <c r="D112" s="153" t="s">
        <v>193</v>
      </c>
      <c r="E112" s="177" t="s">
        <v>3</v>
      </c>
      <c r="F112" s="178" t="s">
        <v>197</v>
      </c>
      <c r="H112" s="179">
        <v>261.53500000000003</v>
      </c>
      <c r="I112" s="180"/>
      <c r="L112" s="176"/>
      <c r="M112" s="181"/>
      <c r="N112" s="182"/>
      <c r="O112" s="182"/>
      <c r="P112" s="182"/>
      <c r="Q112" s="182"/>
      <c r="R112" s="182"/>
      <c r="S112" s="182"/>
      <c r="T112" s="183"/>
      <c r="AT112" s="177" t="s">
        <v>193</v>
      </c>
      <c r="AU112" s="177" t="s">
        <v>87</v>
      </c>
      <c r="AV112" s="15" t="s">
        <v>198</v>
      </c>
      <c r="AW112" s="15" t="s">
        <v>36</v>
      </c>
      <c r="AX112" s="15" t="s">
        <v>77</v>
      </c>
      <c r="AY112" s="177" t="s">
        <v>177</v>
      </c>
    </row>
    <row r="113" spans="1:65" s="14" customFormat="1">
      <c r="B113" s="169"/>
      <c r="D113" s="153" t="s">
        <v>193</v>
      </c>
      <c r="E113" s="170" t="s">
        <v>3</v>
      </c>
      <c r="F113" s="171" t="s">
        <v>931</v>
      </c>
      <c r="H113" s="170" t="s">
        <v>3</v>
      </c>
      <c r="I113" s="172"/>
      <c r="L113" s="169"/>
      <c r="M113" s="173"/>
      <c r="N113" s="174"/>
      <c r="O113" s="174"/>
      <c r="P113" s="174"/>
      <c r="Q113" s="174"/>
      <c r="R113" s="174"/>
      <c r="S113" s="174"/>
      <c r="T113" s="175"/>
      <c r="AT113" s="170" t="s">
        <v>193</v>
      </c>
      <c r="AU113" s="170" t="s">
        <v>87</v>
      </c>
      <c r="AV113" s="14" t="s">
        <v>85</v>
      </c>
      <c r="AW113" s="14" t="s">
        <v>36</v>
      </c>
      <c r="AX113" s="14" t="s">
        <v>77</v>
      </c>
      <c r="AY113" s="170" t="s">
        <v>177</v>
      </c>
    </row>
    <row r="114" spans="1:65" s="13" customFormat="1">
      <c r="B114" s="161"/>
      <c r="D114" s="153" t="s">
        <v>193</v>
      </c>
      <c r="E114" s="162" t="s">
        <v>3</v>
      </c>
      <c r="F114" s="163" t="s">
        <v>2130</v>
      </c>
      <c r="H114" s="164">
        <v>328.12700000000001</v>
      </c>
      <c r="I114" s="165"/>
      <c r="L114" s="161"/>
      <c r="M114" s="166"/>
      <c r="N114" s="167"/>
      <c r="O114" s="167"/>
      <c r="P114" s="167"/>
      <c r="Q114" s="167"/>
      <c r="R114" s="167"/>
      <c r="S114" s="167"/>
      <c r="T114" s="168"/>
      <c r="AT114" s="162" t="s">
        <v>193</v>
      </c>
      <c r="AU114" s="162" t="s">
        <v>87</v>
      </c>
      <c r="AV114" s="13" t="s">
        <v>87</v>
      </c>
      <c r="AW114" s="13" t="s">
        <v>36</v>
      </c>
      <c r="AX114" s="13" t="s">
        <v>77</v>
      </c>
      <c r="AY114" s="162" t="s">
        <v>177</v>
      </c>
    </row>
    <row r="115" spans="1:65" s="13" customFormat="1">
      <c r="B115" s="161"/>
      <c r="D115" s="153" t="s">
        <v>193</v>
      </c>
      <c r="E115" s="162" t="s">
        <v>3</v>
      </c>
      <c r="F115" s="163" t="s">
        <v>2131</v>
      </c>
      <c r="H115" s="164">
        <v>-51.84</v>
      </c>
      <c r="I115" s="165"/>
      <c r="L115" s="161"/>
      <c r="M115" s="166"/>
      <c r="N115" s="167"/>
      <c r="O115" s="167"/>
      <c r="P115" s="167"/>
      <c r="Q115" s="167"/>
      <c r="R115" s="167"/>
      <c r="S115" s="167"/>
      <c r="T115" s="168"/>
      <c r="AT115" s="162" t="s">
        <v>193</v>
      </c>
      <c r="AU115" s="162" t="s">
        <v>87</v>
      </c>
      <c r="AV115" s="13" t="s">
        <v>87</v>
      </c>
      <c r="AW115" s="13" t="s">
        <v>36</v>
      </c>
      <c r="AX115" s="13" t="s">
        <v>77</v>
      </c>
      <c r="AY115" s="162" t="s">
        <v>177</v>
      </c>
    </row>
    <row r="116" spans="1:65" s="13" customFormat="1">
      <c r="B116" s="161"/>
      <c r="D116" s="153" t="s">
        <v>193</v>
      </c>
      <c r="E116" s="162" t="s">
        <v>3</v>
      </c>
      <c r="F116" s="163" t="s">
        <v>2132</v>
      </c>
      <c r="H116" s="164">
        <v>-8.52</v>
      </c>
      <c r="I116" s="165"/>
      <c r="L116" s="161"/>
      <c r="M116" s="166"/>
      <c r="N116" s="167"/>
      <c r="O116" s="167"/>
      <c r="P116" s="167"/>
      <c r="Q116" s="167"/>
      <c r="R116" s="167"/>
      <c r="S116" s="167"/>
      <c r="T116" s="168"/>
      <c r="AT116" s="162" t="s">
        <v>193</v>
      </c>
      <c r="AU116" s="162" t="s">
        <v>87</v>
      </c>
      <c r="AV116" s="13" t="s">
        <v>87</v>
      </c>
      <c r="AW116" s="13" t="s">
        <v>36</v>
      </c>
      <c r="AX116" s="13" t="s">
        <v>77</v>
      </c>
      <c r="AY116" s="162" t="s">
        <v>177</v>
      </c>
    </row>
    <row r="117" spans="1:65" s="13" customFormat="1">
      <c r="B117" s="161"/>
      <c r="D117" s="153" t="s">
        <v>193</v>
      </c>
      <c r="E117" s="162" t="s">
        <v>3</v>
      </c>
      <c r="F117" s="163" t="s">
        <v>1852</v>
      </c>
      <c r="H117" s="164">
        <v>-9.0299999999999994</v>
      </c>
      <c r="I117" s="165"/>
      <c r="L117" s="161"/>
      <c r="M117" s="166"/>
      <c r="N117" s="167"/>
      <c r="O117" s="167"/>
      <c r="P117" s="167"/>
      <c r="Q117" s="167"/>
      <c r="R117" s="167"/>
      <c r="S117" s="167"/>
      <c r="T117" s="168"/>
      <c r="AT117" s="162" t="s">
        <v>193</v>
      </c>
      <c r="AU117" s="162" t="s">
        <v>87</v>
      </c>
      <c r="AV117" s="13" t="s">
        <v>87</v>
      </c>
      <c r="AW117" s="13" t="s">
        <v>36</v>
      </c>
      <c r="AX117" s="13" t="s">
        <v>77</v>
      </c>
      <c r="AY117" s="162" t="s">
        <v>177</v>
      </c>
    </row>
    <row r="118" spans="1:65" s="13" customFormat="1">
      <c r="B118" s="161"/>
      <c r="D118" s="153" t="s">
        <v>193</v>
      </c>
      <c r="E118" s="162" t="s">
        <v>3</v>
      </c>
      <c r="F118" s="163" t="s">
        <v>2133</v>
      </c>
      <c r="H118" s="164">
        <v>467.6</v>
      </c>
      <c r="I118" s="165"/>
      <c r="L118" s="161"/>
      <c r="M118" s="166"/>
      <c r="N118" s="167"/>
      <c r="O118" s="167"/>
      <c r="P118" s="167"/>
      <c r="Q118" s="167"/>
      <c r="R118" s="167"/>
      <c r="S118" s="167"/>
      <c r="T118" s="168"/>
      <c r="AT118" s="162" t="s">
        <v>193</v>
      </c>
      <c r="AU118" s="162" t="s">
        <v>87</v>
      </c>
      <c r="AV118" s="13" t="s">
        <v>87</v>
      </c>
      <c r="AW118" s="13" t="s">
        <v>36</v>
      </c>
      <c r="AX118" s="13" t="s">
        <v>77</v>
      </c>
      <c r="AY118" s="162" t="s">
        <v>177</v>
      </c>
    </row>
    <row r="119" spans="1:65" s="15" customFormat="1">
      <c r="B119" s="176"/>
      <c r="D119" s="153" t="s">
        <v>193</v>
      </c>
      <c r="E119" s="177" t="s">
        <v>3</v>
      </c>
      <c r="F119" s="178" t="s">
        <v>197</v>
      </c>
      <c r="H119" s="179">
        <v>726.33699999999999</v>
      </c>
      <c r="I119" s="180"/>
      <c r="L119" s="176"/>
      <c r="M119" s="181"/>
      <c r="N119" s="182"/>
      <c r="O119" s="182"/>
      <c r="P119" s="182"/>
      <c r="Q119" s="182"/>
      <c r="R119" s="182"/>
      <c r="S119" s="182"/>
      <c r="T119" s="183"/>
      <c r="AT119" s="177" t="s">
        <v>193</v>
      </c>
      <c r="AU119" s="177" t="s">
        <v>87</v>
      </c>
      <c r="AV119" s="15" t="s">
        <v>198</v>
      </c>
      <c r="AW119" s="15" t="s">
        <v>36</v>
      </c>
      <c r="AX119" s="15" t="s">
        <v>77</v>
      </c>
      <c r="AY119" s="177" t="s">
        <v>177</v>
      </c>
    </row>
    <row r="120" spans="1:65" s="14" customFormat="1">
      <c r="B120" s="169"/>
      <c r="D120" s="153" t="s">
        <v>193</v>
      </c>
      <c r="E120" s="170" t="s">
        <v>3</v>
      </c>
      <c r="F120" s="171" t="s">
        <v>939</v>
      </c>
      <c r="H120" s="170" t="s">
        <v>3</v>
      </c>
      <c r="I120" s="172"/>
      <c r="L120" s="169"/>
      <c r="M120" s="173"/>
      <c r="N120" s="174"/>
      <c r="O120" s="174"/>
      <c r="P120" s="174"/>
      <c r="Q120" s="174"/>
      <c r="R120" s="174"/>
      <c r="S120" s="174"/>
      <c r="T120" s="175"/>
      <c r="AT120" s="170" t="s">
        <v>193</v>
      </c>
      <c r="AU120" s="170" t="s">
        <v>87</v>
      </c>
      <c r="AV120" s="14" t="s">
        <v>85</v>
      </c>
      <c r="AW120" s="14" t="s">
        <v>36</v>
      </c>
      <c r="AX120" s="14" t="s">
        <v>77</v>
      </c>
      <c r="AY120" s="170" t="s">
        <v>177</v>
      </c>
    </row>
    <row r="121" spans="1:65" s="13" customFormat="1">
      <c r="B121" s="161"/>
      <c r="D121" s="153" t="s">
        <v>193</v>
      </c>
      <c r="E121" s="162" t="s">
        <v>3</v>
      </c>
      <c r="F121" s="163" t="s">
        <v>2134</v>
      </c>
      <c r="H121" s="164">
        <v>297.83</v>
      </c>
      <c r="I121" s="165"/>
      <c r="L121" s="161"/>
      <c r="M121" s="166"/>
      <c r="N121" s="167"/>
      <c r="O121" s="167"/>
      <c r="P121" s="167"/>
      <c r="Q121" s="167"/>
      <c r="R121" s="167"/>
      <c r="S121" s="167"/>
      <c r="T121" s="168"/>
      <c r="AT121" s="162" t="s">
        <v>193</v>
      </c>
      <c r="AU121" s="162" t="s">
        <v>87</v>
      </c>
      <c r="AV121" s="13" t="s">
        <v>87</v>
      </c>
      <c r="AW121" s="13" t="s">
        <v>36</v>
      </c>
      <c r="AX121" s="13" t="s">
        <v>77</v>
      </c>
      <c r="AY121" s="162" t="s">
        <v>177</v>
      </c>
    </row>
    <row r="122" spans="1:65" s="13" customFormat="1">
      <c r="B122" s="161"/>
      <c r="D122" s="153" t="s">
        <v>193</v>
      </c>
      <c r="E122" s="162" t="s">
        <v>3</v>
      </c>
      <c r="F122" s="163" t="s">
        <v>585</v>
      </c>
      <c r="H122" s="164">
        <v>-34.56</v>
      </c>
      <c r="I122" s="165"/>
      <c r="L122" s="161"/>
      <c r="M122" s="166"/>
      <c r="N122" s="167"/>
      <c r="O122" s="167"/>
      <c r="P122" s="167"/>
      <c r="Q122" s="167"/>
      <c r="R122" s="167"/>
      <c r="S122" s="167"/>
      <c r="T122" s="168"/>
      <c r="AT122" s="162" t="s">
        <v>193</v>
      </c>
      <c r="AU122" s="162" t="s">
        <v>87</v>
      </c>
      <c r="AV122" s="13" t="s">
        <v>87</v>
      </c>
      <c r="AW122" s="13" t="s">
        <v>36</v>
      </c>
      <c r="AX122" s="13" t="s">
        <v>77</v>
      </c>
      <c r="AY122" s="162" t="s">
        <v>177</v>
      </c>
    </row>
    <row r="123" spans="1:65" s="13" customFormat="1">
      <c r="B123" s="161"/>
      <c r="D123" s="153" t="s">
        <v>193</v>
      </c>
      <c r="E123" s="162" t="s">
        <v>3</v>
      </c>
      <c r="F123" s="163" t="s">
        <v>2135</v>
      </c>
      <c r="H123" s="164">
        <v>-38.880000000000003</v>
      </c>
      <c r="I123" s="165"/>
      <c r="L123" s="161"/>
      <c r="M123" s="166"/>
      <c r="N123" s="167"/>
      <c r="O123" s="167"/>
      <c r="P123" s="167"/>
      <c r="Q123" s="167"/>
      <c r="R123" s="167"/>
      <c r="S123" s="167"/>
      <c r="T123" s="168"/>
      <c r="AT123" s="162" t="s">
        <v>193</v>
      </c>
      <c r="AU123" s="162" t="s">
        <v>87</v>
      </c>
      <c r="AV123" s="13" t="s">
        <v>87</v>
      </c>
      <c r="AW123" s="13" t="s">
        <v>36</v>
      </c>
      <c r="AX123" s="13" t="s">
        <v>77</v>
      </c>
      <c r="AY123" s="162" t="s">
        <v>177</v>
      </c>
    </row>
    <row r="124" spans="1:65" s="13" customFormat="1">
      <c r="B124" s="161"/>
      <c r="D124" s="153" t="s">
        <v>193</v>
      </c>
      <c r="E124" s="162" t="s">
        <v>3</v>
      </c>
      <c r="F124" s="163" t="s">
        <v>2136</v>
      </c>
      <c r="H124" s="164">
        <v>-3</v>
      </c>
      <c r="I124" s="165"/>
      <c r="L124" s="161"/>
      <c r="M124" s="166"/>
      <c r="N124" s="167"/>
      <c r="O124" s="167"/>
      <c r="P124" s="167"/>
      <c r="Q124" s="167"/>
      <c r="R124" s="167"/>
      <c r="S124" s="167"/>
      <c r="T124" s="168"/>
      <c r="AT124" s="162" t="s">
        <v>193</v>
      </c>
      <c r="AU124" s="162" t="s">
        <v>87</v>
      </c>
      <c r="AV124" s="13" t="s">
        <v>87</v>
      </c>
      <c r="AW124" s="13" t="s">
        <v>36</v>
      </c>
      <c r="AX124" s="13" t="s">
        <v>77</v>
      </c>
      <c r="AY124" s="162" t="s">
        <v>177</v>
      </c>
    </row>
    <row r="125" spans="1:65" s="13" customFormat="1">
      <c r="B125" s="161"/>
      <c r="D125" s="153" t="s">
        <v>193</v>
      </c>
      <c r="E125" s="162" t="s">
        <v>3</v>
      </c>
      <c r="F125" s="163" t="s">
        <v>2137</v>
      </c>
      <c r="H125" s="164">
        <v>484.678</v>
      </c>
      <c r="I125" s="165"/>
      <c r="L125" s="161"/>
      <c r="M125" s="166"/>
      <c r="N125" s="167"/>
      <c r="O125" s="167"/>
      <c r="P125" s="167"/>
      <c r="Q125" s="167"/>
      <c r="R125" s="167"/>
      <c r="S125" s="167"/>
      <c r="T125" s="168"/>
      <c r="AT125" s="162" t="s">
        <v>193</v>
      </c>
      <c r="AU125" s="162" t="s">
        <v>87</v>
      </c>
      <c r="AV125" s="13" t="s">
        <v>87</v>
      </c>
      <c r="AW125" s="13" t="s">
        <v>36</v>
      </c>
      <c r="AX125" s="13" t="s">
        <v>77</v>
      </c>
      <c r="AY125" s="162" t="s">
        <v>177</v>
      </c>
    </row>
    <row r="126" spans="1:65" s="15" customFormat="1">
      <c r="B126" s="176"/>
      <c r="D126" s="153" t="s">
        <v>193</v>
      </c>
      <c r="E126" s="177" t="s">
        <v>3</v>
      </c>
      <c r="F126" s="178" t="s">
        <v>197</v>
      </c>
      <c r="H126" s="179">
        <v>706.06799999999998</v>
      </c>
      <c r="I126" s="180"/>
      <c r="L126" s="176"/>
      <c r="M126" s="181"/>
      <c r="N126" s="182"/>
      <c r="O126" s="182"/>
      <c r="P126" s="182"/>
      <c r="Q126" s="182"/>
      <c r="R126" s="182"/>
      <c r="S126" s="182"/>
      <c r="T126" s="183"/>
      <c r="AT126" s="177" t="s">
        <v>193</v>
      </c>
      <c r="AU126" s="177" t="s">
        <v>87</v>
      </c>
      <c r="AV126" s="15" t="s">
        <v>198</v>
      </c>
      <c r="AW126" s="15" t="s">
        <v>36</v>
      </c>
      <c r="AX126" s="15" t="s">
        <v>77</v>
      </c>
      <c r="AY126" s="177" t="s">
        <v>177</v>
      </c>
    </row>
    <row r="127" spans="1:65" s="16" customFormat="1">
      <c r="B127" s="184"/>
      <c r="D127" s="153" t="s">
        <v>193</v>
      </c>
      <c r="E127" s="185" t="s">
        <v>3</v>
      </c>
      <c r="F127" s="186" t="s">
        <v>201</v>
      </c>
      <c r="H127" s="187">
        <v>1693.94</v>
      </c>
      <c r="I127" s="188"/>
      <c r="L127" s="184"/>
      <c r="M127" s="189"/>
      <c r="N127" s="190"/>
      <c r="O127" s="190"/>
      <c r="P127" s="190"/>
      <c r="Q127" s="190"/>
      <c r="R127" s="190"/>
      <c r="S127" s="190"/>
      <c r="T127" s="191"/>
      <c r="AT127" s="185" t="s">
        <v>193</v>
      </c>
      <c r="AU127" s="185" t="s">
        <v>87</v>
      </c>
      <c r="AV127" s="16" t="s">
        <v>185</v>
      </c>
      <c r="AW127" s="16" t="s">
        <v>36</v>
      </c>
      <c r="AX127" s="16" t="s">
        <v>85</v>
      </c>
      <c r="AY127" s="185" t="s">
        <v>177</v>
      </c>
    </row>
    <row r="128" spans="1:65" s="2" customFormat="1" ht="16.5" customHeight="1">
      <c r="A128" s="34"/>
      <c r="B128" s="139"/>
      <c r="C128" s="140" t="s">
        <v>233</v>
      </c>
      <c r="D128" s="140" t="s">
        <v>180</v>
      </c>
      <c r="E128" s="141" t="s">
        <v>2138</v>
      </c>
      <c r="F128" s="142" t="s">
        <v>2139</v>
      </c>
      <c r="G128" s="143" t="s">
        <v>332</v>
      </c>
      <c r="H128" s="144">
        <v>5081.82</v>
      </c>
      <c r="I128" s="145"/>
      <c r="J128" s="146">
        <f>ROUND(I128*H128,2)</f>
        <v>0</v>
      </c>
      <c r="K128" s="142" t="s">
        <v>184</v>
      </c>
      <c r="L128" s="35"/>
      <c r="M128" s="147" t="s">
        <v>3</v>
      </c>
      <c r="N128" s="148" t="s">
        <v>48</v>
      </c>
      <c r="O128" s="55"/>
      <c r="P128" s="149">
        <f>O128*H128</f>
        <v>0</v>
      </c>
      <c r="Q128" s="149">
        <v>7.9000000000000008E-3</v>
      </c>
      <c r="R128" s="149">
        <f>Q128*H128</f>
        <v>40.146377999999999</v>
      </c>
      <c r="S128" s="149">
        <v>0</v>
      </c>
      <c r="T128" s="150">
        <f>S128*H128</f>
        <v>0</v>
      </c>
      <c r="U128" s="34"/>
      <c r="V128" s="34"/>
      <c r="W128" s="34"/>
      <c r="X128" s="34"/>
      <c r="Y128" s="34"/>
      <c r="Z128" s="34"/>
      <c r="AA128" s="34"/>
      <c r="AB128" s="34"/>
      <c r="AC128" s="34"/>
      <c r="AD128" s="34"/>
      <c r="AE128" s="34"/>
      <c r="AR128" s="151" t="s">
        <v>185</v>
      </c>
      <c r="AT128" s="151" t="s">
        <v>180</v>
      </c>
      <c r="AU128" s="151" t="s">
        <v>87</v>
      </c>
      <c r="AY128" s="19" t="s">
        <v>177</v>
      </c>
      <c r="BE128" s="152">
        <f>IF(N128="základní",J128,0)</f>
        <v>0</v>
      </c>
      <c r="BF128" s="152">
        <f>IF(N128="snížená",J128,0)</f>
        <v>0</v>
      </c>
      <c r="BG128" s="152">
        <f>IF(N128="zákl. přenesená",J128,0)</f>
        <v>0</v>
      </c>
      <c r="BH128" s="152">
        <f>IF(N128="sníž. přenesená",J128,0)</f>
        <v>0</v>
      </c>
      <c r="BI128" s="152">
        <f>IF(N128="nulová",J128,0)</f>
        <v>0</v>
      </c>
      <c r="BJ128" s="19" t="s">
        <v>85</v>
      </c>
      <c r="BK128" s="152">
        <f>ROUND(I128*H128,2)</f>
        <v>0</v>
      </c>
      <c r="BL128" s="19" t="s">
        <v>185</v>
      </c>
      <c r="BM128" s="151" t="s">
        <v>2140</v>
      </c>
    </row>
    <row r="129" spans="1:65" s="2" customFormat="1" ht="19.5">
      <c r="A129" s="34"/>
      <c r="B129" s="35"/>
      <c r="C129" s="34"/>
      <c r="D129" s="153" t="s">
        <v>187</v>
      </c>
      <c r="E129" s="34"/>
      <c r="F129" s="154" t="s">
        <v>2141</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187</v>
      </c>
      <c r="AU129" s="19" t="s">
        <v>87</v>
      </c>
    </row>
    <row r="130" spans="1:65" s="2" customFormat="1">
      <c r="A130" s="34"/>
      <c r="B130" s="35"/>
      <c r="C130" s="34"/>
      <c r="D130" s="158" t="s">
        <v>189</v>
      </c>
      <c r="E130" s="34"/>
      <c r="F130" s="159" t="s">
        <v>2142</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189</v>
      </c>
      <c r="AU130" s="19" t="s">
        <v>87</v>
      </c>
    </row>
    <row r="131" spans="1:65" s="2" customFormat="1" ht="48.75">
      <c r="A131" s="34"/>
      <c r="B131" s="35"/>
      <c r="C131" s="34"/>
      <c r="D131" s="153" t="s">
        <v>191</v>
      </c>
      <c r="E131" s="34"/>
      <c r="F131" s="160" t="s">
        <v>2127</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191</v>
      </c>
      <c r="AU131" s="19" t="s">
        <v>87</v>
      </c>
    </row>
    <row r="132" spans="1:65" s="13" customFormat="1">
      <c r="B132" s="161"/>
      <c r="D132" s="153" t="s">
        <v>193</v>
      </c>
      <c r="E132" s="162" t="s">
        <v>3</v>
      </c>
      <c r="F132" s="163" t="s">
        <v>2143</v>
      </c>
      <c r="H132" s="164">
        <v>5081.82</v>
      </c>
      <c r="I132" s="165"/>
      <c r="L132" s="161"/>
      <c r="M132" s="166"/>
      <c r="N132" s="167"/>
      <c r="O132" s="167"/>
      <c r="P132" s="167"/>
      <c r="Q132" s="167"/>
      <c r="R132" s="167"/>
      <c r="S132" s="167"/>
      <c r="T132" s="168"/>
      <c r="AT132" s="162" t="s">
        <v>193</v>
      </c>
      <c r="AU132" s="162" t="s">
        <v>87</v>
      </c>
      <c r="AV132" s="13" t="s">
        <v>87</v>
      </c>
      <c r="AW132" s="13" t="s">
        <v>36</v>
      </c>
      <c r="AX132" s="13" t="s">
        <v>85</v>
      </c>
      <c r="AY132" s="162" t="s">
        <v>177</v>
      </c>
    </row>
    <row r="133" spans="1:65" s="2" customFormat="1" ht="16.5" customHeight="1">
      <c r="A133" s="34"/>
      <c r="B133" s="139"/>
      <c r="C133" s="140" t="s">
        <v>241</v>
      </c>
      <c r="D133" s="140" t="s">
        <v>180</v>
      </c>
      <c r="E133" s="141" t="s">
        <v>2144</v>
      </c>
      <c r="F133" s="142" t="s">
        <v>2145</v>
      </c>
      <c r="G133" s="143" t="s">
        <v>332</v>
      </c>
      <c r="H133" s="144">
        <v>31</v>
      </c>
      <c r="I133" s="145"/>
      <c r="J133" s="146">
        <f>ROUND(I133*H133,2)</f>
        <v>0</v>
      </c>
      <c r="K133" s="142" t="s">
        <v>184</v>
      </c>
      <c r="L133" s="35"/>
      <c r="M133" s="147" t="s">
        <v>3</v>
      </c>
      <c r="N133" s="148" t="s">
        <v>48</v>
      </c>
      <c r="O133" s="55"/>
      <c r="P133" s="149">
        <f>O133*H133</f>
        <v>0</v>
      </c>
      <c r="Q133" s="149">
        <v>3.8199999999999998E-2</v>
      </c>
      <c r="R133" s="149">
        <f>Q133*H133</f>
        <v>1.1841999999999999</v>
      </c>
      <c r="S133" s="149">
        <v>0</v>
      </c>
      <c r="T133" s="150">
        <f>S133*H133</f>
        <v>0</v>
      </c>
      <c r="U133" s="34"/>
      <c r="V133" s="34"/>
      <c r="W133" s="34"/>
      <c r="X133" s="34"/>
      <c r="Y133" s="34"/>
      <c r="Z133" s="34"/>
      <c r="AA133" s="34"/>
      <c r="AB133" s="34"/>
      <c r="AC133" s="34"/>
      <c r="AD133" s="34"/>
      <c r="AE133" s="34"/>
      <c r="AR133" s="151" t="s">
        <v>185</v>
      </c>
      <c r="AT133" s="151" t="s">
        <v>180</v>
      </c>
      <c r="AU133" s="151" t="s">
        <v>87</v>
      </c>
      <c r="AY133" s="19" t="s">
        <v>177</v>
      </c>
      <c r="BE133" s="152">
        <f>IF(N133="základní",J133,0)</f>
        <v>0</v>
      </c>
      <c r="BF133" s="152">
        <f>IF(N133="snížená",J133,0)</f>
        <v>0</v>
      </c>
      <c r="BG133" s="152">
        <f>IF(N133="zákl. přenesená",J133,0)</f>
        <v>0</v>
      </c>
      <c r="BH133" s="152">
        <f>IF(N133="sníž. přenesená",J133,0)</f>
        <v>0</v>
      </c>
      <c r="BI133" s="152">
        <f>IF(N133="nulová",J133,0)</f>
        <v>0</v>
      </c>
      <c r="BJ133" s="19" t="s">
        <v>85</v>
      </c>
      <c r="BK133" s="152">
        <f>ROUND(I133*H133,2)</f>
        <v>0</v>
      </c>
      <c r="BL133" s="19" t="s">
        <v>185</v>
      </c>
      <c r="BM133" s="151" t="s">
        <v>2146</v>
      </c>
    </row>
    <row r="134" spans="1:65" s="2" customFormat="1">
      <c r="A134" s="34"/>
      <c r="B134" s="35"/>
      <c r="C134" s="34"/>
      <c r="D134" s="153" t="s">
        <v>187</v>
      </c>
      <c r="E134" s="34"/>
      <c r="F134" s="154" t="s">
        <v>2147</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187</v>
      </c>
      <c r="AU134" s="19" t="s">
        <v>87</v>
      </c>
    </row>
    <row r="135" spans="1:65" s="2" customFormat="1">
      <c r="A135" s="34"/>
      <c r="B135" s="35"/>
      <c r="C135" s="34"/>
      <c r="D135" s="158" t="s">
        <v>189</v>
      </c>
      <c r="E135" s="34"/>
      <c r="F135" s="159" t="s">
        <v>2148</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189</v>
      </c>
      <c r="AU135" s="19" t="s">
        <v>87</v>
      </c>
    </row>
    <row r="136" spans="1:65" s="13" customFormat="1">
      <c r="B136" s="161"/>
      <c r="D136" s="153" t="s">
        <v>193</v>
      </c>
      <c r="E136" s="162" t="s">
        <v>3</v>
      </c>
      <c r="F136" s="163" t="s">
        <v>2149</v>
      </c>
      <c r="H136" s="164">
        <v>11</v>
      </c>
      <c r="I136" s="165"/>
      <c r="L136" s="161"/>
      <c r="M136" s="166"/>
      <c r="N136" s="167"/>
      <c r="O136" s="167"/>
      <c r="P136" s="167"/>
      <c r="Q136" s="167"/>
      <c r="R136" s="167"/>
      <c r="S136" s="167"/>
      <c r="T136" s="168"/>
      <c r="AT136" s="162" t="s">
        <v>193</v>
      </c>
      <c r="AU136" s="162" t="s">
        <v>87</v>
      </c>
      <c r="AV136" s="13" t="s">
        <v>87</v>
      </c>
      <c r="AW136" s="13" t="s">
        <v>36</v>
      </c>
      <c r="AX136" s="13" t="s">
        <v>77</v>
      </c>
      <c r="AY136" s="162" t="s">
        <v>177</v>
      </c>
    </row>
    <row r="137" spans="1:65" s="13" customFormat="1">
      <c r="B137" s="161"/>
      <c r="D137" s="153" t="s">
        <v>193</v>
      </c>
      <c r="E137" s="162" t="s">
        <v>3</v>
      </c>
      <c r="F137" s="163" t="s">
        <v>2150</v>
      </c>
      <c r="H137" s="164">
        <v>5</v>
      </c>
      <c r="I137" s="165"/>
      <c r="L137" s="161"/>
      <c r="M137" s="166"/>
      <c r="N137" s="167"/>
      <c r="O137" s="167"/>
      <c r="P137" s="167"/>
      <c r="Q137" s="167"/>
      <c r="R137" s="167"/>
      <c r="S137" s="167"/>
      <c r="T137" s="168"/>
      <c r="AT137" s="162" t="s">
        <v>193</v>
      </c>
      <c r="AU137" s="162" t="s">
        <v>87</v>
      </c>
      <c r="AV137" s="13" t="s">
        <v>87</v>
      </c>
      <c r="AW137" s="13" t="s">
        <v>36</v>
      </c>
      <c r="AX137" s="13" t="s">
        <v>77</v>
      </c>
      <c r="AY137" s="162" t="s">
        <v>177</v>
      </c>
    </row>
    <row r="138" spans="1:65" s="13" customFormat="1">
      <c r="B138" s="161"/>
      <c r="D138" s="153" t="s">
        <v>193</v>
      </c>
      <c r="E138" s="162" t="s">
        <v>3</v>
      </c>
      <c r="F138" s="163" t="s">
        <v>2151</v>
      </c>
      <c r="H138" s="164">
        <v>15</v>
      </c>
      <c r="I138" s="165"/>
      <c r="L138" s="161"/>
      <c r="M138" s="166"/>
      <c r="N138" s="167"/>
      <c r="O138" s="167"/>
      <c r="P138" s="167"/>
      <c r="Q138" s="167"/>
      <c r="R138" s="167"/>
      <c r="S138" s="167"/>
      <c r="T138" s="168"/>
      <c r="AT138" s="162" t="s">
        <v>193</v>
      </c>
      <c r="AU138" s="162" t="s">
        <v>87</v>
      </c>
      <c r="AV138" s="13" t="s">
        <v>87</v>
      </c>
      <c r="AW138" s="13" t="s">
        <v>36</v>
      </c>
      <c r="AX138" s="13" t="s">
        <v>77</v>
      </c>
      <c r="AY138" s="162" t="s">
        <v>177</v>
      </c>
    </row>
    <row r="139" spans="1:65" s="16" customFormat="1">
      <c r="B139" s="184"/>
      <c r="D139" s="153" t="s">
        <v>193</v>
      </c>
      <c r="E139" s="185" t="s">
        <v>3</v>
      </c>
      <c r="F139" s="186" t="s">
        <v>201</v>
      </c>
      <c r="H139" s="187">
        <v>31</v>
      </c>
      <c r="I139" s="188"/>
      <c r="L139" s="184"/>
      <c r="M139" s="189"/>
      <c r="N139" s="190"/>
      <c r="O139" s="190"/>
      <c r="P139" s="190"/>
      <c r="Q139" s="190"/>
      <c r="R139" s="190"/>
      <c r="S139" s="190"/>
      <c r="T139" s="191"/>
      <c r="AT139" s="185" t="s">
        <v>193</v>
      </c>
      <c r="AU139" s="185" t="s">
        <v>87</v>
      </c>
      <c r="AV139" s="16" t="s">
        <v>185</v>
      </c>
      <c r="AW139" s="16" t="s">
        <v>36</v>
      </c>
      <c r="AX139" s="16" t="s">
        <v>85</v>
      </c>
      <c r="AY139" s="185" t="s">
        <v>177</v>
      </c>
    </row>
    <row r="140" spans="1:65" s="2" customFormat="1" ht="16.5" customHeight="1">
      <c r="A140" s="34"/>
      <c r="B140" s="139"/>
      <c r="C140" s="140" t="s">
        <v>248</v>
      </c>
      <c r="D140" s="140" t="s">
        <v>180</v>
      </c>
      <c r="E140" s="141" t="s">
        <v>2152</v>
      </c>
      <c r="F140" s="142" t="s">
        <v>2153</v>
      </c>
      <c r="G140" s="143" t="s">
        <v>332</v>
      </c>
      <c r="H140" s="144">
        <v>1621.0440000000001</v>
      </c>
      <c r="I140" s="145"/>
      <c r="J140" s="146">
        <f>ROUND(I140*H140,2)</f>
        <v>0</v>
      </c>
      <c r="K140" s="142" t="s">
        <v>184</v>
      </c>
      <c r="L140" s="35"/>
      <c r="M140" s="147" t="s">
        <v>3</v>
      </c>
      <c r="N140" s="148" t="s">
        <v>48</v>
      </c>
      <c r="O140" s="55"/>
      <c r="P140" s="149">
        <f>O140*H140</f>
        <v>0</v>
      </c>
      <c r="Q140" s="149">
        <v>1.89E-3</v>
      </c>
      <c r="R140" s="149">
        <f>Q140*H140</f>
        <v>3.0637731600000002</v>
      </c>
      <c r="S140" s="149">
        <v>0</v>
      </c>
      <c r="T140" s="150">
        <f>S140*H140</f>
        <v>0</v>
      </c>
      <c r="U140" s="34"/>
      <c r="V140" s="34"/>
      <c r="W140" s="34"/>
      <c r="X140" s="34"/>
      <c r="Y140" s="34"/>
      <c r="Z140" s="34"/>
      <c r="AA140" s="34"/>
      <c r="AB140" s="34"/>
      <c r="AC140" s="34"/>
      <c r="AD140" s="34"/>
      <c r="AE140" s="34"/>
      <c r="AR140" s="151" t="s">
        <v>185</v>
      </c>
      <c r="AT140" s="151" t="s">
        <v>180</v>
      </c>
      <c r="AU140" s="151" t="s">
        <v>87</v>
      </c>
      <c r="AY140" s="19" t="s">
        <v>177</v>
      </c>
      <c r="BE140" s="152">
        <f>IF(N140="základní",J140,0)</f>
        <v>0</v>
      </c>
      <c r="BF140" s="152">
        <f>IF(N140="snížená",J140,0)</f>
        <v>0</v>
      </c>
      <c r="BG140" s="152">
        <f>IF(N140="zákl. přenesená",J140,0)</f>
        <v>0</v>
      </c>
      <c r="BH140" s="152">
        <f>IF(N140="sníž. přenesená",J140,0)</f>
        <v>0</v>
      </c>
      <c r="BI140" s="152">
        <f>IF(N140="nulová",J140,0)</f>
        <v>0</v>
      </c>
      <c r="BJ140" s="19" t="s">
        <v>85</v>
      </c>
      <c r="BK140" s="152">
        <f>ROUND(I140*H140,2)</f>
        <v>0</v>
      </c>
      <c r="BL140" s="19" t="s">
        <v>185</v>
      </c>
      <c r="BM140" s="151" t="s">
        <v>2154</v>
      </c>
    </row>
    <row r="141" spans="1:65" s="2" customFormat="1" ht="19.5">
      <c r="A141" s="34"/>
      <c r="B141" s="35"/>
      <c r="C141" s="34"/>
      <c r="D141" s="153" t="s">
        <v>187</v>
      </c>
      <c r="E141" s="34"/>
      <c r="F141" s="154" t="s">
        <v>2155</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187</v>
      </c>
      <c r="AU141" s="19" t="s">
        <v>87</v>
      </c>
    </row>
    <row r="142" spans="1:65" s="2" customFormat="1">
      <c r="A142" s="34"/>
      <c r="B142" s="35"/>
      <c r="C142" s="34"/>
      <c r="D142" s="158" t="s">
        <v>189</v>
      </c>
      <c r="E142" s="34"/>
      <c r="F142" s="159" t="s">
        <v>2156</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189</v>
      </c>
      <c r="AU142" s="19" t="s">
        <v>87</v>
      </c>
    </row>
    <row r="143" spans="1:65" s="14" customFormat="1">
      <c r="B143" s="169"/>
      <c r="D143" s="153" t="s">
        <v>193</v>
      </c>
      <c r="E143" s="170" t="s">
        <v>3</v>
      </c>
      <c r="F143" s="171" t="s">
        <v>2157</v>
      </c>
      <c r="H143" s="170" t="s">
        <v>3</v>
      </c>
      <c r="I143" s="172"/>
      <c r="L143" s="169"/>
      <c r="M143" s="173"/>
      <c r="N143" s="174"/>
      <c r="O143" s="174"/>
      <c r="P143" s="174"/>
      <c r="Q143" s="174"/>
      <c r="R143" s="174"/>
      <c r="S143" s="174"/>
      <c r="T143" s="175"/>
      <c r="AT143" s="170" t="s">
        <v>193</v>
      </c>
      <c r="AU143" s="170" t="s">
        <v>87</v>
      </c>
      <c r="AV143" s="14" t="s">
        <v>85</v>
      </c>
      <c r="AW143" s="14" t="s">
        <v>36</v>
      </c>
      <c r="AX143" s="14" t="s">
        <v>77</v>
      </c>
      <c r="AY143" s="170" t="s">
        <v>177</v>
      </c>
    </row>
    <row r="144" spans="1:65" s="13" customFormat="1">
      <c r="B144" s="161"/>
      <c r="D144" s="153" t="s">
        <v>193</v>
      </c>
      <c r="E144" s="162" t="s">
        <v>3</v>
      </c>
      <c r="F144" s="163" t="s">
        <v>2158</v>
      </c>
      <c r="H144" s="164">
        <v>-72.896000000000001</v>
      </c>
      <c r="I144" s="165"/>
      <c r="L144" s="161"/>
      <c r="M144" s="166"/>
      <c r="N144" s="167"/>
      <c r="O144" s="167"/>
      <c r="P144" s="167"/>
      <c r="Q144" s="167"/>
      <c r="R144" s="167"/>
      <c r="S144" s="167"/>
      <c r="T144" s="168"/>
      <c r="AT144" s="162" t="s">
        <v>193</v>
      </c>
      <c r="AU144" s="162" t="s">
        <v>87</v>
      </c>
      <c r="AV144" s="13" t="s">
        <v>87</v>
      </c>
      <c r="AW144" s="13" t="s">
        <v>36</v>
      </c>
      <c r="AX144" s="13" t="s">
        <v>77</v>
      </c>
      <c r="AY144" s="162" t="s">
        <v>177</v>
      </c>
    </row>
    <row r="145" spans="1:65" s="14" customFormat="1">
      <c r="B145" s="169"/>
      <c r="D145" s="153" t="s">
        <v>193</v>
      </c>
      <c r="E145" s="170" t="s">
        <v>3</v>
      </c>
      <c r="F145" s="171" t="s">
        <v>2159</v>
      </c>
      <c r="H145" s="170" t="s">
        <v>3</v>
      </c>
      <c r="I145" s="172"/>
      <c r="L145" s="169"/>
      <c r="M145" s="173"/>
      <c r="N145" s="174"/>
      <c r="O145" s="174"/>
      <c r="P145" s="174"/>
      <c r="Q145" s="174"/>
      <c r="R145" s="174"/>
      <c r="S145" s="174"/>
      <c r="T145" s="175"/>
      <c r="AT145" s="170" t="s">
        <v>193</v>
      </c>
      <c r="AU145" s="170" t="s">
        <v>87</v>
      </c>
      <c r="AV145" s="14" t="s">
        <v>85</v>
      </c>
      <c r="AW145" s="14" t="s">
        <v>36</v>
      </c>
      <c r="AX145" s="14" t="s">
        <v>77</v>
      </c>
      <c r="AY145" s="170" t="s">
        <v>177</v>
      </c>
    </row>
    <row r="146" spans="1:65" s="13" customFormat="1">
      <c r="B146" s="161"/>
      <c r="D146" s="153" t="s">
        <v>193</v>
      </c>
      <c r="E146" s="162" t="s">
        <v>3</v>
      </c>
      <c r="F146" s="163" t="s">
        <v>2160</v>
      </c>
      <c r="H146" s="164">
        <v>1693.94</v>
      </c>
      <c r="I146" s="165"/>
      <c r="L146" s="161"/>
      <c r="M146" s="166"/>
      <c r="N146" s="167"/>
      <c r="O146" s="167"/>
      <c r="P146" s="167"/>
      <c r="Q146" s="167"/>
      <c r="R146" s="167"/>
      <c r="S146" s="167"/>
      <c r="T146" s="168"/>
      <c r="AT146" s="162" t="s">
        <v>193</v>
      </c>
      <c r="AU146" s="162" t="s">
        <v>87</v>
      </c>
      <c r="AV146" s="13" t="s">
        <v>87</v>
      </c>
      <c r="AW146" s="13" t="s">
        <v>36</v>
      </c>
      <c r="AX146" s="13" t="s">
        <v>77</v>
      </c>
      <c r="AY146" s="162" t="s">
        <v>177</v>
      </c>
    </row>
    <row r="147" spans="1:65" s="16" customFormat="1">
      <c r="B147" s="184"/>
      <c r="D147" s="153" t="s">
        <v>193</v>
      </c>
      <c r="E147" s="185" t="s">
        <v>3</v>
      </c>
      <c r="F147" s="186" t="s">
        <v>201</v>
      </c>
      <c r="H147" s="187">
        <v>1621.0440000000001</v>
      </c>
      <c r="I147" s="188"/>
      <c r="L147" s="184"/>
      <c r="M147" s="189"/>
      <c r="N147" s="190"/>
      <c r="O147" s="190"/>
      <c r="P147" s="190"/>
      <c r="Q147" s="190"/>
      <c r="R147" s="190"/>
      <c r="S147" s="190"/>
      <c r="T147" s="191"/>
      <c r="AT147" s="185" t="s">
        <v>193</v>
      </c>
      <c r="AU147" s="185" t="s">
        <v>87</v>
      </c>
      <c r="AV147" s="16" t="s">
        <v>185</v>
      </c>
      <c r="AW147" s="16" t="s">
        <v>36</v>
      </c>
      <c r="AX147" s="16" t="s">
        <v>85</v>
      </c>
      <c r="AY147" s="185" t="s">
        <v>177</v>
      </c>
    </row>
    <row r="148" spans="1:65" s="2" customFormat="1" ht="16.5" customHeight="1">
      <c r="A148" s="34"/>
      <c r="B148" s="139"/>
      <c r="C148" s="140" t="s">
        <v>252</v>
      </c>
      <c r="D148" s="140" t="s">
        <v>180</v>
      </c>
      <c r="E148" s="141" t="s">
        <v>2161</v>
      </c>
      <c r="F148" s="142" t="s">
        <v>2162</v>
      </c>
      <c r="G148" s="143" t="s">
        <v>332</v>
      </c>
      <c r="H148" s="144">
        <v>337.6</v>
      </c>
      <c r="I148" s="145"/>
      <c r="J148" s="146">
        <f>ROUND(I148*H148,2)</f>
        <v>0</v>
      </c>
      <c r="K148" s="142" t="s">
        <v>184</v>
      </c>
      <c r="L148" s="35"/>
      <c r="M148" s="147" t="s">
        <v>3</v>
      </c>
      <c r="N148" s="148" t="s">
        <v>48</v>
      </c>
      <c r="O148" s="55"/>
      <c r="P148" s="149">
        <f>O148*H148</f>
        <v>0</v>
      </c>
      <c r="Q148" s="149">
        <v>2.63E-4</v>
      </c>
      <c r="R148" s="149">
        <f>Q148*H148</f>
        <v>8.8788800000000001E-2</v>
      </c>
      <c r="S148" s="149">
        <v>0</v>
      </c>
      <c r="T148" s="150">
        <f>S148*H148</f>
        <v>0</v>
      </c>
      <c r="U148" s="34"/>
      <c r="V148" s="34"/>
      <c r="W148" s="34"/>
      <c r="X148" s="34"/>
      <c r="Y148" s="34"/>
      <c r="Z148" s="34"/>
      <c r="AA148" s="34"/>
      <c r="AB148" s="34"/>
      <c r="AC148" s="34"/>
      <c r="AD148" s="34"/>
      <c r="AE148" s="34"/>
      <c r="AR148" s="151" t="s">
        <v>185</v>
      </c>
      <c r="AT148" s="151" t="s">
        <v>180</v>
      </c>
      <c r="AU148" s="151" t="s">
        <v>87</v>
      </c>
      <c r="AY148" s="19" t="s">
        <v>177</v>
      </c>
      <c r="BE148" s="152">
        <f>IF(N148="základní",J148,0)</f>
        <v>0</v>
      </c>
      <c r="BF148" s="152">
        <f>IF(N148="snížená",J148,0)</f>
        <v>0</v>
      </c>
      <c r="BG148" s="152">
        <f>IF(N148="zákl. přenesená",J148,0)</f>
        <v>0</v>
      </c>
      <c r="BH148" s="152">
        <f>IF(N148="sníž. přenesená",J148,0)</f>
        <v>0</v>
      </c>
      <c r="BI148" s="152">
        <f>IF(N148="nulová",J148,0)</f>
        <v>0</v>
      </c>
      <c r="BJ148" s="19" t="s">
        <v>85</v>
      </c>
      <c r="BK148" s="152">
        <f>ROUND(I148*H148,2)</f>
        <v>0</v>
      </c>
      <c r="BL148" s="19" t="s">
        <v>185</v>
      </c>
      <c r="BM148" s="151" t="s">
        <v>2163</v>
      </c>
    </row>
    <row r="149" spans="1:65" s="2" customFormat="1">
      <c r="A149" s="34"/>
      <c r="B149" s="35"/>
      <c r="C149" s="34"/>
      <c r="D149" s="153" t="s">
        <v>187</v>
      </c>
      <c r="E149" s="34"/>
      <c r="F149" s="154" t="s">
        <v>2164</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187</v>
      </c>
      <c r="AU149" s="19" t="s">
        <v>87</v>
      </c>
    </row>
    <row r="150" spans="1:65" s="2" customFormat="1">
      <c r="A150" s="34"/>
      <c r="B150" s="35"/>
      <c r="C150" s="34"/>
      <c r="D150" s="158" t="s">
        <v>189</v>
      </c>
      <c r="E150" s="34"/>
      <c r="F150" s="159" t="s">
        <v>2165</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189</v>
      </c>
      <c r="AU150" s="19" t="s">
        <v>87</v>
      </c>
    </row>
    <row r="151" spans="1:65" s="13" customFormat="1">
      <c r="B151" s="161"/>
      <c r="D151" s="153" t="s">
        <v>193</v>
      </c>
      <c r="E151" s="162" t="s">
        <v>3</v>
      </c>
      <c r="F151" s="163" t="s">
        <v>2166</v>
      </c>
      <c r="H151" s="164">
        <v>84.8</v>
      </c>
      <c r="I151" s="165"/>
      <c r="L151" s="161"/>
      <c r="M151" s="166"/>
      <c r="N151" s="167"/>
      <c r="O151" s="167"/>
      <c r="P151" s="167"/>
      <c r="Q151" s="167"/>
      <c r="R151" s="167"/>
      <c r="S151" s="167"/>
      <c r="T151" s="168"/>
      <c r="AT151" s="162" t="s">
        <v>193</v>
      </c>
      <c r="AU151" s="162" t="s">
        <v>87</v>
      </c>
      <c r="AV151" s="13" t="s">
        <v>87</v>
      </c>
      <c r="AW151" s="13" t="s">
        <v>36</v>
      </c>
      <c r="AX151" s="13" t="s">
        <v>77</v>
      </c>
      <c r="AY151" s="162" t="s">
        <v>177</v>
      </c>
    </row>
    <row r="152" spans="1:65" s="13" customFormat="1">
      <c r="B152" s="161"/>
      <c r="D152" s="153" t="s">
        <v>193</v>
      </c>
      <c r="E152" s="162" t="s">
        <v>3</v>
      </c>
      <c r="F152" s="163" t="s">
        <v>2167</v>
      </c>
      <c r="H152" s="164">
        <v>126.4</v>
      </c>
      <c r="I152" s="165"/>
      <c r="L152" s="161"/>
      <c r="M152" s="166"/>
      <c r="N152" s="167"/>
      <c r="O152" s="167"/>
      <c r="P152" s="167"/>
      <c r="Q152" s="167"/>
      <c r="R152" s="167"/>
      <c r="S152" s="167"/>
      <c r="T152" s="168"/>
      <c r="AT152" s="162" t="s">
        <v>193</v>
      </c>
      <c r="AU152" s="162" t="s">
        <v>87</v>
      </c>
      <c r="AV152" s="13" t="s">
        <v>87</v>
      </c>
      <c r="AW152" s="13" t="s">
        <v>36</v>
      </c>
      <c r="AX152" s="13" t="s">
        <v>77</v>
      </c>
      <c r="AY152" s="162" t="s">
        <v>177</v>
      </c>
    </row>
    <row r="153" spans="1:65" s="13" customFormat="1">
      <c r="B153" s="161"/>
      <c r="D153" s="153" t="s">
        <v>193</v>
      </c>
      <c r="E153" s="162" t="s">
        <v>3</v>
      </c>
      <c r="F153" s="163" t="s">
        <v>2167</v>
      </c>
      <c r="H153" s="164">
        <v>126.4</v>
      </c>
      <c r="I153" s="165"/>
      <c r="L153" s="161"/>
      <c r="M153" s="166"/>
      <c r="N153" s="167"/>
      <c r="O153" s="167"/>
      <c r="P153" s="167"/>
      <c r="Q153" s="167"/>
      <c r="R153" s="167"/>
      <c r="S153" s="167"/>
      <c r="T153" s="168"/>
      <c r="AT153" s="162" t="s">
        <v>193</v>
      </c>
      <c r="AU153" s="162" t="s">
        <v>87</v>
      </c>
      <c r="AV153" s="13" t="s">
        <v>87</v>
      </c>
      <c r="AW153" s="13" t="s">
        <v>36</v>
      </c>
      <c r="AX153" s="13" t="s">
        <v>77</v>
      </c>
      <c r="AY153" s="162" t="s">
        <v>177</v>
      </c>
    </row>
    <row r="154" spans="1:65" s="16" customFormat="1">
      <c r="B154" s="184"/>
      <c r="D154" s="153" t="s">
        <v>193</v>
      </c>
      <c r="E154" s="185" t="s">
        <v>3</v>
      </c>
      <c r="F154" s="186" t="s">
        <v>201</v>
      </c>
      <c r="H154" s="187">
        <v>337.6</v>
      </c>
      <c r="I154" s="188"/>
      <c r="L154" s="184"/>
      <c r="M154" s="189"/>
      <c r="N154" s="190"/>
      <c r="O154" s="190"/>
      <c r="P154" s="190"/>
      <c r="Q154" s="190"/>
      <c r="R154" s="190"/>
      <c r="S154" s="190"/>
      <c r="T154" s="191"/>
      <c r="AT154" s="185" t="s">
        <v>193</v>
      </c>
      <c r="AU154" s="185" t="s">
        <v>87</v>
      </c>
      <c r="AV154" s="16" t="s">
        <v>185</v>
      </c>
      <c r="AW154" s="16" t="s">
        <v>36</v>
      </c>
      <c r="AX154" s="16" t="s">
        <v>85</v>
      </c>
      <c r="AY154" s="185" t="s">
        <v>177</v>
      </c>
    </row>
    <row r="155" spans="1:65" s="2" customFormat="1" ht="16.5" customHeight="1">
      <c r="A155" s="34"/>
      <c r="B155" s="139"/>
      <c r="C155" s="140" t="s">
        <v>258</v>
      </c>
      <c r="D155" s="140" t="s">
        <v>180</v>
      </c>
      <c r="E155" s="141" t="s">
        <v>2161</v>
      </c>
      <c r="F155" s="142" t="s">
        <v>2162</v>
      </c>
      <c r="G155" s="143" t="s">
        <v>332</v>
      </c>
      <c r="H155" s="144">
        <v>337.6</v>
      </c>
      <c r="I155" s="145"/>
      <c r="J155" s="146">
        <f>ROUND(I155*H155,2)</f>
        <v>0</v>
      </c>
      <c r="K155" s="142" t="s">
        <v>184</v>
      </c>
      <c r="L155" s="35"/>
      <c r="M155" s="147" t="s">
        <v>3</v>
      </c>
      <c r="N155" s="148" t="s">
        <v>48</v>
      </c>
      <c r="O155" s="55"/>
      <c r="P155" s="149">
        <f>O155*H155</f>
        <v>0</v>
      </c>
      <c r="Q155" s="149">
        <v>2.5999999999999998E-4</v>
      </c>
      <c r="R155" s="149">
        <f>Q155*H155</f>
        <v>8.7775999999999993E-2</v>
      </c>
      <c r="S155" s="149">
        <v>0</v>
      </c>
      <c r="T155" s="150">
        <f>S155*H155</f>
        <v>0</v>
      </c>
      <c r="U155" s="34"/>
      <c r="V155" s="34"/>
      <c r="W155" s="34"/>
      <c r="X155" s="34"/>
      <c r="Y155" s="34"/>
      <c r="Z155" s="34"/>
      <c r="AA155" s="34"/>
      <c r="AB155" s="34"/>
      <c r="AC155" s="34"/>
      <c r="AD155" s="34"/>
      <c r="AE155" s="34"/>
      <c r="AR155" s="151" t="s">
        <v>185</v>
      </c>
      <c r="AT155" s="151" t="s">
        <v>180</v>
      </c>
      <c r="AU155" s="151" t="s">
        <v>87</v>
      </c>
      <c r="AY155" s="19" t="s">
        <v>177</v>
      </c>
      <c r="BE155" s="152">
        <f>IF(N155="základní",J155,0)</f>
        <v>0</v>
      </c>
      <c r="BF155" s="152">
        <f>IF(N155="snížená",J155,0)</f>
        <v>0</v>
      </c>
      <c r="BG155" s="152">
        <f>IF(N155="zákl. přenesená",J155,0)</f>
        <v>0</v>
      </c>
      <c r="BH155" s="152">
        <f>IF(N155="sníž. přenesená",J155,0)</f>
        <v>0</v>
      </c>
      <c r="BI155" s="152">
        <f>IF(N155="nulová",J155,0)</f>
        <v>0</v>
      </c>
      <c r="BJ155" s="19" t="s">
        <v>85</v>
      </c>
      <c r="BK155" s="152">
        <f>ROUND(I155*H155,2)</f>
        <v>0</v>
      </c>
      <c r="BL155" s="19" t="s">
        <v>185</v>
      </c>
      <c r="BM155" s="151" t="s">
        <v>2168</v>
      </c>
    </row>
    <row r="156" spans="1:65" s="2" customFormat="1">
      <c r="A156" s="34"/>
      <c r="B156" s="35"/>
      <c r="C156" s="34"/>
      <c r="D156" s="153" t="s">
        <v>187</v>
      </c>
      <c r="E156" s="34"/>
      <c r="F156" s="154" t="s">
        <v>2164</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187</v>
      </c>
      <c r="AU156" s="19" t="s">
        <v>87</v>
      </c>
    </row>
    <row r="157" spans="1:65" s="2" customFormat="1">
      <c r="A157" s="34"/>
      <c r="B157" s="35"/>
      <c r="C157" s="34"/>
      <c r="D157" s="158" t="s">
        <v>189</v>
      </c>
      <c r="E157" s="34"/>
      <c r="F157" s="159" t="s">
        <v>2165</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189</v>
      </c>
      <c r="AU157" s="19" t="s">
        <v>87</v>
      </c>
    </row>
    <row r="158" spans="1:65" s="13" customFormat="1">
      <c r="B158" s="161"/>
      <c r="D158" s="153" t="s">
        <v>193</v>
      </c>
      <c r="E158" s="162" t="s">
        <v>3</v>
      </c>
      <c r="F158" s="163" t="s">
        <v>2169</v>
      </c>
      <c r="H158" s="164">
        <v>337.6</v>
      </c>
      <c r="I158" s="165"/>
      <c r="L158" s="161"/>
      <c r="M158" s="166"/>
      <c r="N158" s="167"/>
      <c r="O158" s="167"/>
      <c r="P158" s="167"/>
      <c r="Q158" s="167"/>
      <c r="R158" s="167"/>
      <c r="S158" s="167"/>
      <c r="T158" s="168"/>
      <c r="AT158" s="162" t="s">
        <v>193</v>
      </c>
      <c r="AU158" s="162" t="s">
        <v>87</v>
      </c>
      <c r="AV158" s="13" t="s">
        <v>87</v>
      </c>
      <c r="AW158" s="13" t="s">
        <v>36</v>
      </c>
      <c r="AX158" s="13" t="s">
        <v>85</v>
      </c>
      <c r="AY158" s="162" t="s">
        <v>177</v>
      </c>
    </row>
    <row r="159" spans="1:65" s="2" customFormat="1" ht="16.5" customHeight="1">
      <c r="A159" s="34"/>
      <c r="B159" s="139"/>
      <c r="C159" s="140" t="s">
        <v>265</v>
      </c>
      <c r="D159" s="140" t="s">
        <v>180</v>
      </c>
      <c r="E159" s="141" t="s">
        <v>2170</v>
      </c>
      <c r="F159" s="142" t="s">
        <v>2171</v>
      </c>
      <c r="G159" s="143" t="s">
        <v>332</v>
      </c>
      <c r="H159" s="144">
        <v>337.6</v>
      </c>
      <c r="I159" s="145"/>
      <c r="J159" s="146">
        <f>ROUND(I159*H159,2)</f>
        <v>0</v>
      </c>
      <c r="K159" s="142" t="s">
        <v>184</v>
      </c>
      <c r="L159" s="35"/>
      <c r="M159" s="147" t="s">
        <v>3</v>
      </c>
      <c r="N159" s="148" t="s">
        <v>48</v>
      </c>
      <c r="O159" s="55"/>
      <c r="P159" s="149">
        <f>O159*H159</f>
        <v>0</v>
      </c>
      <c r="Q159" s="149">
        <v>4.4079999999999996E-3</v>
      </c>
      <c r="R159" s="149">
        <f>Q159*H159</f>
        <v>1.4881408</v>
      </c>
      <c r="S159" s="149">
        <v>0</v>
      </c>
      <c r="T159" s="150">
        <f>S159*H159</f>
        <v>0</v>
      </c>
      <c r="U159" s="34"/>
      <c r="V159" s="34"/>
      <c r="W159" s="34"/>
      <c r="X159" s="34"/>
      <c r="Y159" s="34"/>
      <c r="Z159" s="34"/>
      <c r="AA159" s="34"/>
      <c r="AB159" s="34"/>
      <c r="AC159" s="34"/>
      <c r="AD159" s="34"/>
      <c r="AE159" s="34"/>
      <c r="AR159" s="151" t="s">
        <v>185</v>
      </c>
      <c r="AT159" s="151" t="s">
        <v>180</v>
      </c>
      <c r="AU159" s="151" t="s">
        <v>87</v>
      </c>
      <c r="AY159" s="19" t="s">
        <v>177</v>
      </c>
      <c r="BE159" s="152">
        <f>IF(N159="základní",J159,0)</f>
        <v>0</v>
      </c>
      <c r="BF159" s="152">
        <f>IF(N159="snížená",J159,0)</f>
        <v>0</v>
      </c>
      <c r="BG159" s="152">
        <f>IF(N159="zákl. přenesená",J159,0)</f>
        <v>0</v>
      </c>
      <c r="BH159" s="152">
        <f>IF(N159="sníž. přenesená",J159,0)</f>
        <v>0</v>
      </c>
      <c r="BI159" s="152">
        <f>IF(N159="nulová",J159,0)</f>
        <v>0</v>
      </c>
      <c r="BJ159" s="19" t="s">
        <v>85</v>
      </c>
      <c r="BK159" s="152">
        <f>ROUND(I159*H159,2)</f>
        <v>0</v>
      </c>
      <c r="BL159" s="19" t="s">
        <v>185</v>
      </c>
      <c r="BM159" s="151" t="s">
        <v>2172</v>
      </c>
    </row>
    <row r="160" spans="1:65" s="2" customFormat="1">
      <c r="A160" s="34"/>
      <c r="B160" s="35"/>
      <c r="C160" s="34"/>
      <c r="D160" s="153" t="s">
        <v>187</v>
      </c>
      <c r="E160" s="34"/>
      <c r="F160" s="154" t="s">
        <v>2173</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187</v>
      </c>
      <c r="AU160" s="19" t="s">
        <v>87</v>
      </c>
    </row>
    <row r="161" spans="1:65" s="2" customFormat="1">
      <c r="A161" s="34"/>
      <c r="B161" s="35"/>
      <c r="C161" s="34"/>
      <c r="D161" s="158" t="s">
        <v>189</v>
      </c>
      <c r="E161" s="34"/>
      <c r="F161" s="159" t="s">
        <v>2174</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189</v>
      </c>
      <c r="AU161" s="19" t="s">
        <v>87</v>
      </c>
    </row>
    <row r="162" spans="1:65" s="2" customFormat="1" ht="29.25">
      <c r="A162" s="34"/>
      <c r="B162" s="35"/>
      <c r="C162" s="34"/>
      <c r="D162" s="153" t="s">
        <v>191</v>
      </c>
      <c r="E162" s="34"/>
      <c r="F162" s="160" t="s">
        <v>639</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191</v>
      </c>
      <c r="AU162" s="19" t="s">
        <v>87</v>
      </c>
    </row>
    <row r="163" spans="1:65" s="2" customFormat="1" ht="16.5" customHeight="1">
      <c r="A163" s="34"/>
      <c r="B163" s="139"/>
      <c r="C163" s="140" t="s">
        <v>271</v>
      </c>
      <c r="D163" s="140" t="s">
        <v>180</v>
      </c>
      <c r="E163" s="141" t="s">
        <v>2175</v>
      </c>
      <c r="F163" s="142" t="s">
        <v>2176</v>
      </c>
      <c r="G163" s="143" t="s">
        <v>332</v>
      </c>
      <c r="H163" s="144">
        <v>337.6</v>
      </c>
      <c r="I163" s="145"/>
      <c r="J163" s="146">
        <f>ROUND(I163*H163,2)</f>
        <v>0</v>
      </c>
      <c r="K163" s="142" t="s">
        <v>184</v>
      </c>
      <c r="L163" s="35"/>
      <c r="M163" s="147" t="s">
        <v>3</v>
      </c>
      <c r="N163" s="148" t="s">
        <v>48</v>
      </c>
      <c r="O163" s="55"/>
      <c r="P163" s="149">
        <f>O163*H163</f>
        <v>0</v>
      </c>
      <c r="Q163" s="149">
        <v>1.89E-3</v>
      </c>
      <c r="R163" s="149">
        <f>Q163*H163</f>
        <v>0.63806400000000008</v>
      </c>
      <c r="S163" s="149">
        <v>0</v>
      </c>
      <c r="T163" s="150">
        <f>S163*H163</f>
        <v>0</v>
      </c>
      <c r="U163" s="34"/>
      <c r="V163" s="34"/>
      <c r="W163" s="34"/>
      <c r="X163" s="34"/>
      <c r="Y163" s="34"/>
      <c r="Z163" s="34"/>
      <c r="AA163" s="34"/>
      <c r="AB163" s="34"/>
      <c r="AC163" s="34"/>
      <c r="AD163" s="34"/>
      <c r="AE163" s="34"/>
      <c r="AR163" s="151" t="s">
        <v>185</v>
      </c>
      <c r="AT163" s="151" t="s">
        <v>180</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2177</v>
      </c>
    </row>
    <row r="164" spans="1:65" s="2" customFormat="1">
      <c r="A164" s="34"/>
      <c r="B164" s="35"/>
      <c r="C164" s="34"/>
      <c r="D164" s="153" t="s">
        <v>187</v>
      </c>
      <c r="E164" s="34"/>
      <c r="F164" s="154" t="s">
        <v>2178</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c r="A165" s="34"/>
      <c r="B165" s="35"/>
      <c r="C165" s="34"/>
      <c r="D165" s="158" t="s">
        <v>189</v>
      </c>
      <c r="E165" s="34"/>
      <c r="F165" s="159" t="s">
        <v>2179</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87</v>
      </c>
    </row>
    <row r="166" spans="1:65" s="2" customFormat="1" ht="16.5" customHeight="1">
      <c r="A166" s="34"/>
      <c r="B166" s="139"/>
      <c r="C166" s="140" t="s">
        <v>277</v>
      </c>
      <c r="D166" s="140" t="s">
        <v>180</v>
      </c>
      <c r="E166" s="141" t="s">
        <v>2180</v>
      </c>
      <c r="F166" s="142" t="s">
        <v>2181</v>
      </c>
      <c r="G166" s="143" t="s">
        <v>332</v>
      </c>
      <c r="H166" s="144">
        <v>539.20000000000005</v>
      </c>
      <c r="I166" s="145"/>
      <c r="J166" s="146">
        <f>ROUND(I166*H166,2)</f>
        <v>0</v>
      </c>
      <c r="K166" s="142" t="s">
        <v>184</v>
      </c>
      <c r="L166" s="35"/>
      <c r="M166" s="147" t="s">
        <v>3</v>
      </c>
      <c r="N166" s="148" t="s">
        <v>48</v>
      </c>
      <c r="O166" s="55"/>
      <c r="P166" s="149">
        <f>O166*H166</f>
        <v>0</v>
      </c>
      <c r="Q166" s="149">
        <v>9.3840000000000007E-2</v>
      </c>
      <c r="R166" s="149">
        <f>Q166*H166</f>
        <v>50.598528000000009</v>
      </c>
      <c r="S166" s="149">
        <v>0</v>
      </c>
      <c r="T166" s="150">
        <f>S166*H166</f>
        <v>0</v>
      </c>
      <c r="U166" s="34"/>
      <c r="V166" s="34"/>
      <c r="W166" s="34"/>
      <c r="X166" s="34"/>
      <c r="Y166" s="34"/>
      <c r="Z166" s="34"/>
      <c r="AA166" s="34"/>
      <c r="AB166" s="34"/>
      <c r="AC166" s="34"/>
      <c r="AD166" s="34"/>
      <c r="AE166" s="34"/>
      <c r="AR166" s="151" t="s">
        <v>185</v>
      </c>
      <c r="AT166" s="151" t="s">
        <v>180</v>
      </c>
      <c r="AU166" s="151" t="s">
        <v>87</v>
      </c>
      <c r="AY166" s="19" t="s">
        <v>177</v>
      </c>
      <c r="BE166" s="152">
        <f>IF(N166="základní",J166,0)</f>
        <v>0</v>
      </c>
      <c r="BF166" s="152">
        <f>IF(N166="snížená",J166,0)</f>
        <v>0</v>
      </c>
      <c r="BG166" s="152">
        <f>IF(N166="zákl. přenesená",J166,0)</f>
        <v>0</v>
      </c>
      <c r="BH166" s="152">
        <f>IF(N166="sníž. přenesená",J166,0)</f>
        <v>0</v>
      </c>
      <c r="BI166" s="152">
        <f>IF(N166="nulová",J166,0)</f>
        <v>0</v>
      </c>
      <c r="BJ166" s="19" t="s">
        <v>85</v>
      </c>
      <c r="BK166" s="152">
        <f>ROUND(I166*H166,2)</f>
        <v>0</v>
      </c>
      <c r="BL166" s="19" t="s">
        <v>185</v>
      </c>
      <c r="BM166" s="151" t="s">
        <v>2182</v>
      </c>
    </row>
    <row r="167" spans="1:65" s="2" customFormat="1">
      <c r="A167" s="34"/>
      <c r="B167" s="35"/>
      <c r="C167" s="34"/>
      <c r="D167" s="153" t="s">
        <v>187</v>
      </c>
      <c r="E167" s="34"/>
      <c r="F167" s="154" t="s">
        <v>2183</v>
      </c>
      <c r="G167" s="34"/>
      <c r="H167" s="34"/>
      <c r="I167" s="155"/>
      <c r="J167" s="34"/>
      <c r="K167" s="34"/>
      <c r="L167" s="35"/>
      <c r="M167" s="156"/>
      <c r="N167" s="157"/>
      <c r="O167" s="55"/>
      <c r="P167" s="55"/>
      <c r="Q167" s="55"/>
      <c r="R167" s="55"/>
      <c r="S167" s="55"/>
      <c r="T167" s="56"/>
      <c r="U167" s="34"/>
      <c r="V167" s="34"/>
      <c r="W167" s="34"/>
      <c r="X167" s="34"/>
      <c r="Y167" s="34"/>
      <c r="Z167" s="34"/>
      <c r="AA167" s="34"/>
      <c r="AB167" s="34"/>
      <c r="AC167" s="34"/>
      <c r="AD167" s="34"/>
      <c r="AE167" s="34"/>
      <c r="AT167" s="19" t="s">
        <v>187</v>
      </c>
      <c r="AU167" s="19" t="s">
        <v>87</v>
      </c>
    </row>
    <row r="168" spans="1:65" s="2" customFormat="1">
      <c r="A168" s="34"/>
      <c r="B168" s="35"/>
      <c r="C168" s="34"/>
      <c r="D168" s="158" t="s">
        <v>189</v>
      </c>
      <c r="E168" s="34"/>
      <c r="F168" s="159" t="s">
        <v>2184</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189</v>
      </c>
      <c r="AU168" s="19" t="s">
        <v>87</v>
      </c>
    </row>
    <row r="169" spans="1:65" s="2" customFormat="1" ht="39">
      <c r="A169" s="34"/>
      <c r="B169" s="35"/>
      <c r="C169" s="34"/>
      <c r="D169" s="153" t="s">
        <v>191</v>
      </c>
      <c r="E169" s="34"/>
      <c r="F169" s="160" t="s">
        <v>2185</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191</v>
      </c>
      <c r="AU169" s="19" t="s">
        <v>87</v>
      </c>
    </row>
    <row r="170" spans="1:65" s="2" customFormat="1" ht="16.5" customHeight="1">
      <c r="A170" s="34"/>
      <c r="B170" s="139"/>
      <c r="C170" s="140" t="s">
        <v>283</v>
      </c>
      <c r="D170" s="140" t="s">
        <v>180</v>
      </c>
      <c r="E170" s="141" t="s">
        <v>2186</v>
      </c>
      <c r="F170" s="142" t="s">
        <v>2187</v>
      </c>
      <c r="G170" s="143" t="s">
        <v>332</v>
      </c>
      <c r="H170" s="144">
        <v>2.94</v>
      </c>
      <c r="I170" s="145"/>
      <c r="J170" s="146">
        <f>ROUND(I170*H170,2)</f>
        <v>0</v>
      </c>
      <c r="K170" s="142" t="s">
        <v>184</v>
      </c>
      <c r="L170" s="35"/>
      <c r="M170" s="147" t="s">
        <v>3</v>
      </c>
      <c r="N170" s="148" t="s">
        <v>48</v>
      </c>
      <c r="O170" s="55"/>
      <c r="P170" s="149">
        <f>O170*H170</f>
        <v>0</v>
      </c>
      <c r="Q170" s="149">
        <v>0.1173</v>
      </c>
      <c r="R170" s="149">
        <f>Q170*H170</f>
        <v>0.344862</v>
      </c>
      <c r="S170" s="149">
        <v>0</v>
      </c>
      <c r="T170" s="150">
        <f>S170*H170</f>
        <v>0</v>
      </c>
      <c r="U170" s="34"/>
      <c r="V170" s="34"/>
      <c r="W170" s="34"/>
      <c r="X170" s="34"/>
      <c r="Y170" s="34"/>
      <c r="Z170" s="34"/>
      <c r="AA170" s="34"/>
      <c r="AB170" s="34"/>
      <c r="AC170" s="34"/>
      <c r="AD170" s="34"/>
      <c r="AE170" s="34"/>
      <c r="AR170" s="151" t="s">
        <v>185</v>
      </c>
      <c r="AT170" s="151" t="s">
        <v>180</v>
      </c>
      <c r="AU170" s="151" t="s">
        <v>87</v>
      </c>
      <c r="AY170" s="19" t="s">
        <v>177</v>
      </c>
      <c r="BE170" s="152">
        <f>IF(N170="základní",J170,0)</f>
        <v>0</v>
      </c>
      <c r="BF170" s="152">
        <f>IF(N170="snížená",J170,0)</f>
        <v>0</v>
      </c>
      <c r="BG170" s="152">
        <f>IF(N170="zákl. přenesená",J170,0)</f>
        <v>0</v>
      </c>
      <c r="BH170" s="152">
        <f>IF(N170="sníž. přenesená",J170,0)</f>
        <v>0</v>
      </c>
      <c r="BI170" s="152">
        <f>IF(N170="nulová",J170,0)</f>
        <v>0</v>
      </c>
      <c r="BJ170" s="19" t="s">
        <v>85</v>
      </c>
      <c r="BK170" s="152">
        <f>ROUND(I170*H170,2)</f>
        <v>0</v>
      </c>
      <c r="BL170" s="19" t="s">
        <v>185</v>
      </c>
      <c r="BM170" s="151" t="s">
        <v>2188</v>
      </c>
    </row>
    <row r="171" spans="1:65" s="2" customFormat="1">
      <c r="A171" s="34"/>
      <c r="B171" s="35"/>
      <c r="C171" s="34"/>
      <c r="D171" s="153" t="s">
        <v>187</v>
      </c>
      <c r="E171" s="34"/>
      <c r="F171" s="154" t="s">
        <v>2189</v>
      </c>
      <c r="G171" s="34"/>
      <c r="H171" s="34"/>
      <c r="I171" s="155"/>
      <c r="J171" s="34"/>
      <c r="K171" s="34"/>
      <c r="L171" s="35"/>
      <c r="M171" s="156"/>
      <c r="N171" s="157"/>
      <c r="O171" s="55"/>
      <c r="P171" s="55"/>
      <c r="Q171" s="55"/>
      <c r="R171" s="55"/>
      <c r="S171" s="55"/>
      <c r="T171" s="56"/>
      <c r="U171" s="34"/>
      <c r="V171" s="34"/>
      <c r="W171" s="34"/>
      <c r="X171" s="34"/>
      <c r="Y171" s="34"/>
      <c r="Z171" s="34"/>
      <c r="AA171" s="34"/>
      <c r="AB171" s="34"/>
      <c r="AC171" s="34"/>
      <c r="AD171" s="34"/>
      <c r="AE171" s="34"/>
      <c r="AT171" s="19" t="s">
        <v>187</v>
      </c>
      <c r="AU171" s="19" t="s">
        <v>87</v>
      </c>
    </row>
    <row r="172" spans="1:65" s="2" customFormat="1">
      <c r="A172" s="34"/>
      <c r="B172" s="35"/>
      <c r="C172" s="34"/>
      <c r="D172" s="158" t="s">
        <v>189</v>
      </c>
      <c r="E172" s="34"/>
      <c r="F172" s="159" t="s">
        <v>2190</v>
      </c>
      <c r="G172" s="34"/>
      <c r="H172" s="34"/>
      <c r="I172" s="155"/>
      <c r="J172" s="34"/>
      <c r="K172" s="34"/>
      <c r="L172" s="35"/>
      <c r="M172" s="156"/>
      <c r="N172" s="157"/>
      <c r="O172" s="55"/>
      <c r="P172" s="55"/>
      <c r="Q172" s="55"/>
      <c r="R172" s="55"/>
      <c r="S172" s="55"/>
      <c r="T172" s="56"/>
      <c r="U172" s="34"/>
      <c r="V172" s="34"/>
      <c r="W172" s="34"/>
      <c r="X172" s="34"/>
      <c r="Y172" s="34"/>
      <c r="Z172" s="34"/>
      <c r="AA172" s="34"/>
      <c r="AB172" s="34"/>
      <c r="AC172" s="34"/>
      <c r="AD172" s="34"/>
      <c r="AE172" s="34"/>
      <c r="AT172" s="19" t="s">
        <v>189</v>
      </c>
      <c r="AU172" s="19" t="s">
        <v>87</v>
      </c>
    </row>
    <row r="173" spans="1:65" s="2" customFormat="1" ht="39">
      <c r="A173" s="34"/>
      <c r="B173" s="35"/>
      <c r="C173" s="34"/>
      <c r="D173" s="153" t="s">
        <v>191</v>
      </c>
      <c r="E173" s="34"/>
      <c r="F173" s="160" t="s">
        <v>2185</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191</v>
      </c>
      <c r="AU173" s="19" t="s">
        <v>87</v>
      </c>
    </row>
    <row r="174" spans="1:65" s="2" customFormat="1" ht="16.5" customHeight="1">
      <c r="A174" s="34"/>
      <c r="B174" s="139"/>
      <c r="C174" s="140" t="s">
        <v>9</v>
      </c>
      <c r="D174" s="140" t="s">
        <v>180</v>
      </c>
      <c r="E174" s="141" t="s">
        <v>2191</v>
      </c>
      <c r="F174" s="142" t="s">
        <v>2192</v>
      </c>
      <c r="G174" s="143" t="s">
        <v>332</v>
      </c>
      <c r="H174" s="144">
        <v>17.64</v>
      </c>
      <c r="I174" s="145"/>
      <c r="J174" s="146">
        <f>ROUND(I174*H174,2)</f>
        <v>0</v>
      </c>
      <c r="K174" s="142" t="s">
        <v>184</v>
      </c>
      <c r="L174" s="35"/>
      <c r="M174" s="147" t="s">
        <v>3</v>
      </c>
      <c r="N174" s="148" t="s">
        <v>48</v>
      </c>
      <c r="O174" s="55"/>
      <c r="P174" s="149">
        <f>O174*H174</f>
        <v>0</v>
      </c>
      <c r="Q174" s="149">
        <v>1.1730000000000001E-2</v>
      </c>
      <c r="R174" s="149">
        <f>Q174*H174</f>
        <v>0.20691720000000002</v>
      </c>
      <c r="S174" s="149">
        <v>0</v>
      </c>
      <c r="T174" s="150">
        <f>S174*H174</f>
        <v>0</v>
      </c>
      <c r="U174" s="34"/>
      <c r="V174" s="34"/>
      <c r="W174" s="34"/>
      <c r="X174" s="34"/>
      <c r="Y174" s="34"/>
      <c r="Z174" s="34"/>
      <c r="AA174" s="34"/>
      <c r="AB174" s="34"/>
      <c r="AC174" s="34"/>
      <c r="AD174" s="34"/>
      <c r="AE174" s="34"/>
      <c r="AR174" s="151" t="s">
        <v>185</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2193</v>
      </c>
    </row>
    <row r="175" spans="1:65" s="2" customFormat="1">
      <c r="A175" s="34"/>
      <c r="B175" s="35"/>
      <c r="C175" s="34"/>
      <c r="D175" s="153" t="s">
        <v>187</v>
      </c>
      <c r="E175" s="34"/>
      <c r="F175" s="154" t="s">
        <v>2194</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2195</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2" customFormat="1" ht="39">
      <c r="A177" s="34"/>
      <c r="B177" s="35"/>
      <c r="C177" s="34"/>
      <c r="D177" s="153" t="s">
        <v>191</v>
      </c>
      <c r="E177" s="34"/>
      <c r="F177" s="160" t="s">
        <v>2185</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87</v>
      </c>
    </row>
    <row r="178" spans="1:65" s="13" customFormat="1">
      <c r="B178" s="161"/>
      <c r="D178" s="153" t="s">
        <v>193</v>
      </c>
      <c r="E178" s="162" t="s">
        <v>3</v>
      </c>
      <c r="F178" s="163" t="s">
        <v>2196</v>
      </c>
      <c r="H178" s="164">
        <v>17.64</v>
      </c>
      <c r="I178" s="165"/>
      <c r="L178" s="161"/>
      <c r="M178" s="166"/>
      <c r="N178" s="167"/>
      <c r="O178" s="167"/>
      <c r="P178" s="167"/>
      <c r="Q178" s="167"/>
      <c r="R178" s="167"/>
      <c r="S178" s="167"/>
      <c r="T178" s="168"/>
      <c r="AT178" s="162" t="s">
        <v>193</v>
      </c>
      <c r="AU178" s="162" t="s">
        <v>87</v>
      </c>
      <c r="AV178" s="13" t="s">
        <v>87</v>
      </c>
      <c r="AW178" s="13" t="s">
        <v>36</v>
      </c>
      <c r="AX178" s="13" t="s">
        <v>85</v>
      </c>
      <c r="AY178" s="162" t="s">
        <v>177</v>
      </c>
    </row>
    <row r="179" spans="1:65" s="2" customFormat="1" ht="16.5" customHeight="1">
      <c r="A179" s="34"/>
      <c r="B179" s="139"/>
      <c r="C179" s="140" t="s">
        <v>237</v>
      </c>
      <c r="D179" s="140" t="s">
        <v>180</v>
      </c>
      <c r="E179" s="141" t="s">
        <v>2197</v>
      </c>
      <c r="F179" s="142" t="s">
        <v>2198</v>
      </c>
      <c r="G179" s="143" t="s">
        <v>332</v>
      </c>
      <c r="H179" s="144">
        <v>542.14</v>
      </c>
      <c r="I179" s="145"/>
      <c r="J179" s="146">
        <f>ROUND(I179*H179,2)</f>
        <v>0</v>
      </c>
      <c r="K179" s="142" t="s">
        <v>184</v>
      </c>
      <c r="L179" s="35"/>
      <c r="M179" s="147" t="s">
        <v>3</v>
      </c>
      <c r="N179" s="148" t="s">
        <v>48</v>
      </c>
      <c r="O179" s="55"/>
      <c r="P179" s="149">
        <f>O179*H179</f>
        <v>0</v>
      </c>
      <c r="Q179" s="149">
        <v>1.3200000000000001E-4</v>
      </c>
      <c r="R179" s="149">
        <f>Q179*H179</f>
        <v>7.1562479999999998E-2</v>
      </c>
      <c r="S179" s="149">
        <v>0</v>
      </c>
      <c r="T179" s="150">
        <f>S179*H179</f>
        <v>0</v>
      </c>
      <c r="U179" s="34"/>
      <c r="V179" s="34"/>
      <c r="W179" s="34"/>
      <c r="X179" s="34"/>
      <c r="Y179" s="34"/>
      <c r="Z179" s="34"/>
      <c r="AA179" s="34"/>
      <c r="AB179" s="34"/>
      <c r="AC179" s="34"/>
      <c r="AD179" s="34"/>
      <c r="AE179" s="34"/>
      <c r="AR179" s="151" t="s">
        <v>185</v>
      </c>
      <c r="AT179" s="151" t="s">
        <v>180</v>
      </c>
      <c r="AU179" s="151" t="s">
        <v>87</v>
      </c>
      <c r="AY179" s="19" t="s">
        <v>177</v>
      </c>
      <c r="BE179" s="152">
        <f>IF(N179="základní",J179,0)</f>
        <v>0</v>
      </c>
      <c r="BF179" s="152">
        <f>IF(N179="snížená",J179,0)</f>
        <v>0</v>
      </c>
      <c r="BG179" s="152">
        <f>IF(N179="zákl. přenesená",J179,0)</f>
        <v>0</v>
      </c>
      <c r="BH179" s="152">
        <f>IF(N179="sníž. přenesená",J179,0)</f>
        <v>0</v>
      </c>
      <c r="BI179" s="152">
        <f>IF(N179="nulová",J179,0)</f>
        <v>0</v>
      </c>
      <c r="BJ179" s="19" t="s">
        <v>85</v>
      </c>
      <c r="BK179" s="152">
        <f>ROUND(I179*H179,2)</f>
        <v>0</v>
      </c>
      <c r="BL179" s="19" t="s">
        <v>185</v>
      </c>
      <c r="BM179" s="151" t="s">
        <v>2199</v>
      </c>
    </row>
    <row r="180" spans="1:65" s="2" customFormat="1">
      <c r="A180" s="34"/>
      <c r="B180" s="35"/>
      <c r="C180" s="34"/>
      <c r="D180" s="153" t="s">
        <v>187</v>
      </c>
      <c r="E180" s="34"/>
      <c r="F180" s="154" t="s">
        <v>2200</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187</v>
      </c>
      <c r="AU180" s="19" t="s">
        <v>87</v>
      </c>
    </row>
    <row r="181" spans="1:65" s="2" customFormat="1">
      <c r="A181" s="34"/>
      <c r="B181" s="35"/>
      <c r="C181" s="34"/>
      <c r="D181" s="158" t="s">
        <v>189</v>
      </c>
      <c r="E181" s="34"/>
      <c r="F181" s="159" t="s">
        <v>2201</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189</v>
      </c>
      <c r="AU181" s="19" t="s">
        <v>87</v>
      </c>
    </row>
    <row r="182" spans="1:65" s="2" customFormat="1" ht="21.75" customHeight="1">
      <c r="A182" s="34"/>
      <c r="B182" s="139"/>
      <c r="C182" s="140" t="s">
        <v>302</v>
      </c>
      <c r="D182" s="140" t="s">
        <v>180</v>
      </c>
      <c r="E182" s="141" t="s">
        <v>2202</v>
      </c>
      <c r="F182" s="142" t="s">
        <v>2203</v>
      </c>
      <c r="G182" s="143" t="s">
        <v>476</v>
      </c>
      <c r="H182" s="144">
        <v>344.86500000000001</v>
      </c>
      <c r="I182" s="145"/>
      <c r="J182" s="146">
        <f>ROUND(I182*H182,2)</f>
        <v>0</v>
      </c>
      <c r="K182" s="142" t="s">
        <v>184</v>
      </c>
      <c r="L182" s="35"/>
      <c r="M182" s="147" t="s">
        <v>3</v>
      </c>
      <c r="N182" s="148" t="s">
        <v>48</v>
      </c>
      <c r="O182" s="55"/>
      <c r="P182" s="149">
        <f>O182*H182</f>
        <v>0</v>
      </c>
      <c r="Q182" s="149">
        <v>2.0999999999999999E-5</v>
      </c>
      <c r="R182" s="149">
        <f>Q182*H182</f>
        <v>7.2421650000000001E-3</v>
      </c>
      <c r="S182" s="149">
        <v>0</v>
      </c>
      <c r="T182" s="150">
        <f>S182*H182</f>
        <v>0</v>
      </c>
      <c r="U182" s="34"/>
      <c r="V182" s="34"/>
      <c r="W182" s="34"/>
      <c r="X182" s="34"/>
      <c r="Y182" s="34"/>
      <c r="Z182" s="34"/>
      <c r="AA182" s="34"/>
      <c r="AB182" s="34"/>
      <c r="AC182" s="34"/>
      <c r="AD182" s="34"/>
      <c r="AE182" s="34"/>
      <c r="AR182" s="151" t="s">
        <v>185</v>
      </c>
      <c r="AT182" s="151" t="s">
        <v>180</v>
      </c>
      <c r="AU182" s="151" t="s">
        <v>87</v>
      </c>
      <c r="AY182" s="19" t="s">
        <v>177</v>
      </c>
      <c r="BE182" s="152">
        <f>IF(N182="základní",J182,0)</f>
        <v>0</v>
      </c>
      <c r="BF182" s="152">
        <f>IF(N182="snížená",J182,0)</f>
        <v>0</v>
      </c>
      <c r="BG182" s="152">
        <f>IF(N182="zákl. přenesená",J182,0)</f>
        <v>0</v>
      </c>
      <c r="BH182" s="152">
        <f>IF(N182="sníž. přenesená",J182,0)</f>
        <v>0</v>
      </c>
      <c r="BI182" s="152">
        <f>IF(N182="nulová",J182,0)</f>
        <v>0</v>
      </c>
      <c r="BJ182" s="19" t="s">
        <v>85</v>
      </c>
      <c r="BK182" s="152">
        <f>ROUND(I182*H182,2)</f>
        <v>0</v>
      </c>
      <c r="BL182" s="19" t="s">
        <v>185</v>
      </c>
      <c r="BM182" s="151" t="s">
        <v>2204</v>
      </c>
    </row>
    <row r="183" spans="1:65" s="2" customFormat="1">
      <c r="A183" s="34"/>
      <c r="B183" s="35"/>
      <c r="C183" s="34"/>
      <c r="D183" s="153" t="s">
        <v>187</v>
      </c>
      <c r="E183" s="34"/>
      <c r="F183" s="154" t="s">
        <v>2205</v>
      </c>
      <c r="G183" s="34"/>
      <c r="H183" s="34"/>
      <c r="I183" s="155"/>
      <c r="J183" s="34"/>
      <c r="K183" s="34"/>
      <c r="L183" s="35"/>
      <c r="M183" s="156"/>
      <c r="N183" s="157"/>
      <c r="O183" s="55"/>
      <c r="P183" s="55"/>
      <c r="Q183" s="55"/>
      <c r="R183" s="55"/>
      <c r="S183" s="55"/>
      <c r="T183" s="56"/>
      <c r="U183" s="34"/>
      <c r="V183" s="34"/>
      <c r="W183" s="34"/>
      <c r="X183" s="34"/>
      <c r="Y183" s="34"/>
      <c r="Z183" s="34"/>
      <c r="AA183" s="34"/>
      <c r="AB183" s="34"/>
      <c r="AC183" s="34"/>
      <c r="AD183" s="34"/>
      <c r="AE183" s="34"/>
      <c r="AT183" s="19" t="s">
        <v>187</v>
      </c>
      <c r="AU183" s="19" t="s">
        <v>87</v>
      </c>
    </row>
    <row r="184" spans="1:65" s="2" customFormat="1">
      <c r="A184" s="34"/>
      <c r="B184" s="35"/>
      <c r="C184" s="34"/>
      <c r="D184" s="158" t="s">
        <v>189</v>
      </c>
      <c r="E184" s="34"/>
      <c r="F184" s="159" t="s">
        <v>2206</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189</v>
      </c>
      <c r="AU184" s="19" t="s">
        <v>87</v>
      </c>
    </row>
    <row r="185" spans="1:65" s="14" customFormat="1">
      <c r="B185" s="169"/>
      <c r="D185" s="153" t="s">
        <v>193</v>
      </c>
      <c r="E185" s="170" t="s">
        <v>3</v>
      </c>
      <c r="F185" s="171" t="s">
        <v>931</v>
      </c>
      <c r="H185" s="170" t="s">
        <v>3</v>
      </c>
      <c r="I185" s="172"/>
      <c r="L185" s="169"/>
      <c r="M185" s="173"/>
      <c r="N185" s="174"/>
      <c r="O185" s="174"/>
      <c r="P185" s="174"/>
      <c r="Q185" s="174"/>
      <c r="R185" s="174"/>
      <c r="S185" s="174"/>
      <c r="T185" s="175"/>
      <c r="AT185" s="170" t="s">
        <v>193</v>
      </c>
      <c r="AU185" s="170" t="s">
        <v>87</v>
      </c>
      <c r="AV185" s="14" t="s">
        <v>85</v>
      </c>
      <c r="AW185" s="14" t="s">
        <v>36</v>
      </c>
      <c r="AX185" s="14" t="s">
        <v>77</v>
      </c>
      <c r="AY185" s="170" t="s">
        <v>177</v>
      </c>
    </row>
    <row r="186" spans="1:65" s="13" customFormat="1">
      <c r="B186" s="161"/>
      <c r="D186" s="153" t="s">
        <v>193</v>
      </c>
      <c r="E186" s="162" t="s">
        <v>3</v>
      </c>
      <c r="F186" s="163" t="s">
        <v>2207</v>
      </c>
      <c r="H186" s="164">
        <v>186.46</v>
      </c>
      <c r="I186" s="165"/>
      <c r="L186" s="161"/>
      <c r="M186" s="166"/>
      <c r="N186" s="167"/>
      <c r="O186" s="167"/>
      <c r="P186" s="167"/>
      <c r="Q186" s="167"/>
      <c r="R186" s="167"/>
      <c r="S186" s="167"/>
      <c r="T186" s="168"/>
      <c r="AT186" s="162" t="s">
        <v>193</v>
      </c>
      <c r="AU186" s="162" t="s">
        <v>87</v>
      </c>
      <c r="AV186" s="13" t="s">
        <v>87</v>
      </c>
      <c r="AW186" s="13" t="s">
        <v>36</v>
      </c>
      <c r="AX186" s="13" t="s">
        <v>77</v>
      </c>
      <c r="AY186" s="162" t="s">
        <v>177</v>
      </c>
    </row>
    <row r="187" spans="1:65" s="14" customFormat="1">
      <c r="B187" s="169"/>
      <c r="D187" s="153" t="s">
        <v>193</v>
      </c>
      <c r="E187" s="170" t="s">
        <v>3</v>
      </c>
      <c r="F187" s="171" t="s">
        <v>939</v>
      </c>
      <c r="H187" s="170" t="s">
        <v>3</v>
      </c>
      <c r="I187" s="172"/>
      <c r="L187" s="169"/>
      <c r="M187" s="173"/>
      <c r="N187" s="174"/>
      <c r="O187" s="174"/>
      <c r="P187" s="174"/>
      <c r="Q187" s="174"/>
      <c r="R187" s="174"/>
      <c r="S187" s="174"/>
      <c r="T187" s="175"/>
      <c r="AT187" s="170" t="s">
        <v>193</v>
      </c>
      <c r="AU187" s="170" t="s">
        <v>87</v>
      </c>
      <c r="AV187" s="14" t="s">
        <v>85</v>
      </c>
      <c r="AW187" s="14" t="s">
        <v>36</v>
      </c>
      <c r="AX187" s="14" t="s">
        <v>77</v>
      </c>
      <c r="AY187" s="170" t="s">
        <v>177</v>
      </c>
    </row>
    <row r="188" spans="1:65" s="13" customFormat="1">
      <c r="B188" s="161"/>
      <c r="D188" s="153" t="s">
        <v>193</v>
      </c>
      <c r="E188" s="162" t="s">
        <v>3</v>
      </c>
      <c r="F188" s="163" t="s">
        <v>2208</v>
      </c>
      <c r="H188" s="164">
        <v>158.405</v>
      </c>
      <c r="I188" s="165"/>
      <c r="L188" s="161"/>
      <c r="M188" s="166"/>
      <c r="N188" s="167"/>
      <c r="O188" s="167"/>
      <c r="P188" s="167"/>
      <c r="Q188" s="167"/>
      <c r="R188" s="167"/>
      <c r="S188" s="167"/>
      <c r="T188" s="168"/>
      <c r="AT188" s="162" t="s">
        <v>193</v>
      </c>
      <c r="AU188" s="162" t="s">
        <v>87</v>
      </c>
      <c r="AV188" s="13" t="s">
        <v>87</v>
      </c>
      <c r="AW188" s="13" t="s">
        <v>36</v>
      </c>
      <c r="AX188" s="13" t="s">
        <v>77</v>
      </c>
      <c r="AY188" s="162" t="s">
        <v>177</v>
      </c>
    </row>
    <row r="189" spans="1:65" s="16" customFormat="1">
      <c r="B189" s="184"/>
      <c r="D189" s="153" t="s">
        <v>193</v>
      </c>
      <c r="E189" s="185" t="s">
        <v>3</v>
      </c>
      <c r="F189" s="186" t="s">
        <v>201</v>
      </c>
      <c r="H189" s="187">
        <v>344.86500000000001</v>
      </c>
      <c r="I189" s="188"/>
      <c r="L189" s="184"/>
      <c r="M189" s="189"/>
      <c r="N189" s="190"/>
      <c r="O189" s="190"/>
      <c r="P189" s="190"/>
      <c r="Q189" s="190"/>
      <c r="R189" s="190"/>
      <c r="S189" s="190"/>
      <c r="T189" s="191"/>
      <c r="AT189" s="185" t="s">
        <v>193</v>
      </c>
      <c r="AU189" s="185" t="s">
        <v>87</v>
      </c>
      <c r="AV189" s="16" t="s">
        <v>185</v>
      </c>
      <c r="AW189" s="16" t="s">
        <v>36</v>
      </c>
      <c r="AX189" s="16" t="s">
        <v>85</v>
      </c>
      <c r="AY189" s="185" t="s">
        <v>177</v>
      </c>
    </row>
    <row r="190" spans="1:65" s="12" customFormat="1" ht="22.9" customHeight="1">
      <c r="B190" s="126"/>
      <c r="D190" s="127" t="s">
        <v>76</v>
      </c>
      <c r="E190" s="137" t="s">
        <v>252</v>
      </c>
      <c r="F190" s="137" t="s">
        <v>329</v>
      </c>
      <c r="I190" s="129"/>
      <c r="J190" s="138">
        <f>BK190</f>
        <v>0</v>
      </c>
      <c r="L190" s="126"/>
      <c r="M190" s="131"/>
      <c r="N190" s="132"/>
      <c r="O190" s="132"/>
      <c r="P190" s="133">
        <f>SUM(P191:P210)</f>
        <v>0</v>
      </c>
      <c r="Q190" s="132"/>
      <c r="R190" s="133">
        <f>SUM(R191:R210)</f>
        <v>0.15998399999999999</v>
      </c>
      <c r="S190" s="132"/>
      <c r="T190" s="134">
        <f>SUM(T191:T210)</f>
        <v>6.33</v>
      </c>
      <c r="AR190" s="127" t="s">
        <v>85</v>
      </c>
      <c r="AT190" s="135" t="s">
        <v>76</v>
      </c>
      <c r="AU190" s="135" t="s">
        <v>85</v>
      </c>
      <c r="AY190" s="127" t="s">
        <v>177</v>
      </c>
      <c r="BK190" s="136">
        <f>SUM(BK191:BK210)</f>
        <v>0</v>
      </c>
    </row>
    <row r="191" spans="1:65" s="2" customFormat="1" ht="21.75" customHeight="1">
      <c r="A191" s="34"/>
      <c r="B191" s="139"/>
      <c r="C191" s="140" t="s">
        <v>315</v>
      </c>
      <c r="D191" s="140" t="s">
        <v>180</v>
      </c>
      <c r="E191" s="141" t="s">
        <v>682</v>
      </c>
      <c r="F191" s="142" t="s">
        <v>683</v>
      </c>
      <c r="G191" s="143" t="s">
        <v>332</v>
      </c>
      <c r="H191" s="144">
        <v>969.6</v>
      </c>
      <c r="I191" s="145"/>
      <c r="J191" s="146">
        <f>ROUND(I191*H191,2)</f>
        <v>0</v>
      </c>
      <c r="K191" s="142" t="s">
        <v>184</v>
      </c>
      <c r="L191" s="35"/>
      <c r="M191" s="147" t="s">
        <v>3</v>
      </c>
      <c r="N191" s="148" t="s">
        <v>48</v>
      </c>
      <c r="O191" s="55"/>
      <c r="P191" s="149">
        <f>O191*H191</f>
        <v>0</v>
      </c>
      <c r="Q191" s="149">
        <v>1.2999999999999999E-4</v>
      </c>
      <c r="R191" s="149">
        <f>Q191*H191</f>
        <v>0.12604799999999999</v>
      </c>
      <c r="S191" s="149">
        <v>0</v>
      </c>
      <c r="T191" s="150">
        <f>S191*H191</f>
        <v>0</v>
      </c>
      <c r="U191" s="34"/>
      <c r="V191" s="34"/>
      <c r="W191" s="34"/>
      <c r="X191" s="34"/>
      <c r="Y191" s="34"/>
      <c r="Z191" s="34"/>
      <c r="AA191" s="34"/>
      <c r="AB191" s="34"/>
      <c r="AC191" s="34"/>
      <c r="AD191" s="34"/>
      <c r="AE191" s="34"/>
      <c r="AR191" s="151" t="s">
        <v>185</v>
      </c>
      <c r="AT191" s="151" t="s">
        <v>180</v>
      </c>
      <c r="AU191" s="151" t="s">
        <v>87</v>
      </c>
      <c r="AY191" s="19" t="s">
        <v>177</v>
      </c>
      <c r="BE191" s="152">
        <f>IF(N191="základní",J191,0)</f>
        <v>0</v>
      </c>
      <c r="BF191" s="152">
        <f>IF(N191="snížená",J191,0)</f>
        <v>0</v>
      </c>
      <c r="BG191" s="152">
        <f>IF(N191="zákl. přenesená",J191,0)</f>
        <v>0</v>
      </c>
      <c r="BH191" s="152">
        <f>IF(N191="sníž. přenesená",J191,0)</f>
        <v>0</v>
      </c>
      <c r="BI191" s="152">
        <f>IF(N191="nulová",J191,0)</f>
        <v>0</v>
      </c>
      <c r="BJ191" s="19" t="s">
        <v>85</v>
      </c>
      <c r="BK191" s="152">
        <f>ROUND(I191*H191,2)</f>
        <v>0</v>
      </c>
      <c r="BL191" s="19" t="s">
        <v>185</v>
      </c>
      <c r="BM191" s="151" t="s">
        <v>2209</v>
      </c>
    </row>
    <row r="192" spans="1:65" s="2" customFormat="1">
      <c r="A192" s="34"/>
      <c r="B192" s="35"/>
      <c r="C192" s="34"/>
      <c r="D192" s="153" t="s">
        <v>187</v>
      </c>
      <c r="E192" s="34"/>
      <c r="F192" s="154" t="s">
        <v>685</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187</v>
      </c>
      <c r="AU192" s="19" t="s">
        <v>87</v>
      </c>
    </row>
    <row r="193" spans="1:65" s="2" customFormat="1">
      <c r="A193" s="34"/>
      <c r="B193" s="35"/>
      <c r="C193" s="34"/>
      <c r="D193" s="158" t="s">
        <v>189</v>
      </c>
      <c r="E193" s="34"/>
      <c r="F193" s="159" t="s">
        <v>686</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189</v>
      </c>
      <c r="AU193" s="19" t="s">
        <v>87</v>
      </c>
    </row>
    <row r="194" spans="1:65" s="2" customFormat="1" ht="48.75">
      <c r="A194" s="34"/>
      <c r="B194" s="35"/>
      <c r="C194" s="34"/>
      <c r="D194" s="153" t="s">
        <v>191</v>
      </c>
      <c r="E194" s="34"/>
      <c r="F194" s="160" t="s">
        <v>336</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191</v>
      </c>
      <c r="AU194" s="19" t="s">
        <v>87</v>
      </c>
    </row>
    <row r="195" spans="1:65" s="13" customFormat="1">
      <c r="B195" s="161"/>
      <c r="D195" s="153" t="s">
        <v>193</v>
      </c>
      <c r="E195" s="162" t="s">
        <v>3</v>
      </c>
      <c r="F195" s="163" t="s">
        <v>338</v>
      </c>
      <c r="H195" s="164">
        <v>657.6</v>
      </c>
      <c r="I195" s="165"/>
      <c r="L195" s="161"/>
      <c r="M195" s="166"/>
      <c r="N195" s="167"/>
      <c r="O195" s="167"/>
      <c r="P195" s="167"/>
      <c r="Q195" s="167"/>
      <c r="R195" s="167"/>
      <c r="S195" s="167"/>
      <c r="T195" s="168"/>
      <c r="AT195" s="162" t="s">
        <v>193</v>
      </c>
      <c r="AU195" s="162" t="s">
        <v>87</v>
      </c>
      <c r="AV195" s="13" t="s">
        <v>87</v>
      </c>
      <c r="AW195" s="13" t="s">
        <v>36</v>
      </c>
      <c r="AX195" s="13" t="s">
        <v>77</v>
      </c>
      <c r="AY195" s="162" t="s">
        <v>177</v>
      </c>
    </row>
    <row r="196" spans="1:65" s="13" customFormat="1">
      <c r="B196" s="161"/>
      <c r="D196" s="153" t="s">
        <v>193</v>
      </c>
      <c r="E196" s="162" t="s">
        <v>3</v>
      </c>
      <c r="F196" s="163" t="s">
        <v>337</v>
      </c>
      <c r="H196" s="164">
        <v>312</v>
      </c>
      <c r="I196" s="165"/>
      <c r="L196" s="161"/>
      <c r="M196" s="166"/>
      <c r="N196" s="167"/>
      <c r="O196" s="167"/>
      <c r="P196" s="167"/>
      <c r="Q196" s="167"/>
      <c r="R196" s="167"/>
      <c r="S196" s="167"/>
      <c r="T196" s="168"/>
      <c r="AT196" s="162" t="s">
        <v>193</v>
      </c>
      <c r="AU196" s="162" t="s">
        <v>87</v>
      </c>
      <c r="AV196" s="13" t="s">
        <v>87</v>
      </c>
      <c r="AW196" s="13" t="s">
        <v>36</v>
      </c>
      <c r="AX196" s="13" t="s">
        <v>77</v>
      </c>
      <c r="AY196" s="162" t="s">
        <v>177</v>
      </c>
    </row>
    <row r="197" spans="1:65" s="16" customFormat="1">
      <c r="B197" s="184"/>
      <c r="D197" s="153" t="s">
        <v>193</v>
      </c>
      <c r="E197" s="185" t="s">
        <v>3</v>
      </c>
      <c r="F197" s="186" t="s">
        <v>201</v>
      </c>
      <c r="H197" s="187">
        <v>969.6</v>
      </c>
      <c r="I197" s="188"/>
      <c r="L197" s="184"/>
      <c r="M197" s="189"/>
      <c r="N197" s="190"/>
      <c r="O197" s="190"/>
      <c r="P197" s="190"/>
      <c r="Q197" s="190"/>
      <c r="R197" s="190"/>
      <c r="S197" s="190"/>
      <c r="T197" s="191"/>
      <c r="AT197" s="185" t="s">
        <v>193</v>
      </c>
      <c r="AU197" s="185" t="s">
        <v>87</v>
      </c>
      <c r="AV197" s="16" t="s">
        <v>185</v>
      </c>
      <c r="AW197" s="16" t="s">
        <v>36</v>
      </c>
      <c r="AX197" s="16" t="s">
        <v>85</v>
      </c>
      <c r="AY197" s="185" t="s">
        <v>177</v>
      </c>
    </row>
    <row r="198" spans="1:65" s="2" customFormat="1" ht="16.5" customHeight="1">
      <c r="A198" s="34"/>
      <c r="B198" s="139"/>
      <c r="C198" s="140" t="s">
        <v>461</v>
      </c>
      <c r="D198" s="140" t="s">
        <v>180</v>
      </c>
      <c r="E198" s="141" t="s">
        <v>339</v>
      </c>
      <c r="F198" s="142" t="s">
        <v>340</v>
      </c>
      <c r="G198" s="143" t="s">
        <v>332</v>
      </c>
      <c r="H198" s="144">
        <v>969.6</v>
      </c>
      <c r="I198" s="145"/>
      <c r="J198" s="146">
        <f>ROUND(I198*H198,2)</f>
        <v>0</v>
      </c>
      <c r="K198" s="142" t="s">
        <v>184</v>
      </c>
      <c r="L198" s="35"/>
      <c r="M198" s="147" t="s">
        <v>3</v>
      </c>
      <c r="N198" s="148" t="s">
        <v>48</v>
      </c>
      <c r="O198" s="55"/>
      <c r="P198" s="149">
        <f>O198*H198</f>
        <v>0</v>
      </c>
      <c r="Q198" s="149">
        <v>3.4999999999999997E-5</v>
      </c>
      <c r="R198" s="149">
        <f>Q198*H198</f>
        <v>3.3936000000000001E-2</v>
      </c>
      <c r="S198" s="149">
        <v>0</v>
      </c>
      <c r="T198" s="150">
        <f>S198*H198</f>
        <v>0</v>
      </c>
      <c r="U198" s="34"/>
      <c r="V198" s="34"/>
      <c r="W198" s="34"/>
      <c r="X198" s="34"/>
      <c r="Y198" s="34"/>
      <c r="Z198" s="34"/>
      <c r="AA198" s="34"/>
      <c r="AB198" s="34"/>
      <c r="AC198" s="34"/>
      <c r="AD198" s="34"/>
      <c r="AE198" s="34"/>
      <c r="AR198" s="151" t="s">
        <v>185</v>
      </c>
      <c r="AT198" s="151" t="s">
        <v>180</v>
      </c>
      <c r="AU198" s="151" t="s">
        <v>87</v>
      </c>
      <c r="AY198" s="19" t="s">
        <v>177</v>
      </c>
      <c r="BE198" s="152">
        <f>IF(N198="základní",J198,0)</f>
        <v>0</v>
      </c>
      <c r="BF198" s="152">
        <f>IF(N198="snížená",J198,0)</f>
        <v>0</v>
      </c>
      <c r="BG198" s="152">
        <f>IF(N198="zákl. přenesená",J198,0)</f>
        <v>0</v>
      </c>
      <c r="BH198" s="152">
        <f>IF(N198="sníž. přenesená",J198,0)</f>
        <v>0</v>
      </c>
      <c r="BI198" s="152">
        <f>IF(N198="nulová",J198,0)</f>
        <v>0</v>
      </c>
      <c r="BJ198" s="19" t="s">
        <v>85</v>
      </c>
      <c r="BK198" s="152">
        <f>ROUND(I198*H198,2)</f>
        <v>0</v>
      </c>
      <c r="BL198" s="19" t="s">
        <v>185</v>
      </c>
      <c r="BM198" s="151" t="s">
        <v>2210</v>
      </c>
    </row>
    <row r="199" spans="1:65" s="2" customFormat="1">
      <c r="A199" s="34"/>
      <c r="B199" s="35"/>
      <c r="C199" s="34"/>
      <c r="D199" s="153" t="s">
        <v>187</v>
      </c>
      <c r="E199" s="34"/>
      <c r="F199" s="154" t="s">
        <v>342</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187</v>
      </c>
      <c r="AU199" s="19" t="s">
        <v>87</v>
      </c>
    </row>
    <row r="200" spans="1:65" s="2" customFormat="1">
      <c r="A200" s="34"/>
      <c r="B200" s="35"/>
      <c r="C200" s="34"/>
      <c r="D200" s="158" t="s">
        <v>189</v>
      </c>
      <c r="E200" s="34"/>
      <c r="F200" s="159" t="s">
        <v>343</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189</v>
      </c>
      <c r="AU200" s="19" t="s">
        <v>87</v>
      </c>
    </row>
    <row r="201" spans="1:65" s="2" customFormat="1" ht="165.75">
      <c r="A201" s="34"/>
      <c r="B201" s="35"/>
      <c r="C201" s="34"/>
      <c r="D201" s="153" t="s">
        <v>191</v>
      </c>
      <c r="E201" s="34"/>
      <c r="F201" s="160" t="s">
        <v>344</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191</v>
      </c>
      <c r="AU201" s="19" t="s">
        <v>87</v>
      </c>
    </row>
    <row r="202" spans="1:65" s="2" customFormat="1" ht="16.5" customHeight="1">
      <c r="A202" s="34"/>
      <c r="B202" s="139"/>
      <c r="C202" s="140" t="s">
        <v>467</v>
      </c>
      <c r="D202" s="140" t="s">
        <v>180</v>
      </c>
      <c r="E202" s="141" t="s">
        <v>2211</v>
      </c>
      <c r="F202" s="142" t="s">
        <v>2212</v>
      </c>
      <c r="G202" s="143" t="s">
        <v>476</v>
      </c>
      <c r="H202" s="144">
        <v>110</v>
      </c>
      <c r="I202" s="145"/>
      <c r="J202" s="146">
        <f>ROUND(I202*H202,2)</f>
        <v>0</v>
      </c>
      <c r="K202" s="142" t="s">
        <v>184</v>
      </c>
      <c r="L202" s="35"/>
      <c r="M202" s="147" t="s">
        <v>3</v>
      </c>
      <c r="N202" s="148" t="s">
        <v>48</v>
      </c>
      <c r="O202" s="55"/>
      <c r="P202" s="149">
        <f>O202*H202</f>
        <v>0</v>
      </c>
      <c r="Q202" s="149">
        <v>0</v>
      </c>
      <c r="R202" s="149">
        <f>Q202*H202</f>
        <v>0</v>
      </c>
      <c r="S202" s="149">
        <v>1.2999999999999999E-2</v>
      </c>
      <c r="T202" s="150">
        <f>S202*H202</f>
        <v>1.43</v>
      </c>
      <c r="U202" s="34"/>
      <c r="V202" s="34"/>
      <c r="W202" s="34"/>
      <c r="X202" s="34"/>
      <c r="Y202" s="34"/>
      <c r="Z202" s="34"/>
      <c r="AA202" s="34"/>
      <c r="AB202" s="34"/>
      <c r="AC202" s="34"/>
      <c r="AD202" s="34"/>
      <c r="AE202" s="34"/>
      <c r="AR202" s="151" t="s">
        <v>185</v>
      </c>
      <c r="AT202" s="151" t="s">
        <v>180</v>
      </c>
      <c r="AU202" s="151" t="s">
        <v>87</v>
      </c>
      <c r="AY202" s="19" t="s">
        <v>177</v>
      </c>
      <c r="BE202" s="152">
        <f>IF(N202="základní",J202,0)</f>
        <v>0</v>
      </c>
      <c r="BF202" s="152">
        <f>IF(N202="snížená",J202,0)</f>
        <v>0</v>
      </c>
      <c r="BG202" s="152">
        <f>IF(N202="zákl. přenesená",J202,0)</f>
        <v>0</v>
      </c>
      <c r="BH202" s="152">
        <f>IF(N202="sníž. přenesená",J202,0)</f>
        <v>0</v>
      </c>
      <c r="BI202" s="152">
        <f>IF(N202="nulová",J202,0)</f>
        <v>0</v>
      </c>
      <c r="BJ202" s="19" t="s">
        <v>85</v>
      </c>
      <c r="BK202" s="152">
        <f>ROUND(I202*H202,2)</f>
        <v>0</v>
      </c>
      <c r="BL202" s="19" t="s">
        <v>185</v>
      </c>
      <c r="BM202" s="151" t="s">
        <v>2213</v>
      </c>
    </row>
    <row r="203" spans="1:65" s="2" customFormat="1">
      <c r="A203" s="34"/>
      <c r="B203" s="35"/>
      <c r="C203" s="34"/>
      <c r="D203" s="153" t="s">
        <v>187</v>
      </c>
      <c r="E203" s="34"/>
      <c r="F203" s="154" t="s">
        <v>2214</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187</v>
      </c>
      <c r="AU203" s="19" t="s">
        <v>87</v>
      </c>
    </row>
    <row r="204" spans="1:65" s="2" customFormat="1">
      <c r="A204" s="34"/>
      <c r="B204" s="35"/>
      <c r="C204" s="34"/>
      <c r="D204" s="158" t="s">
        <v>189</v>
      </c>
      <c r="E204" s="34"/>
      <c r="F204" s="159" t="s">
        <v>2215</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189</v>
      </c>
      <c r="AU204" s="19" t="s">
        <v>87</v>
      </c>
    </row>
    <row r="205" spans="1:65" s="2" customFormat="1" ht="16.5" customHeight="1">
      <c r="A205" s="34"/>
      <c r="B205" s="139"/>
      <c r="C205" s="140" t="s">
        <v>8</v>
      </c>
      <c r="D205" s="140" t="s">
        <v>180</v>
      </c>
      <c r="E205" s="141" t="s">
        <v>2216</v>
      </c>
      <c r="F205" s="142" t="s">
        <v>2217</v>
      </c>
      <c r="G205" s="143" t="s">
        <v>476</v>
      </c>
      <c r="H205" s="144">
        <v>50</v>
      </c>
      <c r="I205" s="145"/>
      <c r="J205" s="146">
        <f>ROUND(I205*H205,2)</f>
        <v>0</v>
      </c>
      <c r="K205" s="142" t="s">
        <v>184</v>
      </c>
      <c r="L205" s="35"/>
      <c r="M205" s="147" t="s">
        <v>3</v>
      </c>
      <c r="N205" s="148" t="s">
        <v>48</v>
      </c>
      <c r="O205" s="55"/>
      <c r="P205" s="149">
        <f>O205*H205</f>
        <v>0</v>
      </c>
      <c r="Q205" s="149">
        <v>0</v>
      </c>
      <c r="R205" s="149">
        <f>Q205*H205</f>
        <v>0</v>
      </c>
      <c r="S205" s="149">
        <v>1.7999999999999999E-2</v>
      </c>
      <c r="T205" s="150">
        <f>S205*H205</f>
        <v>0.89999999999999991</v>
      </c>
      <c r="U205" s="34"/>
      <c r="V205" s="34"/>
      <c r="W205" s="34"/>
      <c r="X205" s="34"/>
      <c r="Y205" s="34"/>
      <c r="Z205" s="34"/>
      <c r="AA205" s="34"/>
      <c r="AB205" s="34"/>
      <c r="AC205" s="34"/>
      <c r="AD205" s="34"/>
      <c r="AE205" s="34"/>
      <c r="AR205" s="151" t="s">
        <v>185</v>
      </c>
      <c r="AT205" s="151" t="s">
        <v>180</v>
      </c>
      <c r="AU205" s="151" t="s">
        <v>87</v>
      </c>
      <c r="AY205" s="19" t="s">
        <v>177</v>
      </c>
      <c r="BE205" s="152">
        <f>IF(N205="základní",J205,0)</f>
        <v>0</v>
      </c>
      <c r="BF205" s="152">
        <f>IF(N205="snížená",J205,0)</f>
        <v>0</v>
      </c>
      <c r="BG205" s="152">
        <f>IF(N205="zákl. přenesená",J205,0)</f>
        <v>0</v>
      </c>
      <c r="BH205" s="152">
        <f>IF(N205="sníž. přenesená",J205,0)</f>
        <v>0</v>
      </c>
      <c r="BI205" s="152">
        <f>IF(N205="nulová",J205,0)</f>
        <v>0</v>
      </c>
      <c r="BJ205" s="19" t="s">
        <v>85</v>
      </c>
      <c r="BK205" s="152">
        <f>ROUND(I205*H205,2)</f>
        <v>0</v>
      </c>
      <c r="BL205" s="19" t="s">
        <v>185</v>
      </c>
      <c r="BM205" s="151" t="s">
        <v>2218</v>
      </c>
    </row>
    <row r="206" spans="1:65" s="2" customFormat="1">
      <c r="A206" s="34"/>
      <c r="B206" s="35"/>
      <c r="C206" s="34"/>
      <c r="D206" s="153" t="s">
        <v>187</v>
      </c>
      <c r="E206" s="34"/>
      <c r="F206" s="154" t="s">
        <v>2219</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187</v>
      </c>
      <c r="AU206" s="19" t="s">
        <v>87</v>
      </c>
    </row>
    <row r="207" spans="1:65" s="2" customFormat="1">
      <c r="A207" s="34"/>
      <c r="B207" s="35"/>
      <c r="C207" s="34"/>
      <c r="D207" s="158" t="s">
        <v>189</v>
      </c>
      <c r="E207" s="34"/>
      <c r="F207" s="159" t="s">
        <v>2220</v>
      </c>
      <c r="G207" s="34"/>
      <c r="H207" s="34"/>
      <c r="I207" s="155"/>
      <c r="J207" s="34"/>
      <c r="K207" s="34"/>
      <c r="L207" s="35"/>
      <c r="M207" s="156"/>
      <c r="N207" s="157"/>
      <c r="O207" s="55"/>
      <c r="P207" s="55"/>
      <c r="Q207" s="55"/>
      <c r="R207" s="55"/>
      <c r="S207" s="55"/>
      <c r="T207" s="56"/>
      <c r="U207" s="34"/>
      <c r="V207" s="34"/>
      <c r="W207" s="34"/>
      <c r="X207" s="34"/>
      <c r="Y207" s="34"/>
      <c r="Z207" s="34"/>
      <c r="AA207" s="34"/>
      <c r="AB207" s="34"/>
      <c r="AC207" s="34"/>
      <c r="AD207" s="34"/>
      <c r="AE207" s="34"/>
      <c r="AT207" s="19" t="s">
        <v>189</v>
      </c>
      <c r="AU207" s="19" t="s">
        <v>87</v>
      </c>
    </row>
    <row r="208" spans="1:65" s="2" customFormat="1" ht="16.5" customHeight="1">
      <c r="A208" s="34"/>
      <c r="B208" s="139"/>
      <c r="C208" s="140" t="s">
        <v>483</v>
      </c>
      <c r="D208" s="140" t="s">
        <v>180</v>
      </c>
      <c r="E208" s="141" t="s">
        <v>2221</v>
      </c>
      <c r="F208" s="142" t="s">
        <v>2222</v>
      </c>
      <c r="G208" s="143" t="s">
        <v>476</v>
      </c>
      <c r="H208" s="144">
        <v>100</v>
      </c>
      <c r="I208" s="145"/>
      <c r="J208" s="146">
        <f>ROUND(I208*H208,2)</f>
        <v>0</v>
      </c>
      <c r="K208" s="142" t="s">
        <v>184</v>
      </c>
      <c r="L208" s="35"/>
      <c r="M208" s="147" t="s">
        <v>3</v>
      </c>
      <c r="N208" s="148" t="s">
        <v>48</v>
      </c>
      <c r="O208" s="55"/>
      <c r="P208" s="149">
        <f>O208*H208</f>
        <v>0</v>
      </c>
      <c r="Q208" s="149">
        <v>0</v>
      </c>
      <c r="R208" s="149">
        <f>Q208*H208</f>
        <v>0</v>
      </c>
      <c r="S208" s="149">
        <v>0.04</v>
      </c>
      <c r="T208" s="150">
        <f>S208*H208</f>
        <v>4</v>
      </c>
      <c r="U208" s="34"/>
      <c r="V208" s="34"/>
      <c r="W208" s="34"/>
      <c r="X208" s="34"/>
      <c r="Y208" s="34"/>
      <c r="Z208" s="34"/>
      <c r="AA208" s="34"/>
      <c r="AB208" s="34"/>
      <c r="AC208" s="34"/>
      <c r="AD208" s="34"/>
      <c r="AE208" s="34"/>
      <c r="AR208" s="151" t="s">
        <v>185</v>
      </c>
      <c r="AT208" s="151" t="s">
        <v>180</v>
      </c>
      <c r="AU208" s="151" t="s">
        <v>87</v>
      </c>
      <c r="AY208" s="19" t="s">
        <v>177</v>
      </c>
      <c r="BE208" s="152">
        <f>IF(N208="základní",J208,0)</f>
        <v>0</v>
      </c>
      <c r="BF208" s="152">
        <f>IF(N208="snížená",J208,0)</f>
        <v>0</v>
      </c>
      <c r="BG208" s="152">
        <f>IF(N208="zákl. přenesená",J208,0)</f>
        <v>0</v>
      </c>
      <c r="BH208" s="152">
        <f>IF(N208="sníž. přenesená",J208,0)</f>
        <v>0</v>
      </c>
      <c r="BI208" s="152">
        <f>IF(N208="nulová",J208,0)</f>
        <v>0</v>
      </c>
      <c r="BJ208" s="19" t="s">
        <v>85</v>
      </c>
      <c r="BK208" s="152">
        <f>ROUND(I208*H208,2)</f>
        <v>0</v>
      </c>
      <c r="BL208" s="19" t="s">
        <v>185</v>
      </c>
      <c r="BM208" s="151" t="s">
        <v>2223</v>
      </c>
    </row>
    <row r="209" spans="1:65" s="2" customFormat="1">
      <c r="A209" s="34"/>
      <c r="B209" s="35"/>
      <c r="C209" s="34"/>
      <c r="D209" s="153" t="s">
        <v>187</v>
      </c>
      <c r="E209" s="34"/>
      <c r="F209" s="154" t="s">
        <v>2224</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187</v>
      </c>
      <c r="AU209" s="19" t="s">
        <v>87</v>
      </c>
    </row>
    <row r="210" spans="1:65" s="2" customFormat="1">
      <c r="A210" s="34"/>
      <c r="B210" s="35"/>
      <c r="C210" s="34"/>
      <c r="D210" s="158" t="s">
        <v>189</v>
      </c>
      <c r="E210" s="34"/>
      <c r="F210" s="159" t="s">
        <v>2225</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189</v>
      </c>
      <c r="AU210" s="19" t="s">
        <v>87</v>
      </c>
    </row>
    <row r="211" spans="1:65" s="12" customFormat="1" ht="22.9" customHeight="1">
      <c r="B211" s="126"/>
      <c r="D211" s="127" t="s">
        <v>76</v>
      </c>
      <c r="E211" s="137" t="s">
        <v>178</v>
      </c>
      <c r="F211" s="137" t="s">
        <v>179</v>
      </c>
      <c r="I211" s="129"/>
      <c r="J211" s="138">
        <f>BK211</f>
        <v>0</v>
      </c>
      <c r="L211" s="126"/>
      <c r="M211" s="131"/>
      <c r="N211" s="132"/>
      <c r="O211" s="132"/>
      <c r="P211" s="133">
        <f>SUM(P212:P233)</f>
        <v>0</v>
      </c>
      <c r="Q211" s="132"/>
      <c r="R211" s="133">
        <f>SUM(R212:R233)</f>
        <v>0</v>
      </c>
      <c r="S211" s="132"/>
      <c r="T211" s="134">
        <f>SUM(T212:T233)</f>
        <v>0</v>
      </c>
      <c r="AR211" s="127" t="s">
        <v>85</v>
      </c>
      <c r="AT211" s="135" t="s">
        <v>76</v>
      </c>
      <c r="AU211" s="135" t="s">
        <v>85</v>
      </c>
      <c r="AY211" s="127" t="s">
        <v>177</v>
      </c>
      <c r="BK211" s="136">
        <f>SUM(BK212:BK233)</f>
        <v>0</v>
      </c>
    </row>
    <row r="212" spans="1:65" s="2" customFormat="1" ht="16.5" customHeight="1">
      <c r="A212" s="34"/>
      <c r="B212" s="139"/>
      <c r="C212" s="140" t="s">
        <v>490</v>
      </c>
      <c r="D212" s="140" t="s">
        <v>180</v>
      </c>
      <c r="E212" s="141" t="s">
        <v>181</v>
      </c>
      <c r="F212" s="142" t="s">
        <v>182</v>
      </c>
      <c r="G212" s="143" t="s">
        <v>183</v>
      </c>
      <c r="H212" s="144">
        <v>6.33</v>
      </c>
      <c r="I212" s="145"/>
      <c r="J212" s="146">
        <f>ROUND(I212*H212,2)</f>
        <v>0</v>
      </c>
      <c r="K212" s="142" t="s">
        <v>184</v>
      </c>
      <c r="L212" s="35"/>
      <c r="M212" s="147" t="s">
        <v>3</v>
      </c>
      <c r="N212" s="148" t="s">
        <v>48</v>
      </c>
      <c r="O212" s="55"/>
      <c r="P212" s="149">
        <f>O212*H212</f>
        <v>0</v>
      </c>
      <c r="Q212" s="149">
        <v>0</v>
      </c>
      <c r="R212" s="149">
        <f>Q212*H212</f>
        <v>0</v>
      </c>
      <c r="S212" s="149">
        <v>0</v>
      </c>
      <c r="T212" s="150">
        <f>S212*H212</f>
        <v>0</v>
      </c>
      <c r="U212" s="34"/>
      <c r="V212" s="34"/>
      <c r="W212" s="34"/>
      <c r="X212" s="34"/>
      <c r="Y212" s="34"/>
      <c r="Z212" s="34"/>
      <c r="AA212" s="34"/>
      <c r="AB212" s="34"/>
      <c r="AC212" s="34"/>
      <c r="AD212" s="34"/>
      <c r="AE212" s="34"/>
      <c r="AR212" s="151" t="s">
        <v>185</v>
      </c>
      <c r="AT212" s="151" t="s">
        <v>180</v>
      </c>
      <c r="AU212" s="151" t="s">
        <v>87</v>
      </c>
      <c r="AY212" s="19" t="s">
        <v>177</v>
      </c>
      <c r="BE212" s="152">
        <f>IF(N212="základní",J212,0)</f>
        <v>0</v>
      </c>
      <c r="BF212" s="152">
        <f>IF(N212="snížená",J212,0)</f>
        <v>0</v>
      </c>
      <c r="BG212" s="152">
        <f>IF(N212="zákl. přenesená",J212,0)</f>
        <v>0</v>
      </c>
      <c r="BH212" s="152">
        <f>IF(N212="sníž. přenesená",J212,0)</f>
        <v>0</v>
      </c>
      <c r="BI212" s="152">
        <f>IF(N212="nulová",J212,0)</f>
        <v>0</v>
      </c>
      <c r="BJ212" s="19" t="s">
        <v>85</v>
      </c>
      <c r="BK212" s="152">
        <f>ROUND(I212*H212,2)</f>
        <v>0</v>
      </c>
      <c r="BL212" s="19" t="s">
        <v>185</v>
      </c>
      <c r="BM212" s="151" t="s">
        <v>2226</v>
      </c>
    </row>
    <row r="213" spans="1:65" s="2" customFormat="1">
      <c r="A213" s="34"/>
      <c r="B213" s="35"/>
      <c r="C213" s="34"/>
      <c r="D213" s="153" t="s">
        <v>187</v>
      </c>
      <c r="E213" s="34"/>
      <c r="F213" s="154" t="s">
        <v>188</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187</v>
      </c>
      <c r="AU213" s="19" t="s">
        <v>87</v>
      </c>
    </row>
    <row r="214" spans="1:65" s="2" customFormat="1">
      <c r="A214" s="34"/>
      <c r="B214" s="35"/>
      <c r="C214" s="34"/>
      <c r="D214" s="158" t="s">
        <v>189</v>
      </c>
      <c r="E214" s="34"/>
      <c r="F214" s="159" t="s">
        <v>190</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189</v>
      </c>
      <c r="AU214" s="19" t="s">
        <v>87</v>
      </c>
    </row>
    <row r="215" spans="1:65" s="2" customFormat="1" ht="107.25">
      <c r="A215" s="34"/>
      <c r="B215" s="35"/>
      <c r="C215" s="34"/>
      <c r="D215" s="153" t="s">
        <v>191</v>
      </c>
      <c r="E215" s="34"/>
      <c r="F215" s="160" t="s">
        <v>192</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191</v>
      </c>
      <c r="AU215" s="19" t="s">
        <v>87</v>
      </c>
    </row>
    <row r="216" spans="1:65" s="2" customFormat="1" ht="21.75" customHeight="1">
      <c r="A216" s="34"/>
      <c r="B216" s="139"/>
      <c r="C216" s="140" t="s">
        <v>496</v>
      </c>
      <c r="D216" s="140" t="s">
        <v>180</v>
      </c>
      <c r="E216" s="141" t="s">
        <v>202</v>
      </c>
      <c r="F216" s="142" t="s">
        <v>203</v>
      </c>
      <c r="G216" s="143" t="s">
        <v>183</v>
      </c>
      <c r="H216" s="144">
        <v>12.66</v>
      </c>
      <c r="I216" s="145"/>
      <c r="J216" s="146">
        <f>ROUND(I216*H216,2)</f>
        <v>0</v>
      </c>
      <c r="K216" s="142" t="s">
        <v>184</v>
      </c>
      <c r="L216" s="35"/>
      <c r="M216" s="147" t="s">
        <v>3</v>
      </c>
      <c r="N216" s="148" t="s">
        <v>48</v>
      </c>
      <c r="O216" s="55"/>
      <c r="P216" s="149">
        <f>O216*H216</f>
        <v>0</v>
      </c>
      <c r="Q216" s="149">
        <v>0</v>
      </c>
      <c r="R216" s="149">
        <f>Q216*H216</f>
        <v>0</v>
      </c>
      <c r="S216" s="149">
        <v>0</v>
      </c>
      <c r="T216" s="150">
        <f>S216*H216</f>
        <v>0</v>
      </c>
      <c r="U216" s="34"/>
      <c r="V216" s="34"/>
      <c r="W216" s="34"/>
      <c r="X216" s="34"/>
      <c r="Y216" s="34"/>
      <c r="Z216" s="34"/>
      <c r="AA216" s="34"/>
      <c r="AB216" s="34"/>
      <c r="AC216" s="34"/>
      <c r="AD216" s="34"/>
      <c r="AE216" s="34"/>
      <c r="AR216" s="151" t="s">
        <v>185</v>
      </c>
      <c r="AT216" s="151" t="s">
        <v>180</v>
      </c>
      <c r="AU216" s="151" t="s">
        <v>87</v>
      </c>
      <c r="AY216" s="19" t="s">
        <v>177</v>
      </c>
      <c r="BE216" s="152">
        <f>IF(N216="základní",J216,0)</f>
        <v>0</v>
      </c>
      <c r="BF216" s="152">
        <f>IF(N216="snížená",J216,0)</f>
        <v>0</v>
      </c>
      <c r="BG216" s="152">
        <f>IF(N216="zákl. přenesená",J216,0)</f>
        <v>0</v>
      </c>
      <c r="BH216" s="152">
        <f>IF(N216="sníž. přenesená",J216,0)</f>
        <v>0</v>
      </c>
      <c r="BI216" s="152">
        <f>IF(N216="nulová",J216,0)</f>
        <v>0</v>
      </c>
      <c r="BJ216" s="19" t="s">
        <v>85</v>
      </c>
      <c r="BK216" s="152">
        <f>ROUND(I216*H216,2)</f>
        <v>0</v>
      </c>
      <c r="BL216" s="19" t="s">
        <v>185</v>
      </c>
      <c r="BM216" s="151" t="s">
        <v>2227</v>
      </c>
    </row>
    <row r="217" spans="1:65" s="2" customFormat="1" ht="19.5">
      <c r="A217" s="34"/>
      <c r="B217" s="35"/>
      <c r="C217" s="34"/>
      <c r="D217" s="153" t="s">
        <v>187</v>
      </c>
      <c r="E217" s="34"/>
      <c r="F217" s="154" t="s">
        <v>205</v>
      </c>
      <c r="G217" s="34"/>
      <c r="H217" s="34"/>
      <c r="I217" s="155"/>
      <c r="J217" s="34"/>
      <c r="K217" s="34"/>
      <c r="L217" s="35"/>
      <c r="M217" s="156"/>
      <c r="N217" s="157"/>
      <c r="O217" s="55"/>
      <c r="P217" s="55"/>
      <c r="Q217" s="55"/>
      <c r="R217" s="55"/>
      <c r="S217" s="55"/>
      <c r="T217" s="56"/>
      <c r="U217" s="34"/>
      <c r="V217" s="34"/>
      <c r="W217" s="34"/>
      <c r="X217" s="34"/>
      <c r="Y217" s="34"/>
      <c r="Z217" s="34"/>
      <c r="AA217" s="34"/>
      <c r="AB217" s="34"/>
      <c r="AC217" s="34"/>
      <c r="AD217" s="34"/>
      <c r="AE217" s="34"/>
      <c r="AT217" s="19" t="s">
        <v>187</v>
      </c>
      <c r="AU217" s="19" t="s">
        <v>87</v>
      </c>
    </row>
    <row r="218" spans="1:65" s="2" customFormat="1">
      <c r="A218" s="34"/>
      <c r="B218" s="35"/>
      <c r="C218" s="34"/>
      <c r="D218" s="158" t="s">
        <v>189</v>
      </c>
      <c r="E218" s="34"/>
      <c r="F218" s="159" t="s">
        <v>206</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189</v>
      </c>
      <c r="AU218" s="19" t="s">
        <v>87</v>
      </c>
    </row>
    <row r="219" spans="1:65" s="2" customFormat="1" ht="107.25">
      <c r="A219" s="34"/>
      <c r="B219" s="35"/>
      <c r="C219" s="34"/>
      <c r="D219" s="153" t="s">
        <v>191</v>
      </c>
      <c r="E219" s="34"/>
      <c r="F219" s="160" t="s">
        <v>192</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191</v>
      </c>
      <c r="AU219" s="19" t="s">
        <v>87</v>
      </c>
    </row>
    <row r="220" spans="1:65" s="13" customFormat="1">
      <c r="B220" s="161"/>
      <c r="D220" s="153" t="s">
        <v>193</v>
      </c>
      <c r="F220" s="163" t="s">
        <v>2228</v>
      </c>
      <c r="H220" s="164">
        <v>12.66</v>
      </c>
      <c r="I220" s="165"/>
      <c r="L220" s="161"/>
      <c r="M220" s="166"/>
      <c r="N220" s="167"/>
      <c r="O220" s="167"/>
      <c r="P220" s="167"/>
      <c r="Q220" s="167"/>
      <c r="R220" s="167"/>
      <c r="S220" s="167"/>
      <c r="T220" s="168"/>
      <c r="AT220" s="162" t="s">
        <v>193</v>
      </c>
      <c r="AU220" s="162" t="s">
        <v>87</v>
      </c>
      <c r="AV220" s="13" t="s">
        <v>87</v>
      </c>
      <c r="AW220" s="13" t="s">
        <v>4</v>
      </c>
      <c r="AX220" s="13" t="s">
        <v>85</v>
      </c>
      <c r="AY220" s="162" t="s">
        <v>177</v>
      </c>
    </row>
    <row r="221" spans="1:65" s="2" customFormat="1" ht="16.5" customHeight="1">
      <c r="A221" s="34"/>
      <c r="B221" s="139"/>
      <c r="C221" s="140" t="s">
        <v>502</v>
      </c>
      <c r="D221" s="140" t="s">
        <v>180</v>
      </c>
      <c r="E221" s="141" t="s">
        <v>208</v>
      </c>
      <c r="F221" s="142" t="s">
        <v>209</v>
      </c>
      <c r="G221" s="143" t="s">
        <v>183</v>
      </c>
      <c r="H221" s="144">
        <v>6.33</v>
      </c>
      <c r="I221" s="145"/>
      <c r="J221" s="146">
        <f>ROUND(I221*H221,2)</f>
        <v>0</v>
      </c>
      <c r="K221" s="142" t="s">
        <v>184</v>
      </c>
      <c r="L221" s="35"/>
      <c r="M221" s="147" t="s">
        <v>3</v>
      </c>
      <c r="N221" s="148" t="s">
        <v>48</v>
      </c>
      <c r="O221" s="55"/>
      <c r="P221" s="149">
        <f>O221*H221</f>
        <v>0</v>
      </c>
      <c r="Q221" s="149">
        <v>0</v>
      </c>
      <c r="R221" s="149">
        <f>Q221*H221</f>
        <v>0</v>
      </c>
      <c r="S221" s="149">
        <v>0</v>
      </c>
      <c r="T221" s="150">
        <f>S221*H221</f>
        <v>0</v>
      </c>
      <c r="U221" s="34"/>
      <c r="V221" s="34"/>
      <c r="W221" s="34"/>
      <c r="X221" s="34"/>
      <c r="Y221" s="34"/>
      <c r="Z221" s="34"/>
      <c r="AA221" s="34"/>
      <c r="AB221" s="34"/>
      <c r="AC221" s="34"/>
      <c r="AD221" s="34"/>
      <c r="AE221" s="34"/>
      <c r="AR221" s="151" t="s">
        <v>185</v>
      </c>
      <c r="AT221" s="151" t="s">
        <v>180</v>
      </c>
      <c r="AU221" s="151" t="s">
        <v>87</v>
      </c>
      <c r="AY221" s="19" t="s">
        <v>177</v>
      </c>
      <c r="BE221" s="152">
        <f>IF(N221="základní",J221,0)</f>
        <v>0</v>
      </c>
      <c r="BF221" s="152">
        <f>IF(N221="snížená",J221,0)</f>
        <v>0</v>
      </c>
      <c r="BG221" s="152">
        <f>IF(N221="zákl. přenesená",J221,0)</f>
        <v>0</v>
      </c>
      <c r="BH221" s="152">
        <f>IF(N221="sníž. přenesená",J221,0)</f>
        <v>0</v>
      </c>
      <c r="BI221" s="152">
        <f>IF(N221="nulová",J221,0)</f>
        <v>0</v>
      </c>
      <c r="BJ221" s="19" t="s">
        <v>85</v>
      </c>
      <c r="BK221" s="152">
        <f>ROUND(I221*H221,2)</f>
        <v>0</v>
      </c>
      <c r="BL221" s="19" t="s">
        <v>185</v>
      </c>
      <c r="BM221" s="151" t="s">
        <v>2229</v>
      </c>
    </row>
    <row r="222" spans="1:65" s="2" customFormat="1">
      <c r="A222" s="34"/>
      <c r="B222" s="35"/>
      <c r="C222" s="34"/>
      <c r="D222" s="153" t="s">
        <v>187</v>
      </c>
      <c r="E222" s="34"/>
      <c r="F222" s="154" t="s">
        <v>211</v>
      </c>
      <c r="G222" s="34"/>
      <c r="H222" s="34"/>
      <c r="I222" s="155"/>
      <c r="J222" s="34"/>
      <c r="K222" s="34"/>
      <c r="L222" s="35"/>
      <c r="M222" s="156"/>
      <c r="N222" s="157"/>
      <c r="O222" s="55"/>
      <c r="P222" s="55"/>
      <c r="Q222" s="55"/>
      <c r="R222" s="55"/>
      <c r="S222" s="55"/>
      <c r="T222" s="56"/>
      <c r="U222" s="34"/>
      <c r="V222" s="34"/>
      <c r="W222" s="34"/>
      <c r="X222" s="34"/>
      <c r="Y222" s="34"/>
      <c r="Z222" s="34"/>
      <c r="AA222" s="34"/>
      <c r="AB222" s="34"/>
      <c r="AC222" s="34"/>
      <c r="AD222" s="34"/>
      <c r="AE222" s="34"/>
      <c r="AT222" s="19" t="s">
        <v>187</v>
      </c>
      <c r="AU222" s="19" t="s">
        <v>87</v>
      </c>
    </row>
    <row r="223" spans="1:65" s="2" customFormat="1">
      <c r="A223" s="34"/>
      <c r="B223" s="35"/>
      <c r="C223" s="34"/>
      <c r="D223" s="158" t="s">
        <v>189</v>
      </c>
      <c r="E223" s="34"/>
      <c r="F223" s="159" t="s">
        <v>212</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189</v>
      </c>
      <c r="AU223" s="19" t="s">
        <v>87</v>
      </c>
    </row>
    <row r="224" spans="1:65" s="2" customFormat="1" ht="58.5">
      <c r="A224" s="34"/>
      <c r="B224" s="35"/>
      <c r="C224" s="34"/>
      <c r="D224" s="153" t="s">
        <v>191</v>
      </c>
      <c r="E224" s="34"/>
      <c r="F224" s="160" t="s">
        <v>213</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191</v>
      </c>
      <c r="AU224" s="19" t="s">
        <v>87</v>
      </c>
    </row>
    <row r="225" spans="1:65" s="2" customFormat="1" ht="16.5" customHeight="1">
      <c r="A225" s="34"/>
      <c r="B225" s="139"/>
      <c r="C225" s="140" t="s">
        <v>504</v>
      </c>
      <c r="D225" s="140" t="s">
        <v>180</v>
      </c>
      <c r="E225" s="141" t="s">
        <v>214</v>
      </c>
      <c r="F225" s="142" t="s">
        <v>215</v>
      </c>
      <c r="G225" s="143" t="s">
        <v>183</v>
      </c>
      <c r="H225" s="144">
        <v>120.27</v>
      </c>
      <c r="I225" s="145"/>
      <c r="J225" s="146">
        <f>ROUND(I225*H225,2)</f>
        <v>0</v>
      </c>
      <c r="K225" s="142" t="s">
        <v>184</v>
      </c>
      <c r="L225" s="35"/>
      <c r="M225" s="147" t="s">
        <v>3</v>
      </c>
      <c r="N225" s="148" t="s">
        <v>48</v>
      </c>
      <c r="O225" s="55"/>
      <c r="P225" s="149">
        <f>O225*H225</f>
        <v>0</v>
      </c>
      <c r="Q225" s="149">
        <v>0</v>
      </c>
      <c r="R225" s="149">
        <f>Q225*H225</f>
        <v>0</v>
      </c>
      <c r="S225" s="149">
        <v>0</v>
      </c>
      <c r="T225" s="150">
        <f>S225*H225</f>
        <v>0</v>
      </c>
      <c r="U225" s="34"/>
      <c r="V225" s="34"/>
      <c r="W225" s="34"/>
      <c r="X225" s="34"/>
      <c r="Y225" s="34"/>
      <c r="Z225" s="34"/>
      <c r="AA225" s="34"/>
      <c r="AB225" s="34"/>
      <c r="AC225" s="34"/>
      <c r="AD225" s="34"/>
      <c r="AE225" s="34"/>
      <c r="AR225" s="151" t="s">
        <v>185</v>
      </c>
      <c r="AT225" s="151" t="s">
        <v>180</v>
      </c>
      <c r="AU225" s="151" t="s">
        <v>87</v>
      </c>
      <c r="AY225" s="19" t="s">
        <v>177</v>
      </c>
      <c r="BE225" s="152">
        <f>IF(N225="základní",J225,0)</f>
        <v>0</v>
      </c>
      <c r="BF225" s="152">
        <f>IF(N225="snížená",J225,0)</f>
        <v>0</v>
      </c>
      <c r="BG225" s="152">
        <f>IF(N225="zákl. přenesená",J225,0)</f>
        <v>0</v>
      </c>
      <c r="BH225" s="152">
        <f>IF(N225="sníž. přenesená",J225,0)</f>
        <v>0</v>
      </c>
      <c r="BI225" s="152">
        <f>IF(N225="nulová",J225,0)</f>
        <v>0</v>
      </c>
      <c r="BJ225" s="19" t="s">
        <v>85</v>
      </c>
      <c r="BK225" s="152">
        <f>ROUND(I225*H225,2)</f>
        <v>0</v>
      </c>
      <c r="BL225" s="19" t="s">
        <v>185</v>
      </c>
      <c r="BM225" s="151" t="s">
        <v>2230</v>
      </c>
    </row>
    <row r="226" spans="1:65" s="2" customFormat="1" ht="19.5">
      <c r="A226" s="34"/>
      <c r="B226" s="35"/>
      <c r="C226" s="34"/>
      <c r="D226" s="153" t="s">
        <v>187</v>
      </c>
      <c r="E226" s="34"/>
      <c r="F226" s="154" t="s">
        <v>217</v>
      </c>
      <c r="G226" s="34"/>
      <c r="H226" s="34"/>
      <c r="I226" s="155"/>
      <c r="J226" s="34"/>
      <c r="K226" s="34"/>
      <c r="L226" s="35"/>
      <c r="M226" s="156"/>
      <c r="N226" s="157"/>
      <c r="O226" s="55"/>
      <c r="P226" s="55"/>
      <c r="Q226" s="55"/>
      <c r="R226" s="55"/>
      <c r="S226" s="55"/>
      <c r="T226" s="56"/>
      <c r="U226" s="34"/>
      <c r="V226" s="34"/>
      <c r="W226" s="34"/>
      <c r="X226" s="34"/>
      <c r="Y226" s="34"/>
      <c r="Z226" s="34"/>
      <c r="AA226" s="34"/>
      <c r="AB226" s="34"/>
      <c r="AC226" s="34"/>
      <c r="AD226" s="34"/>
      <c r="AE226" s="34"/>
      <c r="AT226" s="19" t="s">
        <v>187</v>
      </c>
      <c r="AU226" s="19" t="s">
        <v>87</v>
      </c>
    </row>
    <row r="227" spans="1:65" s="2" customFormat="1">
      <c r="A227" s="34"/>
      <c r="B227" s="35"/>
      <c r="C227" s="34"/>
      <c r="D227" s="158" t="s">
        <v>189</v>
      </c>
      <c r="E227" s="34"/>
      <c r="F227" s="159" t="s">
        <v>218</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189</v>
      </c>
      <c r="AU227" s="19" t="s">
        <v>87</v>
      </c>
    </row>
    <row r="228" spans="1:65" s="2" customFormat="1" ht="58.5">
      <c r="A228" s="34"/>
      <c r="B228" s="35"/>
      <c r="C228" s="34"/>
      <c r="D228" s="153" t="s">
        <v>191</v>
      </c>
      <c r="E228" s="34"/>
      <c r="F228" s="160" t="s">
        <v>213</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191</v>
      </c>
      <c r="AU228" s="19" t="s">
        <v>87</v>
      </c>
    </row>
    <row r="229" spans="1:65" s="13" customFormat="1">
      <c r="B229" s="161"/>
      <c r="D229" s="153" t="s">
        <v>193</v>
      </c>
      <c r="F229" s="163" t="s">
        <v>2231</v>
      </c>
      <c r="H229" s="164">
        <v>120.27</v>
      </c>
      <c r="I229" s="165"/>
      <c r="L229" s="161"/>
      <c r="M229" s="166"/>
      <c r="N229" s="167"/>
      <c r="O229" s="167"/>
      <c r="P229" s="167"/>
      <c r="Q229" s="167"/>
      <c r="R229" s="167"/>
      <c r="S229" s="167"/>
      <c r="T229" s="168"/>
      <c r="AT229" s="162" t="s">
        <v>193</v>
      </c>
      <c r="AU229" s="162" t="s">
        <v>87</v>
      </c>
      <c r="AV229" s="13" t="s">
        <v>87</v>
      </c>
      <c r="AW229" s="13" t="s">
        <v>4</v>
      </c>
      <c r="AX229" s="13" t="s">
        <v>85</v>
      </c>
      <c r="AY229" s="162" t="s">
        <v>177</v>
      </c>
    </row>
    <row r="230" spans="1:65" s="2" customFormat="1" ht="24.2" customHeight="1">
      <c r="A230" s="34"/>
      <c r="B230" s="139"/>
      <c r="C230" s="140" t="s">
        <v>507</v>
      </c>
      <c r="D230" s="140" t="s">
        <v>180</v>
      </c>
      <c r="E230" s="141" t="s">
        <v>223</v>
      </c>
      <c r="F230" s="142" t="s">
        <v>224</v>
      </c>
      <c r="G230" s="143" t="s">
        <v>183</v>
      </c>
      <c r="H230" s="144">
        <v>6.33</v>
      </c>
      <c r="I230" s="145"/>
      <c r="J230" s="146">
        <f>ROUND(I230*H230,2)</f>
        <v>0</v>
      </c>
      <c r="K230" s="142" t="s">
        <v>184</v>
      </c>
      <c r="L230" s="35"/>
      <c r="M230" s="147" t="s">
        <v>3</v>
      </c>
      <c r="N230" s="148" t="s">
        <v>48</v>
      </c>
      <c r="O230" s="55"/>
      <c r="P230" s="149">
        <f>O230*H230</f>
        <v>0</v>
      </c>
      <c r="Q230" s="149">
        <v>0</v>
      </c>
      <c r="R230" s="149">
        <f>Q230*H230</f>
        <v>0</v>
      </c>
      <c r="S230" s="149">
        <v>0</v>
      </c>
      <c r="T230" s="150">
        <f>S230*H230</f>
        <v>0</v>
      </c>
      <c r="U230" s="34"/>
      <c r="V230" s="34"/>
      <c r="W230" s="34"/>
      <c r="X230" s="34"/>
      <c r="Y230" s="34"/>
      <c r="Z230" s="34"/>
      <c r="AA230" s="34"/>
      <c r="AB230" s="34"/>
      <c r="AC230" s="34"/>
      <c r="AD230" s="34"/>
      <c r="AE230" s="34"/>
      <c r="AR230" s="151" t="s">
        <v>185</v>
      </c>
      <c r="AT230" s="151" t="s">
        <v>180</v>
      </c>
      <c r="AU230" s="151" t="s">
        <v>87</v>
      </c>
      <c r="AY230" s="19" t="s">
        <v>177</v>
      </c>
      <c r="BE230" s="152">
        <f>IF(N230="základní",J230,0)</f>
        <v>0</v>
      </c>
      <c r="BF230" s="152">
        <f>IF(N230="snížená",J230,0)</f>
        <v>0</v>
      </c>
      <c r="BG230" s="152">
        <f>IF(N230="zákl. přenesená",J230,0)</f>
        <v>0</v>
      </c>
      <c r="BH230" s="152">
        <f>IF(N230="sníž. přenesená",J230,0)</f>
        <v>0</v>
      </c>
      <c r="BI230" s="152">
        <f>IF(N230="nulová",J230,0)</f>
        <v>0</v>
      </c>
      <c r="BJ230" s="19" t="s">
        <v>85</v>
      </c>
      <c r="BK230" s="152">
        <f>ROUND(I230*H230,2)</f>
        <v>0</v>
      </c>
      <c r="BL230" s="19" t="s">
        <v>185</v>
      </c>
      <c r="BM230" s="151" t="s">
        <v>2232</v>
      </c>
    </row>
    <row r="231" spans="1:65" s="2" customFormat="1" ht="19.5">
      <c r="A231" s="34"/>
      <c r="B231" s="35"/>
      <c r="C231" s="34"/>
      <c r="D231" s="153" t="s">
        <v>187</v>
      </c>
      <c r="E231" s="34"/>
      <c r="F231" s="154" t="s">
        <v>226</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187</v>
      </c>
      <c r="AU231" s="19" t="s">
        <v>87</v>
      </c>
    </row>
    <row r="232" spans="1:65" s="2" customFormat="1">
      <c r="A232" s="34"/>
      <c r="B232" s="35"/>
      <c r="C232" s="34"/>
      <c r="D232" s="158" t="s">
        <v>189</v>
      </c>
      <c r="E232" s="34"/>
      <c r="F232" s="159" t="s">
        <v>227</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189</v>
      </c>
      <c r="AU232" s="19" t="s">
        <v>87</v>
      </c>
    </row>
    <row r="233" spans="1:65" s="2" customFormat="1" ht="39">
      <c r="A233" s="34"/>
      <c r="B233" s="35"/>
      <c r="C233" s="34"/>
      <c r="D233" s="153" t="s">
        <v>191</v>
      </c>
      <c r="E233" s="34"/>
      <c r="F233" s="160" t="s">
        <v>228</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191</v>
      </c>
      <c r="AU233" s="19" t="s">
        <v>87</v>
      </c>
    </row>
    <row r="234" spans="1:65" s="12" customFormat="1" ht="22.9" customHeight="1">
      <c r="B234" s="126"/>
      <c r="D234" s="127" t="s">
        <v>76</v>
      </c>
      <c r="E234" s="137" t="s">
        <v>518</v>
      </c>
      <c r="F234" s="137" t="s">
        <v>519</v>
      </c>
      <c r="I234" s="129"/>
      <c r="J234" s="138">
        <f>BK234</f>
        <v>0</v>
      </c>
      <c r="L234" s="126"/>
      <c r="M234" s="131"/>
      <c r="N234" s="132"/>
      <c r="O234" s="132"/>
      <c r="P234" s="133">
        <f>SUM(P235:P238)</f>
        <v>0</v>
      </c>
      <c r="Q234" s="132"/>
      <c r="R234" s="133">
        <f>SUM(R235:R238)</f>
        <v>0</v>
      </c>
      <c r="S234" s="132"/>
      <c r="T234" s="134">
        <f>SUM(T235:T238)</f>
        <v>0</v>
      </c>
      <c r="AR234" s="127" t="s">
        <v>85</v>
      </c>
      <c r="AT234" s="135" t="s">
        <v>76</v>
      </c>
      <c r="AU234" s="135" t="s">
        <v>85</v>
      </c>
      <c r="AY234" s="127" t="s">
        <v>177</v>
      </c>
      <c r="BK234" s="136">
        <f>SUM(BK235:BK238)</f>
        <v>0</v>
      </c>
    </row>
    <row r="235" spans="1:65" s="2" customFormat="1" ht="16.5" customHeight="1">
      <c r="A235" s="34"/>
      <c r="B235" s="139"/>
      <c r="C235" s="140" t="s">
        <v>509</v>
      </c>
      <c r="D235" s="140" t="s">
        <v>180</v>
      </c>
      <c r="E235" s="141" t="s">
        <v>521</v>
      </c>
      <c r="F235" s="142" t="s">
        <v>522</v>
      </c>
      <c r="G235" s="143" t="s">
        <v>183</v>
      </c>
      <c r="H235" s="144">
        <v>144.917</v>
      </c>
      <c r="I235" s="145"/>
      <c r="J235" s="146">
        <f>ROUND(I235*H235,2)</f>
        <v>0</v>
      </c>
      <c r="K235" s="142" t="s">
        <v>184</v>
      </c>
      <c r="L235" s="35"/>
      <c r="M235" s="147" t="s">
        <v>3</v>
      </c>
      <c r="N235" s="148" t="s">
        <v>48</v>
      </c>
      <c r="O235" s="55"/>
      <c r="P235" s="149">
        <f>O235*H235</f>
        <v>0</v>
      </c>
      <c r="Q235" s="149">
        <v>0</v>
      </c>
      <c r="R235" s="149">
        <f>Q235*H235</f>
        <v>0</v>
      </c>
      <c r="S235" s="149">
        <v>0</v>
      </c>
      <c r="T235" s="150">
        <f>S235*H235</f>
        <v>0</v>
      </c>
      <c r="U235" s="34"/>
      <c r="V235" s="34"/>
      <c r="W235" s="34"/>
      <c r="X235" s="34"/>
      <c r="Y235" s="34"/>
      <c r="Z235" s="34"/>
      <c r="AA235" s="34"/>
      <c r="AB235" s="34"/>
      <c r="AC235" s="34"/>
      <c r="AD235" s="34"/>
      <c r="AE235" s="34"/>
      <c r="AR235" s="151" t="s">
        <v>185</v>
      </c>
      <c r="AT235" s="151" t="s">
        <v>180</v>
      </c>
      <c r="AU235" s="151" t="s">
        <v>87</v>
      </c>
      <c r="AY235" s="19" t="s">
        <v>177</v>
      </c>
      <c r="BE235" s="152">
        <f>IF(N235="základní",J235,0)</f>
        <v>0</v>
      </c>
      <c r="BF235" s="152">
        <f>IF(N235="snížená",J235,0)</f>
        <v>0</v>
      </c>
      <c r="BG235" s="152">
        <f>IF(N235="zákl. přenesená",J235,0)</f>
        <v>0</v>
      </c>
      <c r="BH235" s="152">
        <f>IF(N235="sníž. přenesená",J235,0)</f>
        <v>0</v>
      </c>
      <c r="BI235" s="152">
        <f>IF(N235="nulová",J235,0)</f>
        <v>0</v>
      </c>
      <c r="BJ235" s="19" t="s">
        <v>85</v>
      </c>
      <c r="BK235" s="152">
        <f>ROUND(I235*H235,2)</f>
        <v>0</v>
      </c>
      <c r="BL235" s="19" t="s">
        <v>185</v>
      </c>
      <c r="BM235" s="151" t="s">
        <v>2233</v>
      </c>
    </row>
    <row r="236" spans="1:65" s="2" customFormat="1" ht="19.5">
      <c r="A236" s="34"/>
      <c r="B236" s="35"/>
      <c r="C236" s="34"/>
      <c r="D236" s="153" t="s">
        <v>187</v>
      </c>
      <c r="E236" s="34"/>
      <c r="F236" s="154" t="s">
        <v>524</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187</v>
      </c>
      <c r="AU236" s="19" t="s">
        <v>87</v>
      </c>
    </row>
    <row r="237" spans="1:65" s="2" customFormat="1">
      <c r="A237" s="34"/>
      <c r="B237" s="35"/>
      <c r="C237" s="34"/>
      <c r="D237" s="158" t="s">
        <v>189</v>
      </c>
      <c r="E237" s="34"/>
      <c r="F237" s="159" t="s">
        <v>525</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189</v>
      </c>
      <c r="AU237" s="19" t="s">
        <v>87</v>
      </c>
    </row>
    <row r="238" spans="1:65" s="2" customFormat="1" ht="58.5">
      <c r="A238" s="34"/>
      <c r="B238" s="35"/>
      <c r="C238" s="34"/>
      <c r="D238" s="153" t="s">
        <v>191</v>
      </c>
      <c r="E238" s="34"/>
      <c r="F238" s="160" t="s">
        <v>526</v>
      </c>
      <c r="G238" s="34"/>
      <c r="H238" s="34"/>
      <c r="I238" s="155"/>
      <c r="J238" s="34"/>
      <c r="K238" s="34"/>
      <c r="L238" s="35"/>
      <c r="M238" s="156"/>
      <c r="N238" s="157"/>
      <c r="O238" s="55"/>
      <c r="P238" s="55"/>
      <c r="Q238" s="55"/>
      <c r="R238" s="55"/>
      <c r="S238" s="55"/>
      <c r="T238" s="56"/>
      <c r="U238" s="34"/>
      <c r="V238" s="34"/>
      <c r="W238" s="34"/>
      <c r="X238" s="34"/>
      <c r="Y238" s="34"/>
      <c r="Z238" s="34"/>
      <c r="AA238" s="34"/>
      <c r="AB238" s="34"/>
      <c r="AC238" s="34"/>
      <c r="AD238" s="34"/>
      <c r="AE238" s="34"/>
      <c r="AT238" s="19" t="s">
        <v>191</v>
      </c>
      <c r="AU238" s="19" t="s">
        <v>87</v>
      </c>
    </row>
    <row r="239" spans="1:65" s="12" customFormat="1" ht="25.9" customHeight="1">
      <c r="B239" s="126"/>
      <c r="D239" s="127" t="s">
        <v>76</v>
      </c>
      <c r="E239" s="128" t="s">
        <v>229</v>
      </c>
      <c r="F239" s="128" t="s">
        <v>230</v>
      </c>
      <c r="I239" s="129"/>
      <c r="J239" s="130">
        <f>BK239</f>
        <v>0</v>
      </c>
      <c r="L239" s="126"/>
      <c r="M239" s="131"/>
      <c r="N239" s="132"/>
      <c r="O239" s="132"/>
      <c r="P239" s="133">
        <f>P240+P266</f>
        <v>0</v>
      </c>
      <c r="Q239" s="132"/>
      <c r="R239" s="133">
        <f>R240+R266</f>
        <v>5.5425195085000016</v>
      </c>
      <c r="S239" s="132"/>
      <c r="T239" s="134">
        <f>T240+T266</f>
        <v>0</v>
      </c>
      <c r="AR239" s="127" t="s">
        <v>87</v>
      </c>
      <c r="AT239" s="135" t="s">
        <v>76</v>
      </c>
      <c r="AU239" s="135" t="s">
        <v>77</v>
      </c>
      <c r="AY239" s="127" t="s">
        <v>177</v>
      </c>
      <c r="BK239" s="136">
        <f>BK240+BK266</f>
        <v>0</v>
      </c>
    </row>
    <row r="240" spans="1:65" s="12" customFormat="1" ht="22.9" customHeight="1">
      <c r="B240" s="126"/>
      <c r="D240" s="127" t="s">
        <v>76</v>
      </c>
      <c r="E240" s="137" t="s">
        <v>770</v>
      </c>
      <c r="F240" s="137" t="s">
        <v>771</v>
      </c>
      <c r="I240" s="129"/>
      <c r="J240" s="138">
        <f>BK240</f>
        <v>0</v>
      </c>
      <c r="L240" s="126"/>
      <c r="M240" s="131"/>
      <c r="N240" s="132"/>
      <c r="O240" s="132"/>
      <c r="P240" s="133">
        <f>SUM(P241:P265)</f>
        <v>0</v>
      </c>
      <c r="Q240" s="132"/>
      <c r="R240" s="133">
        <f>SUM(R241:R265)</f>
        <v>0.96516200000000008</v>
      </c>
      <c r="S240" s="132"/>
      <c r="T240" s="134">
        <f>SUM(T241:T265)</f>
        <v>0</v>
      </c>
      <c r="AR240" s="127" t="s">
        <v>87</v>
      </c>
      <c r="AT240" s="135" t="s">
        <v>76</v>
      </c>
      <c r="AU240" s="135" t="s">
        <v>85</v>
      </c>
      <c r="AY240" s="127" t="s">
        <v>177</v>
      </c>
      <c r="BK240" s="136">
        <f>SUM(BK241:BK265)</f>
        <v>0</v>
      </c>
    </row>
    <row r="241" spans="1:65" s="2" customFormat="1" ht="16.5" customHeight="1">
      <c r="A241" s="34"/>
      <c r="B241" s="139"/>
      <c r="C241" s="140" t="s">
        <v>512</v>
      </c>
      <c r="D241" s="140" t="s">
        <v>180</v>
      </c>
      <c r="E241" s="141" t="s">
        <v>2234</v>
      </c>
      <c r="F241" s="142" t="s">
        <v>2235</v>
      </c>
      <c r="G241" s="143" t="s">
        <v>332</v>
      </c>
      <c r="H241" s="144">
        <v>542.14</v>
      </c>
      <c r="I241" s="145"/>
      <c r="J241" s="146">
        <f>ROUND(I241*H241,2)</f>
        <v>0</v>
      </c>
      <c r="K241" s="142" t="s">
        <v>184</v>
      </c>
      <c r="L241" s="35"/>
      <c r="M241" s="147" t="s">
        <v>3</v>
      </c>
      <c r="N241" s="148" t="s">
        <v>48</v>
      </c>
      <c r="O241" s="55"/>
      <c r="P241" s="149">
        <f>O241*H241</f>
        <v>0</v>
      </c>
      <c r="Q241" s="149">
        <v>0</v>
      </c>
      <c r="R241" s="149">
        <f>Q241*H241</f>
        <v>0</v>
      </c>
      <c r="S241" s="149">
        <v>0</v>
      </c>
      <c r="T241" s="150">
        <f>S241*H241</f>
        <v>0</v>
      </c>
      <c r="U241" s="34"/>
      <c r="V241" s="34"/>
      <c r="W241" s="34"/>
      <c r="X241" s="34"/>
      <c r="Y241" s="34"/>
      <c r="Z241" s="34"/>
      <c r="AA241" s="34"/>
      <c r="AB241" s="34"/>
      <c r="AC241" s="34"/>
      <c r="AD241" s="34"/>
      <c r="AE241" s="34"/>
      <c r="AR241" s="151" t="s">
        <v>237</v>
      </c>
      <c r="AT241" s="151" t="s">
        <v>180</v>
      </c>
      <c r="AU241" s="151" t="s">
        <v>87</v>
      </c>
      <c r="AY241" s="19" t="s">
        <v>177</v>
      </c>
      <c r="BE241" s="152">
        <f>IF(N241="základní",J241,0)</f>
        <v>0</v>
      </c>
      <c r="BF241" s="152">
        <f>IF(N241="snížená",J241,0)</f>
        <v>0</v>
      </c>
      <c r="BG241" s="152">
        <f>IF(N241="zákl. přenesená",J241,0)</f>
        <v>0</v>
      </c>
      <c r="BH241" s="152">
        <f>IF(N241="sníž. přenesená",J241,0)</f>
        <v>0</v>
      </c>
      <c r="BI241" s="152">
        <f>IF(N241="nulová",J241,0)</f>
        <v>0</v>
      </c>
      <c r="BJ241" s="19" t="s">
        <v>85</v>
      </c>
      <c r="BK241" s="152">
        <f>ROUND(I241*H241,2)</f>
        <v>0</v>
      </c>
      <c r="BL241" s="19" t="s">
        <v>237</v>
      </c>
      <c r="BM241" s="151" t="s">
        <v>2236</v>
      </c>
    </row>
    <row r="242" spans="1:65" s="2" customFormat="1">
      <c r="A242" s="34"/>
      <c r="B242" s="35"/>
      <c r="C242" s="34"/>
      <c r="D242" s="153" t="s">
        <v>187</v>
      </c>
      <c r="E242" s="34"/>
      <c r="F242" s="154" t="s">
        <v>2237</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187</v>
      </c>
      <c r="AU242" s="19" t="s">
        <v>87</v>
      </c>
    </row>
    <row r="243" spans="1:65" s="2" customFormat="1">
      <c r="A243" s="34"/>
      <c r="B243" s="35"/>
      <c r="C243" s="34"/>
      <c r="D243" s="158" t="s">
        <v>189</v>
      </c>
      <c r="E243" s="34"/>
      <c r="F243" s="159" t="s">
        <v>2238</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189</v>
      </c>
      <c r="AU243" s="19" t="s">
        <v>87</v>
      </c>
    </row>
    <row r="244" spans="1:65" s="2" customFormat="1" ht="39">
      <c r="A244" s="34"/>
      <c r="B244" s="35"/>
      <c r="C244" s="34"/>
      <c r="D244" s="153" t="s">
        <v>191</v>
      </c>
      <c r="E244" s="34"/>
      <c r="F244" s="160" t="s">
        <v>2239</v>
      </c>
      <c r="G244" s="34"/>
      <c r="H244" s="34"/>
      <c r="I244" s="155"/>
      <c r="J244" s="34"/>
      <c r="K244" s="34"/>
      <c r="L244" s="35"/>
      <c r="M244" s="156"/>
      <c r="N244" s="157"/>
      <c r="O244" s="55"/>
      <c r="P244" s="55"/>
      <c r="Q244" s="55"/>
      <c r="R244" s="55"/>
      <c r="S244" s="55"/>
      <c r="T244" s="56"/>
      <c r="U244" s="34"/>
      <c r="V244" s="34"/>
      <c r="W244" s="34"/>
      <c r="X244" s="34"/>
      <c r="Y244" s="34"/>
      <c r="Z244" s="34"/>
      <c r="AA244" s="34"/>
      <c r="AB244" s="34"/>
      <c r="AC244" s="34"/>
      <c r="AD244" s="34"/>
      <c r="AE244" s="34"/>
      <c r="AT244" s="19" t="s">
        <v>191</v>
      </c>
      <c r="AU244" s="19" t="s">
        <v>87</v>
      </c>
    </row>
    <row r="245" spans="1:65" s="2" customFormat="1" ht="16.5" customHeight="1">
      <c r="A245" s="34"/>
      <c r="B245" s="139"/>
      <c r="C245" s="195" t="s">
        <v>520</v>
      </c>
      <c r="D245" s="195" t="s">
        <v>484</v>
      </c>
      <c r="E245" s="196" t="s">
        <v>2240</v>
      </c>
      <c r="F245" s="197" t="s">
        <v>2241</v>
      </c>
      <c r="G245" s="198" t="s">
        <v>332</v>
      </c>
      <c r="H245" s="199">
        <v>593.12</v>
      </c>
      <c r="I245" s="200"/>
      <c r="J245" s="201">
        <f>ROUND(I245*H245,2)</f>
        <v>0</v>
      </c>
      <c r="K245" s="197" t="s">
        <v>184</v>
      </c>
      <c r="L245" s="202"/>
      <c r="M245" s="203" t="s">
        <v>3</v>
      </c>
      <c r="N245" s="204" t="s">
        <v>48</v>
      </c>
      <c r="O245" s="55"/>
      <c r="P245" s="149">
        <f>O245*H245</f>
        <v>0</v>
      </c>
      <c r="Q245" s="149">
        <v>1.6000000000000001E-3</v>
      </c>
      <c r="R245" s="149">
        <f>Q245*H245</f>
        <v>0.94899200000000006</v>
      </c>
      <c r="S245" s="149">
        <v>0</v>
      </c>
      <c r="T245" s="150">
        <f>S245*H245</f>
        <v>0</v>
      </c>
      <c r="U245" s="34"/>
      <c r="V245" s="34"/>
      <c r="W245" s="34"/>
      <c r="X245" s="34"/>
      <c r="Y245" s="34"/>
      <c r="Z245" s="34"/>
      <c r="AA245" s="34"/>
      <c r="AB245" s="34"/>
      <c r="AC245" s="34"/>
      <c r="AD245" s="34"/>
      <c r="AE245" s="34"/>
      <c r="AR245" s="151" t="s">
        <v>537</v>
      </c>
      <c r="AT245" s="151" t="s">
        <v>484</v>
      </c>
      <c r="AU245" s="151" t="s">
        <v>87</v>
      </c>
      <c r="AY245" s="19" t="s">
        <v>177</v>
      </c>
      <c r="BE245" s="152">
        <f>IF(N245="základní",J245,0)</f>
        <v>0</v>
      </c>
      <c r="BF245" s="152">
        <f>IF(N245="snížená",J245,0)</f>
        <v>0</v>
      </c>
      <c r="BG245" s="152">
        <f>IF(N245="zákl. přenesená",J245,0)</f>
        <v>0</v>
      </c>
      <c r="BH245" s="152">
        <f>IF(N245="sníž. přenesená",J245,0)</f>
        <v>0</v>
      </c>
      <c r="BI245" s="152">
        <f>IF(N245="nulová",J245,0)</f>
        <v>0</v>
      </c>
      <c r="BJ245" s="19" t="s">
        <v>85</v>
      </c>
      <c r="BK245" s="152">
        <f>ROUND(I245*H245,2)</f>
        <v>0</v>
      </c>
      <c r="BL245" s="19" t="s">
        <v>237</v>
      </c>
      <c r="BM245" s="151" t="s">
        <v>2242</v>
      </c>
    </row>
    <row r="246" spans="1:65" s="2" customFormat="1">
      <c r="A246" s="34"/>
      <c r="B246" s="35"/>
      <c r="C246" s="34"/>
      <c r="D246" s="153" t="s">
        <v>187</v>
      </c>
      <c r="E246" s="34"/>
      <c r="F246" s="154" t="s">
        <v>2243</v>
      </c>
      <c r="G246" s="34"/>
      <c r="H246" s="34"/>
      <c r="I246" s="155"/>
      <c r="J246" s="34"/>
      <c r="K246" s="34"/>
      <c r="L246" s="35"/>
      <c r="M246" s="156"/>
      <c r="N246" s="157"/>
      <c r="O246" s="55"/>
      <c r="P246" s="55"/>
      <c r="Q246" s="55"/>
      <c r="R246" s="55"/>
      <c r="S246" s="55"/>
      <c r="T246" s="56"/>
      <c r="U246" s="34"/>
      <c r="V246" s="34"/>
      <c r="W246" s="34"/>
      <c r="X246" s="34"/>
      <c r="Y246" s="34"/>
      <c r="Z246" s="34"/>
      <c r="AA246" s="34"/>
      <c r="AB246" s="34"/>
      <c r="AC246" s="34"/>
      <c r="AD246" s="34"/>
      <c r="AE246" s="34"/>
      <c r="AT246" s="19" t="s">
        <v>187</v>
      </c>
      <c r="AU246" s="19" t="s">
        <v>87</v>
      </c>
    </row>
    <row r="247" spans="1:65" s="14" customFormat="1">
      <c r="B247" s="169"/>
      <c r="D247" s="153" t="s">
        <v>193</v>
      </c>
      <c r="E247" s="170" t="s">
        <v>3</v>
      </c>
      <c r="F247" s="171" t="s">
        <v>931</v>
      </c>
      <c r="H247" s="170" t="s">
        <v>3</v>
      </c>
      <c r="I247" s="172"/>
      <c r="L247" s="169"/>
      <c r="M247" s="173"/>
      <c r="N247" s="174"/>
      <c r="O247" s="174"/>
      <c r="P247" s="174"/>
      <c r="Q247" s="174"/>
      <c r="R247" s="174"/>
      <c r="S247" s="174"/>
      <c r="T247" s="175"/>
      <c r="AT247" s="170" t="s">
        <v>193</v>
      </c>
      <c r="AU247" s="170" t="s">
        <v>87</v>
      </c>
      <c r="AV247" s="14" t="s">
        <v>85</v>
      </c>
      <c r="AW247" s="14" t="s">
        <v>36</v>
      </c>
      <c r="AX247" s="14" t="s">
        <v>77</v>
      </c>
      <c r="AY247" s="170" t="s">
        <v>177</v>
      </c>
    </row>
    <row r="248" spans="1:65" s="13" customFormat="1">
      <c r="B248" s="161"/>
      <c r="D248" s="153" t="s">
        <v>193</v>
      </c>
      <c r="E248" s="162" t="s">
        <v>3</v>
      </c>
      <c r="F248" s="163" t="s">
        <v>2244</v>
      </c>
      <c r="H248" s="164">
        <v>248</v>
      </c>
      <c r="I248" s="165"/>
      <c r="L248" s="161"/>
      <c r="M248" s="166"/>
      <c r="N248" s="167"/>
      <c r="O248" s="167"/>
      <c r="P248" s="167"/>
      <c r="Q248" s="167"/>
      <c r="R248" s="167"/>
      <c r="S248" s="167"/>
      <c r="T248" s="168"/>
      <c r="AT248" s="162" t="s">
        <v>193</v>
      </c>
      <c r="AU248" s="162" t="s">
        <v>87</v>
      </c>
      <c r="AV248" s="13" t="s">
        <v>87</v>
      </c>
      <c r="AW248" s="13" t="s">
        <v>36</v>
      </c>
      <c r="AX248" s="13" t="s">
        <v>77</v>
      </c>
      <c r="AY248" s="162" t="s">
        <v>177</v>
      </c>
    </row>
    <row r="249" spans="1:65" s="14" customFormat="1">
      <c r="B249" s="169"/>
      <c r="D249" s="153" t="s">
        <v>193</v>
      </c>
      <c r="E249" s="170" t="s">
        <v>3</v>
      </c>
      <c r="F249" s="171" t="s">
        <v>939</v>
      </c>
      <c r="H249" s="170" t="s">
        <v>3</v>
      </c>
      <c r="I249" s="172"/>
      <c r="L249" s="169"/>
      <c r="M249" s="173"/>
      <c r="N249" s="174"/>
      <c r="O249" s="174"/>
      <c r="P249" s="174"/>
      <c r="Q249" s="174"/>
      <c r="R249" s="174"/>
      <c r="S249" s="174"/>
      <c r="T249" s="175"/>
      <c r="AT249" s="170" t="s">
        <v>193</v>
      </c>
      <c r="AU249" s="170" t="s">
        <v>87</v>
      </c>
      <c r="AV249" s="14" t="s">
        <v>85</v>
      </c>
      <c r="AW249" s="14" t="s">
        <v>36</v>
      </c>
      <c r="AX249" s="14" t="s">
        <v>77</v>
      </c>
      <c r="AY249" s="170" t="s">
        <v>177</v>
      </c>
    </row>
    <row r="250" spans="1:65" s="13" customFormat="1">
      <c r="B250" s="161"/>
      <c r="D250" s="153" t="s">
        <v>193</v>
      </c>
      <c r="E250" s="162" t="s">
        <v>3</v>
      </c>
      <c r="F250" s="163" t="s">
        <v>1756</v>
      </c>
      <c r="H250" s="164">
        <v>291.2</v>
      </c>
      <c r="I250" s="165"/>
      <c r="L250" s="161"/>
      <c r="M250" s="166"/>
      <c r="N250" s="167"/>
      <c r="O250" s="167"/>
      <c r="P250" s="167"/>
      <c r="Q250" s="167"/>
      <c r="R250" s="167"/>
      <c r="S250" s="167"/>
      <c r="T250" s="168"/>
      <c r="AT250" s="162" t="s">
        <v>193</v>
      </c>
      <c r="AU250" s="162" t="s">
        <v>87</v>
      </c>
      <c r="AV250" s="13" t="s">
        <v>87</v>
      </c>
      <c r="AW250" s="13" t="s">
        <v>36</v>
      </c>
      <c r="AX250" s="13" t="s">
        <v>77</v>
      </c>
      <c r="AY250" s="162" t="s">
        <v>177</v>
      </c>
    </row>
    <row r="251" spans="1:65" s="16" customFormat="1">
      <c r="B251" s="184"/>
      <c r="D251" s="153" t="s">
        <v>193</v>
      </c>
      <c r="E251" s="185" t="s">
        <v>3</v>
      </c>
      <c r="F251" s="186" t="s">
        <v>201</v>
      </c>
      <c r="H251" s="187">
        <v>539.20000000000005</v>
      </c>
      <c r="I251" s="188"/>
      <c r="L251" s="184"/>
      <c r="M251" s="189"/>
      <c r="N251" s="190"/>
      <c r="O251" s="190"/>
      <c r="P251" s="190"/>
      <c r="Q251" s="190"/>
      <c r="R251" s="190"/>
      <c r="S251" s="190"/>
      <c r="T251" s="191"/>
      <c r="AT251" s="185" t="s">
        <v>193</v>
      </c>
      <c r="AU251" s="185" t="s">
        <v>87</v>
      </c>
      <c r="AV251" s="16" t="s">
        <v>185</v>
      </c>
      <c r="AW251" s="16" t="s">
        <v>36</v>
      </c>
      <c r="AX251" s="16" t="s">
        <v>85</v>
      </c>
      <c r="AY251" s="185" t="s">
        <v>177</v>
      </c>
    </row>
    <row r="252" spans="1:65" s="13" customFormat="1">
      <c r="B252" s="161"/>
      <c r="D252" s="153" t="s">
        <v>193</v>
      </c>
      <c r="F252" s="163" t="s">
        <v>2245</v>
      </c>
      <c r="H252" s="164">
        <v>593.12</v>
      </c>
      <c r="I252" s="165"/>
      <c r="L252" s="161"/>
      <c r="M252" s="166"/>
      <c r="N252" s="167"/>
      <c r="O252" s="167"/>
      <c r="P252" s="167"/>
      <c r="Q252" s="167"/>
      <c r="R252" s="167"/>
      <c r="S252" s="167"/>
      <c r="T252" s="168"/>
      <c r="AT252" s="162" t="s">
        <v>193</v>
      </c>
      <c r="AU252" s="162" t="s">
        <v>87</v>
      </c>
      <c r="AV252" s="13" t="s">
        <v>87</v>
      </c>
      <c r="AW252" s="13" t="s">
        <v>4</v>
      </c>
      <c r="AX252" s="13" t="s">
        <v>85</v>
      </c>
      <c r="AY252" s="162" t="s">
        <v>177</v>
      </c>
    </row>
    <row r="253" spans="1:65" s="2" customFormat="1" ht="16.5" customHeight="1">
      <c r="A253" s="34"/>
      <c r="B253" s="139"/>
      <c r="C253" s="195" t="s">
        <v>527</v>
      </c>
      <c r="D253" s="195" t="s">
        <v>484</v>
      </c>
      <c r="E253" s="196" t="s">
        <v>2246</v>
      </c>
      <c r="F253" s="197" t="s">
        <v>2247</v>
      </c>
      <c r="G253" s="198" t="s">
        <v>332</v>
      </c>
      <c r="H253" s="199">
        <v>3.234</v>
      </c>
      <c r="I253" s="200"/>
      <c r="J253" s="201">
        <f>ROUND(I253*H253,2)</f>
        <v>0</v>
      </c>
      <c r="K253" s="197" t="s">
        <v>184</v>
      </c>
      <c r="L253" s="202"/>
      <c r="M253" s="203" t="s">
        <v>3</v>
      </c>
      <c r="N253" s="204" t="s">
        <v>48</v>
      </c>
      <c r="O253" s="55"/>
      <c r="P253" s="149">
        <f>O253*H253</f>
        <v>0</v>
      </c>
      <c r="Q253" s="149">
        <v>5.0000000000000001E-3</v>
      </c>
      <c r="R253" s="149">
        <f>Q253*H253</f>
        <v>1.617E-2</v>
      </c>
      <c r="S253" s="149">
        <v>0</v>
      </c>
      <c r="T253" s="150">
        <f>S253*H253</f>
        <v>0</v>
      </c>
      <c r="U253" s="34"/>
      <c r="V253" s="34"/>
      <c r="W253" s="34"/>
      <c r="X253" s="34"/>
      <c r="Y253" s="34"/>
      <c r="Z253" s="34"/>
      <c r="AA253" s="34"/>
      <c r="AB253" s="34"/>
      <c r="AC253" s="34"/>
      <c r="AD253" s="34"/>
      <c r="AE253" s="34"/>
      <c r="AR253" s="151" t="s">
        <v>537</v>
      </c>
      <c r="AT253" s="151" t="s">
        <v>484</v>
      </c>
      <c r="AU253" s="151" t="s">
        <v>87</v>
      </c>
      <c r="AY253" s="19" t="s">
        <v>177</v>
      </c>
      <c r="BE253" s="152">
        <f>IF(N253="základní",J253,0)</f>
        <v>0</v>
      </c>
      <c r="BF253" s="152">
        <f>IF(N253="snížená",J253,0)</f>
        <v>0</v>
      </c>
      <c r="BG253" s="152">
        <f>IF(N253="zákl. přenesená",J253,0)</f>
        <v>0</v>
      </c>
      <c r="BH253" s="152">
        <f>IF(N253="sníž. přenesená",J253,0)</f>
        <v>0</v>
      </c>
      <c r="BI253" s="152">
        <f>IF(N253="nulová",J253,0)</f>
        <v>0</v>
      </c>
      <c r="BJ253" s="19" t="s">
        <v>85</v>
      </c>
      <c r="BK253" s="152">
        <f>ROUND(I253*H253,2)</f>
        <v>0</v>
      </c>
      <c r="BL253" s="19" t="s">
        <v>237</v>
      </c>
      <c r="BM253" s="151" t="s">
        <v>2248</v>
      </c>
    </row>
    <row r="254" spans="1:65" s="2" customFormat="1">
      <c r="A254" s="34"/>
      <c r="B254" s="35"/>
      <c r="C254" s="34"/>
      <c r="D254" s="153" t="s">
        <v>187</v>
      </c>
      <c r="E254" s="34"/>
      <c r="F254" s="154" t="s">
        <v>2249</v>
      </c>
      <c r="G254" s="34"/>
      <c r="H254" s="34"/>
      <c r="I254" s="155"/>
      <c r="J254" s="34"/>
      <c r="K254" s="34"/>
      <c r="L254" s="35"/>
      <c r="M254" s="156"/>
      <c r="N254" s="157"/>
      <c r="O254" s="55"/>
      <c r="P254" s="55"/>
      <c r="Q254" s="55"/>
      <c r="R254" s="55"/>
      <c r="S254" s="55"/>
      <c r="T254" s="56"/>
      <c r="U254" s="34"/>
      <c r="V254" s="34"/>
      <c r="W254" s="34"/>
      <c r="X254" s="34"/>
      <c r="Y254" s="34"/>
      <c r="Z254" s="34"/>
      <c r="AA254" s="34"/>
      <c r="AB254" s="34"/>
      <c r="AC254" s="34"/>
      <c r="AD254" s="34"/>
      <c r="AE254" s="34"/>
      <c r="AT254" s="19" t="s">
        <v>187</v>
      </c>
      <c r="AU254" s="19" t="s">
        <v>87</v>
      </c>
    </row>
    <row r="255" spans="1:65" s="14" customFormat="1">
      <c r="B255" s="169"/>
      <c r="D255" s="153" t="s">
        <v>193</v>
      </c>
      <c r="E255" s="170" t="s">
        <v>3</v>
      </c>
      <c r="F255" s="171" t="s">
        <v>2250</v>
      </c>
      <c r="H255" s="170" t="s">
        <v>3</v>
      </c>
      <c r="I255" s="172"/>
      <c r="L255" s="169"/>
      <c r="M255" s="173"/>
      <c r="N255" s="174"/>
      <c r="O255" s="174"/>
      <c r="P255" s="174"/>
      <c r="Q255" s="174"/>
      <c r="R255" s="174"/>
      <c r="S255" s="174"/>
      <c r="T255" s="175"/>
      <c r="AT255" s="170" t="s">
        <v>193</v>
      </c>
      <c r="AU255" s="170" t="s">
        <v>87</v>
      </c>
      <c r="AV255" s="14" t="s">
        <v>85</v>
      </c>
      <c r="AW255" s="14" t="s">
        <v>36</v>
      </c>
      <c r="AX255" s="14" t="s">
        <v>77</v>
      </c>
      <c r="AY255" s="170" t="s">
        <v>177</v>
      </c>
    </row>
    <row r="256" spans="1:65" s="13" customFormat="1">
      <c r="B256" s="161"/>
      <c r="D256" s="153" t="s">
        <v>193</v>
      </c>
      <c r="E256" s="162" t="s">
        <v>3</v>
      </c>
      <c r="F256" s="163" t="s">
        <v>2251</v>
      </c>
      <c r="H256" s="164">
        <v>2.94</v>
      </c>
      <c r="I256" s="165"/>
      <c r="L256" s="161"/>
      <c r="M256" s="166"/>
      <c r="N256" s="167"/>
      <c r="O256" s="167"/>
      <c r="P256" s="167"/>
      <c r="Q256" s="167"/>
      <c r="R256" s="167"/>
      <c r="S256" s="167"/>
      <c r="T256" s="168"/>
      <c r="AT256" s="162" t="s">
        <v>193</v>
      </c>
      <c r="AU256" s="162" t="s">
        <v>87</v>
      </c>
      <c r="AV256" s="13" t="s">
        <v>87</v>
      </c>
      <c r="AW256" s="13" t="s">
        <v>36</v>
      </c>
      <c r="AX256" s="13" t="s">
        <v>85</v>
      </c>
      <c r="AY256" s="162" t="s">
        <v>177</v>
      </c>
    </row>
    <row r="257" spans="1:65" s="13" customFormat="1">
      <c r="B257" s="161"/>
      <c r="D257" s="153" t="s">
        <v>193</v>
      </c>
      <c r="F257" s="163" t="s">
        <v>2252</v>
      </c>
      <c r="H257" s="164">
        <v>3.234</v>
      </c>
      <c r="I257" s="165"/>
      <c r="L257" s="161"/>
      <c r="M257" s="166"/>
      <c r="N257" s="167"/>
      <c r="O257" s="167"/>
      <c r="P257" s="167"/>
      <c r="Q257" s="167"/>
      <c r="R257" s="167"/>
      <c r="S257" s="167"/>
      <c r="T257" s="168"/>
      <c r="AT257" s="162" t="s">
        <v>193</v>
      </c>
      <c r="AU257" s="162" t="s">
        <v>87</v>
      </c>
      <c r="AV257" s="13" t="s">
        <v>87</v>
      </c>
      <c r="AW257" s="13" t="s">
        <v>4</v>
      </c>
      <c r="AX257" s="13" t="s">
        <v>85</v>
      </c>
      <c r="AY257" s="162" t="s">
        <v>177</v>
      </c>
    </row>
    <row r="258" spans="1:65" s="2" customFormat="1" ht="16.5" customHeight="1">
      <c r="A258" s="34"/>
      <c r="B258" s="139"/>
      <c r="C258" s="140" t="s">
        <v>537</v>
      </c>
      <c r="D258" s="140" t="s">
        <v>180</v>
      </c>
      <c r="E258" s="141" t="s">
        <v>788</v>
      </c>
      <c r="F258" s="142" t="s">
        <v>789</v>
      </c>
      <c r="G258" s="143" t="s">
        <v>183</v>
      </c>
      <c r="H258" s="144">
        <v>0.96499999999999997</v>
      </c>
      <c r="I258" s="145"/>
      <c r="J258" s="146">
        <f>ROUND(I258*H258,2)</f>
        <v>0</v>
      </c>
      <c r="K258" s="142" t="s">
        <v>184</v>
      </c>
      <c r="L258" s="35"/>
      <c r="M258" s="147" t="s">
        <v>3</v>
      </c>
      <c r="N258" s="148" t="s">
        <v>48</v>
      </c>
      <c r="O258" s="55"/>
      <c r="P258" s="149">
        <f>O258*H258</f>
        <v>0</v>
      </c>
      <c r="Q258" s="149">
        <v>0</v>
      </c>
      <c r="R258" s="149">
        <f>Q258*H258</f>
        <v>0</v>
      </c>
      <c r="S258" s="149">
        <v>0</v>
      </c>
      <c r="T258" s="150">
        <f>S258*H258</f>
        <v>0</v>
      </c>
      <c r="U258" s="34"/>
      <c r="V258" s="34"/>
      <c r="W258" s="34"/>
      <c r="X258" s="34"/>
      <c r="Y258" s="34"/>
      <c r="Z258" s="34"/>
      <c r="AA258" s="34"/>
      <c r="AB258" s="34"/>
      <c r="AC258" s="34"/>
      <c r="AD258" s="34"/>
      <c r="AE258" s="34"/>
      <c r="AR258" s="151" t="s">
        <v>237</v>
      </c>
      <c r="AT258" s="151" t="s">
        <v>180</v>
      </c>
      <c r="AU258" s="151" t="s">
        <v>87</v>
      </c>
      <c r="AY258" s="19" t="s">
        <v>177</v>
      </c>
      <c r="BE258" s="152">
        <f>IF(N258="základní",J258,0)</f>
        <v>0</v>
      </c>
      <c r="BF258" s="152">
        <f>IF(N258="snížená",J258,0)</f>
        <v>0</v>
      </c>
      <c r="BG258" s="152">
        <f>IF(N258="zákl. přenesená",J258,0)</f>
        <v>0</v>
      </c>
      <c r="BH258" s="152">
        <f>IF(N258="sníž. přenesená",J258,0)</f>
        <v>0</v>
      </c>
      <c r="BI258" s="152">
        <f>IF(N258="nulová",J258,0)</f>
        <v>0</v>
      </c>
      <c r="BJ258" s="19" t="s">
        <v>85</v>
      </c>
      <c r="BK258" s="152">
        <f>ROUND(I258*H258,2)</f>
        <v>0</v>
      </c>
      <c r="BL258" s="19" t="s">
        <v>237</v>
      </c>
      <c r="BM258" s="151" t="s">
        <v>2253</v>
      </c>
    </row>
    <row r="259" spans="1:65" s="2" customFormat="1" ht="19.5">
      <c r="A259" s="34"/>
      <c r="B259" s="35"/>
      <c r="C259" s="34"/>
      <c r="D259" s="153" t="s">
        <v>187</v>
      </c>
      <c r="E259" s="34"/>
      <c r="F259" s="154" t="s">
        <v>791</v>
      </c>
      <c r="G259" s="34"/>
      <c r="H259" s="34"/>
      <c r="I259" s="155"/>
      <c r="J259" s="34"/>
      <c r="K259" s="34"/>
      <c r="L259" s="35"/>
      <c r="M259" s="156"/>
      <c r="N259" s="157"/>
      <c r="O259" s="55"/>
      <c r="P259" s="55"/>
      <c r="Q259" s="55"/>
      <c r="R259" s="55"/>
      <c r="S259" s="55"/>
      <c r="T259" s="56"/>
      <c r="U259" s="34"/>
      <c r="V259" s="34"/>
      <c r="W259" s="34"/>
      <c r="X259" s="34"/>
      <c r="Y259" s="34"/>
      <c r="Z259" s="34"/>
      <c r="AA259" s="34"/>
      <c r="AB259" s="34"/>
      <c r="AC259" s="34"/>
      <c r="AD259" s="34"/>
      <c r="AE259" s="34"/>
      <c r="AT259" s="19" t="s">
        <v>187</v>
      </c>
      <c r="AU259" s="19" t="s">
        <v>87</v>
      </c>
    </row>
    <row r="260" spans="1:65" s="2" customFormat="1">
      <c r="A260" s="34"/>
      <c r="B260" s="35"/>
      <c r="C260" s="34"/>
      <c r="D260" s="158" t="s">
        <v>189</v>
      </c>
      <c r="E260" s="34"/>
      <c r="F260" s="159" t="s">
        <v>792</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189</v>
      </c>
      <c r="AU260" s="19" t="s">
        <v>87</v>
      </c>
    </row>
    <row r="261" spans="1:65" s="2" customFormat="1" ht="78">
      <c r="A261" s="34"/>
      <c r="B261" s="35"/>
      <c r="C261" s="34"/>
      <c r="D261" s="153" t="s">
        <v>191</v>
      </c>
      <c r="E261" s="34"/>
      <c r="F261" s="160" t="s">
        <v>793</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191</v>
      </c>
      <c r="AU261" s="19" t="s">
        <v>87</v>
      </c>
    </row>
    <row r="262" spans="1:65" s="2" customFormat="1" ht="16.5" customHeight="1">
      <c r="A262" s="34"/>
      <c r="B262" s="139"/>
      <c r="C262" s="140" t="s">
        <v>757</v>
      </c>
      <c r="D262" s="140" t="s">
        <v>180</v>
      </c>
      <c r="E262" s="141" t="s">
        <v>795</v>
      </c>
      <c r="F262" s="142" t="s">
        <v>796</v>
      </c>
      <c r="G262" s="143" t="s">
        <v>183</v>
      </c>
      <c r="H262" s="144">
        <v>0.96499999999999997</v>
      </c>
      <c r="I262" s="145"/>
      <c r="J262" s="146">
        <f>ROUND(I262*H262,2)</f>
        <v>0</v>
      </c>
      <c r="K262" s="142" t="s">
        <v>184</v>
      </c>
      <c r="L262" s="35"/>
      <c r="M262" s="147" t="s">
        <v>3</v>
      </c>
      <c r="N262" s="148" t="s">
        <v>48</v>
      </c>
      <c r="O262" s="55"/>
      <c r="P262" s="149">
        <f>O262*H262</f>
        <v>0</v>
      </c>
      <c r="Q262" s="149">
        <v>0</v>
      </c>
      <c r="R262" s="149">
        <f>Q262*H262</f>
        <v>0</v>
      </c>
      <c r="S262" s="149">
        <v>0</v>
      </c>
      <c r="T262" s="150">
        <f>S262*H262</f>
        <v>0</v>
      </c>
      <c r="U262" s="34"/>
      <c r="V262" s="34"/>
      <c r="W262" s="34"/>
      <c r="X262" s="34"/>
      <c r="Y262" s="34"/>
      <c r="Z262" s="34"/>
      <c r="AA262" s="34"/>
      <c r="AB262" s="34"/>
      <c r="AC262" s="34"/>
      <c r="AD262" s="34"/>
      <c r="AE262" s="34"/>
      <c r="AR262" s="151" t="s">
        <v>237</v>
      </c>
      <c r="AT262" s="151" t="s">
        <v>180</v>
      </c>
      <c r="AU262" s="151" t="s">
        <v>87</v>
      </c>
      <c r="AY262" s="19" t="s">
        <v>177</v>
      </c>
      <c r="BE262" s="152">
        <f>IF(N262="základní",J262,0)</f>
        <v>0</v>
      </c>
      <c r="BF262" s="152">
        <f>IF(N262="snížená",J262,0)</f>
        <v>0</v>
      </c>
      <c r="BG262" s="152">
        <f>IF(N262="zákl. přenesená",J262,0)</f>
        <v>0</v>
      </c>
      <c r="BH262" s="152">
        <f>IF(N262="sníž. přenesená",J262,0)</f>
        <v>0</v>
      </c>
      <c r="BI262" s="152">
        <f>IF(N262="nulová",J262,0)</f>
        <v>0</v>
      </c>
      <c r="BJ262" s="19" t="s">
        <v>85</v>
      </c>
      <c r="BK262" s="152">
        <f>ROUND(I262*H262,2)</f>
        <v>0</v>
      </c>
      <c r="BL262" s="19" t="s">
        <v>237</v>
      </c>
      <c r="BM262" s="151" t="s">
        <v>2254</v>
      </c>
    </row>
    <row r="263" spans="1:65" s="2" customFormat="1" ht="19.5">
      <c r="A263" s="34"/>
      <c r="B263" s="35"/>
      <c r="C263" s="34"/>
      <c r="D263" s="153" t="s">
        <v>187</v>
      </c>
      <c r="E263" s="34"/>
      <c r="F263" s="154" t="s">
        <v>798</v>
      </c>
      <c r="G263" s="34"/>
      <c r="H263" s="34"/>
      <c r="I263" s="155"/>
      <c r="J263" s="34"/>
      <c r="K263" s="34"/>
      <c r="L263" s="35"/>
      <c r="M263" s="156"/>
      <c r="N263" s="157"/>
      <c r="O263" s="55"/>
      <c r="P263" s="55"/>
      <c r="Q263" s="55"/>
      <c r="R263" s="55"/>
      <c r="S263" s="55"/>
      <c r="T263" s="56"/>
      <c r="U263" s="34"/>
      <c r="V263" s="34"/>
      <c r="W263" s="34"/>
      <c r="X263" s="34"/>
      <c r="Y263" s="34"/>
      <c r="Z263" s="34"/>
      <c r="AA263" s="34"/>
      <c r="AB263" s="34"/>
      <c r="AC263" s="34"/>
      <c r="AD263" s="34"/>
      <c r="AE263" s="34"/>
      <c r="AT263" s="19" t="s">
        <v>187</v>
      </c>
      <c r="AU263" s="19" t="s">
        <v>87</v>
      </c>
    </row>
    <row r="264" spans="1:65" s="2" customFormat="1">
      <c r="A264" s="34"/>
      <c r="B264" s="35"/>
      <c r="C264" s="34"/>
      <c r="D264" s="158" t="s">
        <v>189</v>
      </c>
      <c r="E264" s="34"/>
      <c r="F264" s="159" t="s">
        <v>799</v>
      </c>
      <c r="G264" s="34"/>
      <c r="H264" s="34"/>
      <c r="I264" s="155"/>
      <c r="J264" s="34"/>
      <c r="K264" s="34"/>
      <c r="L264" s="35"/>
      <c r="M264" s="156"/>
      <c r="N264" s="157"/>
      <c r="O264" s="55"/>
      <c r="P264" s="55"/>
      <c r="Q264" s="55"/>
      <c r="R264" s="55"/>
      <c r="S264" s="55"/>
      <c r="T264" s="56"/>
      <c r="U264" s="34"/>
      <c r="V264" s="34"/>
      <c r="W264" s="34"/>
      <c r="X264" s="34"/>
      <c r="Y264" s="34"/>
      <c r="Z264" s="34"/>
      <c r="AA264" s="34"/>
      <c r="AB264" s="34"/>
      <c r="AC264" s="34"/>
      <c r="AD264" s="34"/>
      <c r="AE264" s="34"/>
      <c r="AT264" s="19" t="s">
        <v>189</v>
      </c>
      <c r="AU264" s="19" t="s">
        <v>87</v>
      </c>
    </row>
    <row r="265" spans="1:65" s="2" customFormat="1" ht="78">
      <c r="A265" s="34"/>
      <c r="B265" s="35"/>
      <c r="C265" s="34"/>
      <c r="D265" s="153" t="s">
        <v>191</v>
      </c>
      <c r="E265" s="34"/>
      <c r="F265" s="160" t="s">
        <v>793</v>
      </c>
      <c r="G265" s="34"/>
      <c r="H265" s="34"/>
      <c r="I265" s="155"/>
      <c r="J265" s="34"/>
      <c r="K265" s="34"/>
      <c r="L265" s="35"/>
      <c r="M265" s="156"/>
      <c r="N265" s="157"/>
      <c r="O265" s="55"/>
      <c r="P265" s="55"/>
      <c r="Q265" s="55"/>
      <c r="R265" s="55"/>
      <c r="S265" s="55"/>
      <c r="T265" s="56"/>
      <c r="U265" s="34"/>
      <c r="V265" s="34"/>
      <c r="W265" s="34"/>
      <c r="X265" s="34"/>
      <c r="Y265" s="34"/>
      <c r="Z265" s="34"/>
      <c r="AA265" s="34"/>
      <c r="AB265" s="34"/>
      <c r="AC265" s="34"/>
      <c r="AD265" s="34"/>
      <c r="AE265" s="34"/>
      <c r="AT265" s="19" t="s">
        <v>191</v>
      </c>
      <c r="AU265" s="19" t="s">
        <v>87</v>
      </c>
    </row>
    <row r="266" spans="1:65" s="12" customFormat="1" ht="22.9" customHeight="1">
      <c r="B266" s="126"/>
      <c r="D266" s="127" t="s">
        <v>76</v>
      </c>
      <c r="E266" s="137" t="s">
        <v>1559</v>
      </c>
      <c r="F266" s="137" t="s">
        <v>1560</v>
      </c>
      <c r="I266" s="129"/>
      <c r="J266" s="138">
        <f>BK266</f>
        <v>0</v>
      </c>
      <c r="L266" s="126"/>
      <c r="M266" s="131"/>
      <c r="N266" s="132"/>
      <c r="O266" s="132"/>
      <c r="P266" s="133">
        <f>SUM(P267:P317)</f>
        <v>0</v>
      </c>
      <c r="Q266" s="132"/>
      <c r="R266" s="133">
        <f>SUM(R267:R317)</f>
        <v>4.5773575085000013</v>
      </c>
      <c r="S266" s="132"/>
      <c r="T266" s="134">
        <f>SUM(T267:T317)</f>
        <v>0</v>
      </c>
      <c r="AR266" s="127" t="s">
        <v>87</v>
      </c>
      <c r="AT266" s="135" t="s">
        <v>76</v>
      </c>
      <c r="AU266" s="135" t="s">
        <v>85</v>
      </c>
      <c r="AY266" s="127" t="s">
        <v>177</v>
      </c>
      <c r="BK266" s="136">
        <f>SUM(BK267:BK317)</f>
        <v>0</v>
      </c>
    </row>
    <row r="267" spans="1:65" s="2" customFormat="1" ht="16.5" customHeight="1">
      <c r="A267" s="34"/>
      <c r="B267" s="139"/>
      <c r="C267" s="140" t="s">
        <v>764</v>
      </c>
      <c r="D267" s="140" t="s">
        <v>180</v>
      </c>
      <c r="E267" s="141" t="s">
        <v>2255</v>
      </c>
      <c r="F267" s="142" t="s">
        <v>2256</v>
      </c>
      <c r="G267" s="143" t="s">
        <v>332</v>
      </c>
      <c r="H267" s="144">
        <v>119.52</v>
      </c>
      <c r="I267" s="145"/>
      <c r="J267" s="146">
        <f>ROUND(I267*H267,2)</f>
        <v>0</v>
      </c>
      <c r="K267" s="142" t="s">
        <v>184</v>
      </c>
      <c r="L267" s="35"/>
      <c r="M267" s="147" t="s">
        <v>3</v>
      </c>
      <c r="N267" s="148" t="s">
        <v>48</v>
      </c>
      <c r="O267" s="55"/>
      <c r="P267" s="149">
        <f>O267*H267</f>
        <v>0</v>
      </c>
      <c r="Q267" s="149">
        <v>2.60425E-4</v>
      </c>
      <c r="R267" s="149">
        <f>Q267*H267</f>
        <v>3.1125996E-2</v>
      </c>
      <c r="S267" s="149">
        <v>0</v>
      </c>
      <c r="T267" s="150">
        <f>S267*H267</f>
        <v>0</v>
      </c>
      <c r="U267" s="34"/>
      <c r="V267" s="34"/>
      <c r="W267" s="34"/>
      <c r="X267" s="34"/>
      <c r="Y267" s="34"/>
      <c r="Z267" s="34"/>
      <c r="AA267" s="34"/>
      <c r="AB267" s="34"/>
      <c r="AC267" s="34"/>
      <c r="AD267" s="34"/>
      <c r="AE267" s="34"/>
      <c r="AR267" s="151" t="s">
        <v>237</v>
      </c>
      <c r="AT267" s="151" t="s">
        <v>180</v>
      </c>
      <c r="AU267" s="151" t="s">
        <v>87</v>
      </c>
      <c r="AY267" s="19" t="s">
        <v>177</v>
      </c>
      <c r="BE267" s="152">
        <f>IF(N267="základní",J267,0)</f>
        <v>0</v>
      </c>
      <c r="BF267" s="152">
        <f>IF(N267="snížená",J267,0)</f>
        <v>0</v>
      </c>
      <c r="BG267" s="152">
        <f>IF(N267="zákl. přenesená",J267,0)</f>
        <v>0</v>
      </c>
      <c r="BH267" s="152">
        <f>IF(N267="sníž. přenesená",J267,0)</f>
        <v>0</v>
      </c>
      <c r="BI267" s="152">
        <f>IF(N267="nulová",J267,0)</f>
        <v>0</v>
      </c>
      <c r="BJ267" s="19" t="s">
        <v>85</v>
      </c>
      <c r="BK267" s="152">
        <f>ROUND(I267*H267,2)</f>
        <v>0</v>
      </c>
      <c r="BL267" s="19" t="s">
        <v>237</v>
      </c>
      <c r="BM267" s="151" t="s">
        <v>2257</v>
      </c>
    </row>
    <row r="268" spans="1:65" s="2" customFormat="1">
      <c r="A268" s="34"/>
      <c r="B268" s="35"/>
      <c r="C268" s="34"/>
      <c r="D268" s="153" t="s">
        <v>187</v>
      </c>
      <c r="E268" s="34"/>
      <c r="F268" s="154" t="s">
        <v>2258</v>
      </c>
      <c r="G268" s="34"/>
      <c r="H268" s="34"/>
      <c r="I268" s="155"/>
      <c r="J268" s="34"/>
      <c r="K268" s="34"/>
      <c r="L268" s="35"/>
      <c r="M268" s="156"/>
      <c r="N268" s="157"/>
      <c r="O268" s="55"/>
      <c r="P268" s="55"/>
      <c r="Q268" s="55"/>
      <c r="R268" s="55"/>
      <c r="S268" s="55"/>
      <c r="T268" s="56"/>
      <c r="U268" s="34"/>
      <c r="V268" s="34"/>
      <c r="W268" s="34"/>
      <c r="X268" s="34"/>
      <c r="Y268" s="34"/>
      <c r="Z268" s="34"/>
      <c r="AA268" s="34"/>
      <c r="AB268" s="34"/>
      <c r="AC268" s="34"/>
      <c r="AD268" s="34"/>
      <c r="AE268" s="34"/>
      <c r="AT268" s="19" t="s">
        <v>187</v>
      </c>
      <c r="AU268" s="19" t="s">
        <v>87</v>
      </c>
    </row>
    <row r="269" spans="1:65" s="2" customFormat="1">
      <c r="A269" s="34"/>
      <c r="B269" s="35"/>
      <c r="C269" s="34"/>
      <c r="D269" s="158" t="s">
        <v>189</v>
      </c>
      <c r="E269" s="34"/>
      <c r="F269" s="159" t="s">
        <v>2259</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189</v>
      </c>
      <c r="AU269" s="19" t="s">
        <v>87</v>
      </c>
    </row>
    <row r="270" spans="1:65" s="2" customFormat="1" ht="78">
      <c r="A270" s="34"/>
      <c r="B270" s="35"/>
      <c r="C270" s="34"/>
      <c r="D270" s="153" t="s">
        <v>191</v>
      </c>
      <c r="E270" s="34"/>
      <c r="F270" s="160" t="s">
        <v>2260</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191</v>
      </c>
      <c r="AU270" s="19" t="s">
        <v>87</v>
      </c>
    </row>
    <row r="271" spans="1:65" s="13" customFormat="1">
      <c r="B271" s="161"/>
      <c r="D271" s="153" t="s">
        <v>193</v>
      </c>
      <c r="E271" s="162" t="s">
        <v>3</v>
      </c>
      <c r="F271" s="163" t="s">
        <v>2261</v>
      </c>
      <c r="H271" s="164">
        <v>46.08</v>
      </c>
      <c r="I271" s="165"/>
      <c r="L271" s="161"/>
      <c r="M271" s="166"/>
      <c r="N271" s="167"/>
      <c r="O271" s="167"/>
      <c r="P271" s="167"/>
      <c r="Q271" s="167"/>
      <c r="R271" s="167"/>
      <c r="S271" s="167"/>
      <c r="T271" s="168"/>
      <c r="AT271" s="162" t="s">
        <v>193</v>
      </c>
      <c r="AU271" s="162" t="s">
        <v>87</v>
      </c>
      <c r="AV271" s="13" t="s">
        <v>87</v>
      </c>
      <c r="AW271" s="13" t="s">
        <v>36</v>
      </c>
      <c r="AX271" s="13" t="s">
        <v>77</v>
      </c>
      <c r="AY271" s="162" t="s">
        <v>177</v>
      </c>
    </row>
    <row r="272" spans="1:65" s="13" customFormat="1">
      <c r="B272" s="161"/>
      <c r="D272" s="153" t="s">
        <v>193</v>
      </c>
      <c r="E272" s="162" t="s">
        <v>3</v>
      </c>
      <c r="F272" s="163" t="s">
        <v>2262</v>
      </c>
      <c r="H272" s="164">
        <v>34.56</v>
      </c>
      <c r="I272" s="165"/>
      <c r="L272" s="161"/>
      <c r="M272" s="166"/>
      <c r="N272" s="167"/>
      <c r="O272" s="167"/>
      <c r="P272" s="167"/>
      <c r="Q272" s="167"/>
      <c r="R272" s="167"/>
      <c r="S272" s="167"/>
      <c r="T272" s="168"/>
      <c r="AT272" s="162" t="s">
        <v>193</v>
      </c>
      <c r="AU272" s="162" t="s">
        <v>87</v>
      </c>
      <c r="AV272" s="13" t="s">
        <v>87</v>
      </c>
      <c r="AW272" s="13" t="s">
        <v>36</v>
      </c>
      <c r="AX272" s="13" t="s">
        <v>77</v>
      </c>
      <c r="AY272" s="162" t="s">
        <v>177</v>
      </c>
    </row>
    <row r="273" spans="1:65" s="13" customFormat="1">
      <c r="B273" s="161"/>
      <c r="D273" s="153" t="s">
        <v>193</v>
      </c>
      <c r="E273" s="162" t="s">
        <v>3</v>
      </c>
      <c r="F273" s="163" t="s">
        <v>2263</v>
      </c>
      <c r="H273" s="164">
        <v>17.28</v>
      </c>
      <c r="I273" s="165"/>
      <c r="L273" s="161"/>
      <c r="M273" s="166"/>
      <c r="N273" s="167"/>
      <c r="O273" s="167"/>
      <c r="P273" s="167"/>
      <c r="Q273" s="167"/>
      <c r="R273" s="167"/>
      <c r="S273" s="167"/>
      <c r="T273" s="168"/>
      <c r="AT273" s="162" t="s">
        <v>193</v>
      </c>
      <c r="AU273" s="162" t="s">
        <v>87</v>
      </c>
      <c r="AV273" s="13" t="s">
        <v>87</v>
      </c>
      <c r="AW273" s="13" t="s">
        <v>36</v>
      </c>
      <c r="AX273" s="13" t="s">
        <v>77</v>
      </c>
      <c r="AY273" s="162" t="s">
        <v>177</v>
      </c>
    </row>
    <row r="274" spans="1:65" s="13" customFormat="1">
      <c r="B274" s="161"/>
      <c r="D274" s="153" t="s">
        <v>193</v>
      </c>
      <c r="E274" s="162" t="s">
        <v>3</v>
      </c>
      <c r="F274" s="163" t="s">
        <v>2264</v>
      </c>
      <c r="H274" s="164">
        <v>17.28</v>
      </c>
      <c r="I274" s="165"/>
      <c r="L274" s="161"/>
      <c r="M274" s="166"/>
      <c r="N274" s="167"/>
      <c r="O274" s="167"/>
      <c r="P274" s="167"/>
      <c r="Q274" s="167"/>
      <c r="R274" s="167"/>
      <c r="S274" s="167"/>
      <c r="T274" s="168"/>
      <c r="AT274" s="162" t="s">
        <v>193</v>
      </c>
      <c r="AU274" s="162" t="s">
        <v>87</v>
      </c>
      <c r="AV274" s="13" t="s">
        <v>87</v>
      </c>
      <c r="AW274" s="13" t="s">
        <v>36</v>
      </c>
      <c r="AX274" s="13" t="s">
        <v>77</v>
      </c>
      <c r="AY274" s="162" t="s">
        <v>177</v>
      </c>
    </row>
    <row r="275" spans="1:65" s="13" customFormat="1">
      <c r="B275" s="161"/>
      <c r="D275" s="153" t="s">
        <v>193</v>
      </c>
      <c r="E275" s="162" t="s">
        <v>3</v>
      </c>
      <c r="F275" s="163" t="s">
        <v>2265</v>
      </c>
      <c r="H275" s="164">
        <v>4.32</v>
      </c>
      <c r="I275" s="165"/>
      <c r="L275" s="161"/>
      <c r="M275" s="166"/>
      <c r="N275" s="167"/>
      <c r="O275" s="167"/>
      <c r="P275" s="167"/>
      <c r="Q275" s="167"/>
      <c r="R275" s="167"/>
      <c r="S275" s="167"/>
      <c r="T275" s="168"/>
      <c r="AT275" s="162" t="s">
        <v>193</v>
      </c>
      <c r="AU275" s="162" t="s">
        <v>87</v>
      </c>
      <c r="AV275" s="13" t="s">
        <v>87</v>
      </c>
      <c r="AW275" s="13" t="s">
        <v>36</v>
      </c>
      <c r="AX275" s="13" t="s">
        <v>77</v>
      </c>
      <c r="AY275" s="162" t="s">
        <v>177</v>
      </c>
    </row>
    <row r="276" spans="1:65" s="16" customFormat="1">
      <c r="B276" s="184"/>
      <c r="D276" s="153" t="s">
        <v>193</v>
      </c>
      <c r="E276" s="185" t="s">
        <v>3</v>
      </c>
      <c r="F276" s="186" t="s">
        <v>201</v>
      </c>
      <c r="H276" s="187">
        <v>119.52</v>
      </c>
      <c r="I276" s="188"/>
      <c r="L276" s="184"/>
      <c r="M276" s="189"/>
      <c r="N276" s="190"/>
      <c r="O276" s="190"/>
      <c r="P276" s="190"/>
      <c r="Q276" s="190"/>
      <c r="R276" s="190"/>
      <c r="S276" s="190"/>
      <c r="T276" s="191"/>
      <c r="AT276" s="185" t="s">
        <v>193</v>
      </c>
      <c r="AU276" s="185" t="s">
        <v>87</v>
      </c>
      <c r="AV276" s="16" t="s">
        <v>185</v>
      </c>
      <c r="AW276" s="16" t="s">
        <v>36</v>
      </c>
      <c r="AX276" s="16" t="s">
        <v>85</v>
      </c>
      <c r="AY276" s="185" t="s">
        <v>177</v>
      </c>
    </row>
    <row r="277" spans="1:65" s="2" customFormat="1" ht="16.5" customHeight="1">
      <c r="A277" s="34"/>
      <c r="B277" s="139"/>
      <c r="C277" s="195" t="s">
        <v>772</v>
      </c>
      <c r="D277" s="195" t="s">
        <v>484</v>
      </c>
      <c r="E277" s="196" t="s">
        <v>2266</v>
      </c>
      <c r="F277" s="197" t="s">
        <v>2267</v>
      </c>
      <c r="G277" s="198" t="s">
        <v>332</v>
      </c>
      <c r="H277" s="199">
        <v>119.52</v>
      </c>
      <c r="I277" s="200"/>
      <c r="J277" s="201">
        <f>ROUND(I277*H277,2)</f>
        <v>0</v>
      </c>
      <c r="K277" s="197" t="s">
        <v>184</v>
      </c>
      <c r="L277" s="202"/>
      <c r="M277" s="203" t="s">
        <v>3</v>
      </c>
      <c r="N277" s="204" t="s">
        <v>48</v>
      </c>
      <c r="O277" s="55"/>
      <c r="P277" s="149">
        <f>O277*H277</f>
        <v>0</v>
      </c>
      <c r="Q277" s="149">
        <v>3.6110000000000003E-2</v>
      </c>
      <c r="R277" s="149">
        <f>Q277*H277</f>
        <v>4.3158672000000005</v>
      </c>
      <c r="S277" s="149">
        <v>0</v>
      </c>
      <c r="T277" s="150">
        <f>S277*H277</f>
        <v>0</v>
      </c>
      <c r="U277" s="34"/>
      <c r="V277" s="34"/>
      <c r="W277" s="34"/>
      <c r="X277" s="34"/>
      <c r="Y277" s="34"/>
      <c r="Z277" s="34"/>
      <c r="AA277" s="34"/>
      <c r="AB277" s="34"/>
      <c r="AC277" s="34"/>
      <c r="AD277" s="34"/>
      <c r="AE277" s="34"/>
      <c r="AR277" s="151" t="s">
        <v>537</v>
      </c>
      <c r="AT277" s="151" t="s">
        <v>484</v>
      </c>
      <c r="AU277" s="151" t="s">
        <v>87</v>
      </c>
      <c r="AY277" s="19" t="s">
        <v>177</v>
      </c>
      <c r="BE277" s="152">
        <f>IF(N277="základní",J277,0)</f>
        <v>0</v>
      </c>
      <c r="BF277" s="152">
        <f>IF(N277="snížená",J277,0)</f>
        <v>0</v>
      </c>
      <c r="BG277" s="152">
        <f>IF(N277="zákl. přenesená",J277,0)</f>
        <v>0</v>
      </c>
      <c r="BH277" s="152">
        <f>IF(N277="sníž. přenesená",J277,0)</f>
        <v>0</v>
      </c>
      <c r="BI277" s="152">
        <f>IF(N277="nulová",J277,0)</f>
        <v>0</v>
      </c>
      <c r="BJ277" s="19" t="s">
        <v>85</v>
      </c>
      <c r="BK277" s="152">
        <f>ROUND(I277*H277,2)</f>
        <v>0</v>
      </c>
      <c r="BL277" s="19" t="s">
        <v>237</v>
      </c>
      <c r="BM277" s="151" t="s">
        <v>2268</v>
      </c>
    </row>
    <row r="278" spans="1:65" s="2" customFormat="1">
      <c r="A278" s="34"/>
      <c r="B278" s="35"/>
      <c r="C278" s="34"/>
      <c r="D278" s="153" t="s">
        <v>187</v>
      </c>
      <c r="E278" s="34"/>
      <c r="F278" s="154" t="s">
        <v>2267</v>
      </c>
      <c r="G278" s="34"/>
      <c r="H278" s="34"/>
      <c r="I278" s="155"/>
      <c r="J278" s="34"/>
      <c r="K278" s="34"/>
      <c r="L278" s="35"/>
      <c r="M278" s="156"/>
      <c r="N278" s="157"/>
      <c r="O278" s="55"/>
      <c r="P278" s="55"/>
      <c r="Q278" s="55"/>
      <c r="R278" s="55"/>
      <c r="S278" s="55"/>
      <c r="T278" s="56"/>
      <c r="U278" s="34"/>
      <c r="V278" s="34"/>
      <c r="W278" s="34"/>
      <c r="X278" s="34"/>
      <c r="Y278" s="34"/>
      <c r="Z278" s="34"/>
      <c r="AA278" s="34"/>
      <c r="AB278" s="34"/>
      <c r="AC278" s="34"/>
      <c r="AD278" s="34"/>
      <c r="AE278" s="34"/>
      <c r="AT278" s="19" t="s">
        <v>187</v>
      </c>
      <c r="AU278" s="19" t="s">
        <v>87</v>
      </c>
    </row>
    <row r="279" spans="1:65" s="2" customFormat="1" ht="16.5" customHeight="1">
      <c r="A279" s="34"/>
      <c r="B279" s="139"/>
      <c r="C279" s="140" t="s">
        <v>781</v>
      </c>
      <c r="D279" s="140" t="s">
        <v>180</v>
      </c>
      <c r="E279" s="141" t="s">
        <v>2269</v>
      </c>
      <c r="F279" s="142" t="s">
        <v>2270</v>
      </c>
      <c r="G279" s="143" t="s">
        <v>236</v>
      </c>
      <c r="H279" s="144">
        <v>19</v>
      </c>
      <c r="I279" s="145"/>
      <c r="J279" s="146">
        <f>ROUND(I279*H279,2)</f>
        <v>0</v>
      </c>
      <c r="K279" s="142" t="s">
        <v>184</v>
      </c>
      <c r="L279" s="35"/>
      <c r="M279" s="147" t="s">
        <v>3</v>
      </c>
      <c r="N279" s="148" t="s">
        <v>48</v>
      </c>
      <c r="O279" s="55"/>
      <c r="P279" s="149">
        <f>O279*H279</f>
        <v>0</v>
      </c>
      <c r="Q279" s="149">
        <v>2.6848749999999999E-4</v>
      </c>
      <c r="R279" s="149">
        <f>Q279*H279</f>
        <v>5.1012624999999994E-3</v>
      </c>
      <c r="S279" s="149">
        <v>0</v>
      </c>
      <c r="T279" s="150">
        <f>S279*H279</f>
        <v>0</v>
      </c>
      <c r="U279" s="34"/>
      <c r="V279" s="34"/>
      <c r="W279" s="34"/>
      <c r="X279" s="34"/>
      <c r="Y279" s="34"/>
      <c r="Z279" s="34"/>
      <c r="AA279" s="34"/>
      <c r="AB279" s="34"/>
      <c r="AC279" s="34"/>
      <c r="AD279" s="34"/>
      <c r="AE279" s="34"/>
      <c r="AR279" s="151" t="s">
        <v>237</v>
      </c>
      <c r="AT279" s="151" t="s">
        <v>180</v>
      </c>
      <c r="AU279" s="151" t="s">
        <v>87</v>
      </c>
      <c r="AY279" s="19" t="s">
        <v>177</v>
      </c>
      <c r="BE279" s="152">
        <f>IF(N279="základní",J279,0)</f>
        <v>0</v>
      </c>
      <c r="BF279" s="152">
        <f>IF(N279="snížená",J279,0)</f>
        <v>0</v>
      </c>
      <c r="BG279" s="152">
        <f>IF(N279="zákl. přenesená",J279,0)</f>
        <v>0</v>
      </c>
      <c r="BH279" s="152">
        <f>IF(N279="sníž. přenesená",J279,0)</f>
        <v>0</v>
      </c>
      <c r="BI279" s="152">
        <f>IF(N279="nulová",J279,0)</f>
        <v>0</v>
      </c>
      <c r="BJ279" s="19" t="s">
        <v>85</v>
      </c>
      <c r="BK279" s="152">
        <f>ROUND(I279*H279,2)</f>
        <v>0</v>
      </c>
      <c r="BL279" s="19" t="s">
        <v>237</v>
      </c>
      <c r="BM279" s="151" t="s">
        <v>2271</v>
      </c>
    </row>
    <row r="280" spans="1:65" s="2" customFormat="1">
      <c r="A280" s="34"/>
      <c r="B280" s="35"/>
      <c r="C280" s="34"/>
      <c r="D280" s="153" t="s">
        <v>187</v>
      </c>
      <c r="E280" s="34"/>
      <c r="F280" s="154" t="s">
        <v>2272</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187</v>
      </c>
      <c r="AU280" s="19" t="s">
        <v>87</v>
      </c>
    </row>
    <row r="281" spans="1:65" s="2" customFormat="1">
      <c r="A281" s="34"/>
      <c r="B281" s="35"/>
      <c r="C281" s="34"/>
      <c r="D281" s="158" t="s">
        <v>189</v>
      </c>
      <c r="E281" s="34"/>
      <c r="F281" s="159" t="s">
        <v>2273</v>
      </c>
      <c r="G281" s="34"/>
      <c r="H281" s="34"/>
      <c r="I281" s="155"/>
      <c r="J281" s="34"/>
      <c r="K281" s="34"/>
      <c r="L281" s="35"/>
      <c r="M281" s="156"/>
      <c r="N281" s="157"/>
      <c r="O281" s="55"/>
      <c r="P281" s="55"/>
      <c r="Q281" s="55"/>
      <c r="R281" s="55"/>
      <c r="S281" s="55"/>
      <c r="T281" s="56"/>
      <c r="U281" s="34"/>
      <c r="V281" s="34"/>
      <c r="W281" s="34"/>
      <c r="X281" s="34"/>
      <c r="Y281" s="34"/>
      <c r="Z281" s="34"/>
      <c r="AA281" s="34"/>
      <c r="AB281" s="34"/>
      <c r="AC281" s="34"/>
      <c r="AD281" s="34"/>
      <c r="AE281" s="34"/>
      <c r="AT281" s="19" t="s">
        <v>189</v>
      </c>
      <c r="AU281" s="19" t="s">
        <v>87</v>
      </c>
    </row>
    <row r="282" spans="1:65" s="2" customFormat="1" ht="78">
      <c r="A282" s="34"/>
      <c r="B282" s="35"/>
      <c r="C282" s="34"/>
      <c r="D282" s="153" t="s">
        <v>191</v>
      </c>
      <c r="E282" s="34"/>
      <c r="F282" s="160" t="s">
        <v>2260</v>
      </c>
      <c r="G282" s="34"/>
      <c r="H282" s="34"/>
      <c r="I282" s="155"/>
      <c r="J282" s="34"/>
      <c r="K282" s="34"/>
      <c r="L282" s="35"/>
      <c r="M282" s="156"/>
      <c r="N282" s="157"/>
      <c r="O282" s="55"/>
      <c r="P282" s="55"/>
      <c r="Q282" s="55"/>
      <c r="R282" s="55"/>
      <c r="S282" s="55"/>
      <c r="T282" s="56"/>
      <c r="U282" s="34"/>
      <c r="V282" s="34"/>
      <c r="W282" s="34"/>
      <c r="X282" s="34"/>
      <c r="Y282" s="34"/>
      <c r="Z282" s="34"/>
      <c r="AA282" s="34"/>
      <c r="AB282" s="34"/>
      <c r="AC282" s="34"/>
      <c r="AD282" s="34"/>
      <c r="AE282" s="34"/>
      <c r="AT282" s="19" t="s">
        <v>191</v>
      </c>
      <c r="AU282" s="19" t="s">
        <v>87</v>
      </c>
    </row>
    <row r="283" spans="1:65" s="14" customFormat="1">
      <c r="B283" s="169"/>
      <c r="D283" s="153" t="s">
        <v>193</v>
      </c>
      <c r="E283" s="170" t="s">
        <v>3</v>
      </c>
      <c r="F283" s="171" t="s">
        <v>2274</v>
      </c>
      <c r="H283" s="170" t="s">
        <v>3</v>
      </c>
      <c r="I283" s="172"/>
      <c r="L283" s="169"/>
      <c r="M283" s="173"/>
      <c r="N283" s="174"/>
      <c r="O283" s="174"/>
      <c r="P283" s="174"/>
      <c r="Q283" s="174"/>
      <c r="R283" s="174"/>
      <c r="S283" s="174"/>
      <c r="T283" s="175"/>
      <c r="AT283" s="170" t="s">
        <v>193</v>
      </c>
      <c r="AU283" s="170" t="s">
        <v>87</v>
      </c>
      <c r="AV283" s="14" t="s">
        <v>85</v>
      </c>
      <c r="AW283" s="14" t="s">
        <v>36</v>
      </c>
      <c r="AX283" s="14" t="s">
        <v>77</v>
      </c>
      <c r="AY283" s="170" t="s">
        <v>177</v>
      </c>
    </row>
    <row r="284" spans="1:65" s="13" customFormat="1">
      <c r="B284" s="161"/>
      <c r="D284" s="153" t="s">
        <v>193</v>
      </c>
      <c r="E284" s="162" t="s">
        <v>3</v>
      </c>
      <c r="F284" s="163" t="s">
        <v>248</v>
      </c>
      <c r="H284" s="164">
        <v>8</v>
      </c>
      <c r="I284" s="165"/>
      <c r="L284" s="161"/>
      <c r="M284" s="166"/>
      <c r="N284" s="167"/>
      <c r="O284" s="167"/>
      <c r="P284" s="167"/>
      <c r="Q284" s="167"/>
      <c r="R284" s="167"/>
      <c r="S284" s="167"/>
      <c r="T284" s="168"/>
      <c r="AT284" s="162" t="s">
        <v>193</v>
      </c>
      <c r="AU284" s="162" t="s">
        <v>87</v>
      </c>
      <c r="AV284" s="13" t="s">
        <v>87</v>
      </c>
      <c r="AW284" s="13" t="s">
        <v>36</v>
      </c>
      <c r="AX284" s="13" t="s">
        <v>77</v>
      </c>
      <c r="AY284" s="162" t="s">
        <v>177</v>
      </c>
    </row>
    <row r="285" spans="1:65" s="14" customFormat="1">
      <c r="B285" s="169"/>
      <c r="D285" s="153" t="s">
        <v>193</v>
      </c>
      <c r="E285" s="170" t="s">
        <v>3</v>
      </c>
      <c r="F285" s="171" t="s">
        <v>2275</v>
      </c>
      <c r="H285" s="170" t="s">
        <v>3</v>
      </c>
      <c r="I285" s="172"/>
      <c r="L285" s="169"/>
      <c r="M285" s="173"/>
      <c r="N285" s="174"/>
      <c r="O285" s="174"/>
      <c r="P285" s="174"/>
      <c r="Q285" s="174"/>
      <c r="R285" s="174"/>
      <c r="S285" s="174"/>
      <c r="T285" s="175"/>
      <c r="AT285" s="170" t="s">
        <v>193</v>
      </c>
      <c r="AU285" s="170" t="s">
        <v>87</v>
      </c>
      <c r="AV285" s="14" t="s">
        <v>85</v>
      </c>
      <c r="AW285" s="14" t="s">
        <v>36</v>
      </c>
      <c r="AX285" s="14" t="s">
        <v>77</v>
      </c>
      <c r="AY285" s="170" t="s">
        <v>177</v>
      </c>
    </row>
    <row r="286" spans="1:65" s="13" customFormat="1">
      <c r="B286" s="161"/>
      <c r="D286" s="153" t="s">
        <v>193</v>
      </c>
      <c r="E286" s="162" t="s">
        <v>3</v>
      </c>
      <c r="F286" s="163" t="s">
        <v>2276</v>
      </c>
      <c r="H286" s="164">
        <v>10</v>
      </c>
      <c r="I286" s="165"/>
      <c r="L286" s="161"/>
      <c r="M286" s="166"/>
      <c r="N286" s="167"/>
      <c r="O286" s="167"/>
      <c r="P286" s="167"/>
      <c r="Q286" s="167"/>
      <c r="R286" s="167"/>
      <c r="S286" s="167"/>
      <c r="T286" s="168"/>
      <c r="AT286" s="162" t="s">
        <v>193</v>
      </c>
      <c r="AU286" s="162" t="s">
        <v>87</v>
      </c>
      <c r="AV286" s="13" t="s">
        <v>87</v>
      </c>
      <c r="AW286" s="13" t="s">
        <v>36</v>
      </c>
      <c r="AX286" s="13" t="s">
        <v>77</v>
      </c>
      <c r="AY286" s="162" t="s">
        <v>177</v>
      </c>
    </row>
    <row r="287" spans="1:65" s="14" customFormat="1">
      <c r="B287" s="169"/>
      <c r="D287" s="153" t="s">
        <v>193</v>
      </c>
      <c r="E287" s="170" t="s">
        <v>3</v>
      </c>
      <c r="F287" s="171" t="s">
        <v>1837</v>
      </c>
      <c r="H287" s="170" t="s">
        <v>3</v>
      </c>
      <c r="I287" s="172"/>
      <c r="L287" s="169"/>
      <c r="M287" s="173"/>
      <c r="N287" s="174"/>
      <c r="O287" s="174"/>
      <c r="P287" s="174"/>
      <c r="Q287" s="174"/>
      <c r="R287" s="174"/>
      <c r="S287" s="174"/>
      <c r="T287" s="175"/>
      <c r="AT287" s="170" t="s">
        <v>193</v>
      </c>
      <c r="AU287" s="170" t="s">
        <v>87</v>
      </c>
      <c r="AV287" s="14" t="s">
        <v>85</v>
      </c>
      <c r="AW287" s="14" t="s">
        <v>36</v>
      </c>
      <c r="AX287" s="14" t="s">
        <v>77</v>
      </c>
      <c r="AY287" s="170" t="s">
        <v>177</v>
      </c>
    </row>
    <row r="288" spans="1:65" s="13" customFormat="1">
      <c r="B288" s="161"/>
      <c r="D288" s="153" t="s">
        <v>193</v>
      </c>
      <c r="E288" s="162" t="s">
        <v>3</v>
      </c>
      <c r="F288" s="163" t="s">
        <v>85</v>
      </c>
      <c r="H288" s="164">
        <v>1</v>
      </c>
      <c r="I288" s="165"/>
      <c r="L288" s="161"/>
      <c r="M288" s="166"/>
      <c r="N288" s="167"/>
      <c r="O288" s="167"/>
      <c r="P288" s="167"/>
      <c r="Q288" s="167"/>
      <c r="R288" s="167"/>
      <c r="S288" s="167"/>
      <c r="T288" s="168"/>
      <c r="AT288" s="162" t="s">
        <v>193</v>
      </c>
      <c r="AU288" s="162" t="s">
        <v>87</v>
      </c>
      <c r="AV288" s="13" t="s">
        <v>87</v>
      </c>
      <c r="AW288" s="13" t="s">
        <v>36</v>
      </c>
      <c r="AX288" s="13" t="s">
        <v>77</v>
      </c>
      <c r="AY288" s="162" t="s">
        <v>177</v>
      </c>
    </row>
    <row r="289" spans="1:65" s="16" customFormat="1">
      <c r="B289" s="184"/>
      <c r="D289" s="153" t="s">
        <v>193</v>
      </c>
      <c r="E289" s="185" t="s">
        <v>3</v>
      </c>
      <c r="F289" s="186" t="s">
        <v>201</v>
      </c>
      <c r="H289" s="187">
        <v>19</v>
      </c>
      <c r="I289" s="188"/>
      <c r="L289" s="184"/>
      <c r="M289" s="189"/>
      <c r="N289" s="190"/>
      <c r="O289" s="190"/>
      <c r="P289" s="190"/>
      <c r="Q289" s="190"/>
      <c r="R289" s="190"/>
      <c r="S289" s="190"/>
      <c r="T289" s="191"/>
      <c r="AT289" s="185" t="s">
        <v>193</v>
      </c>
      <c r="AU289" s="185" t="s">
        <v>87</v>
      </c>
      <c r="AV289" s="16" t="s">
        <v>185</v>
      </c>
      <c r="AW289" s="16" t="s">
        <v>36</v>
      </c>
      <c r="AX289" s="16" t="s">
        <v>85</v>
      </c>
      <c r="AY289" s="185" t="s">
        <v>177</v>
      </c>
    </row>
    <row r="290" spans="1:65" s="2" customFormat="1" ht="16.5" customHeight="1">
      <c r="A290" s="34"/>
      <c r="B290" s="139"/>
      <c r="C290" s="195" t="s">
        <v>787</v>
      </c>
      <c r="D290" s="195" t="s">
        <v>484</v>
      </c>
      <c r="E290" s="196" t="s">
        <v>2277</v>
      </c>
      <c r="F290" s="197" t="s">
        <v>2278</v>
      </c>
      <c r="G290" s="198" t="s">
        <v>332</v>
      </c>
      <c r="H290" s="199">
        <v>6.97</v>
      </c>
      <c r="I290" s="200"/>
      <c r="J290" s="201">
        <f>ROUND(I290*H290,2)</f>
        <v>0</v>
      </c>
      <c r="K290" s="197" t="s">
        <v>244</v>
      </c>
      <c r="L290" s="202"/>
      <c r="M290" s="203" t="s">
        <v>3</v>
      </c>
      <c r="N290" s="204" t="s">
        <v>48</v>
      </c>
      <c r="O290" s="55"/>
      <c r="P290" s="149">
        <f>O290*H290</f>
        <v>0</v>
      </c>
      <c r="Q290" s="149">
        <v>2.4029999999999999E-2</v>
      </c>
      <c r="R290" s="149">
        <f>Q290*H290</f>
        <v>0.1674891</v>
      </c>
      <c r="S290" s="149">
        <v>0</v>
      </c>
      <c r="T290" s="150">
        <f>S290*H290</f>
        <v>0</v>
      </c>
      <c r="U290" s="34"/>
      <c r="V290" s="34"/>
      <c r="W290" s="34"/>
      <c r="X290" s="34"/>
      <c r="Y290" s="34"/>
      <c r="Z290" s="34"/>
      <c r="AA290" s="34"/>
      <c r="AB290" s="34"/>
      <c r="AC290" s="34"/>
      <c r="AD290" s="34"/>
      <c r="AE290" s="34"/>
      <c r="AR290" s="151" t="s">
        <v>537</v>
      </c>
      <c r="AT290" s="151" t="s">
        <v>484</v>
      </c>
      <c r="AU290" s="151" t="s">
        <v>87</v>
      </c>
      <c r="AY290" s="19" t="s">
        <v>177</v>
      </c>
      <c r="BE290" s="152">
        <f>IF(N290="základní",J290,0)</f>
        <v>0</v>
      </c>
      <c r="BF290" s="152">
        <f>IF(N290="snížená",J290,0)</f>
        <v>0</v>
      </c>
      <c r="BG290" s="152">
        <f>IF(N290="zákl. přenesená",J290,0)</f>
        <v>0</v>
      </c>
      <c r="BH290" s="152">
        <f>IF(N290="sníž. přenesená",J290,0)</f>
        <v>0</v>
      </c>
      <c r="BI290" s="152">
        <f>IF(N290="nulová",J290,0)</f>
        <v>0</v>
      </c>
      <c r="BJ290" s="19" t="s">
        <v>85</v>
      </c>
      <c r="BK290" s="152">
        <f>ROUND(I290*H290,2)</f>
        <v>0</v>
      </c>
      <c r="BL290" s="19" t="s">
        <v>237</v>
      </c>
      <c r="BM290" s="151" t="s">
        <v>2279</v>
      </c>
    </row>
    <row r="291" spans="1:65" s="2" customFormat="1">
      <c r="A291" s="34"/>
      <c r="B291" s="35"/>
      <c r="C291" s="34"/>
      <c r="D291" s="153" t="s">
        <v>187</v>
      </c>
      <c r="E291" s="34"/>
      <c r="F291" s="154" t="s">
        <v>2278</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187</v>
      </c>
      <c r="AU291" s="19" t="s">
        <v>87</v>
      </c>
    </row>
    <row r="292" spans="1:65" s="14" customFormat="1">
      <c r="B292" s="169"/>
      <c r="D292" s="153" t="s">
        <v>193</v>
      </c>
      <c r="E292" s="170" t="s">
        <v>3</v>
      </c>
      <c r="F292" s="171" t="s">
        <v>2275</v>
      </c>
      <c r="H292" s="170" t="s">
        <v>3</v>
      </c>
      <c r="I292" s="172"/>
      <c r="L292" s="169"/>
      <c r="M292" s="173"/>
      <c r="N292" s="174"/>
      <c r="O292" s="174"/>
      <c r="P292" s="174"/>
      <c r="Q292" s="174"/>
      <c r="R292" s="174"/>
      <c r="S292" s="174"/>
      <c r="T292" s="175"/>
      <c r="AT292" s="170" t="s">
        <v>193</v>
      </c>
      <c r="AU292" s="170" t="s">
        <v>87</v>
      </c>
      <c r="AV292" s="14" t="s">
        <v>85</v>
      </c>
      <c r="AW292" s="14" t="s">
        <v>36</v>
      </c>
      <c r="AX292" s="14" t="s">
        <v>77</v>
      </c>
      <c r="AY292" s="170" t="s">
        <v>177</v>
      </c>
    </row>
    <row r="293" spans="1:65" s="13" customFormat="1">
      <c r="B293" s="161"/>
      <c r="D293" s="153" t="s">
        <v>193</v>
      </c>
      <c r="E293" s="162" t="s">
        <v>3</v>
      </c>
      <c r="F293" s="163" t="s">
        <v>2280</v>
      </c>
      <c r="H293" s="164">
        <v>6.25</v>
      </c>
      <c r="I293" s="165"/>
      <c r="L293" s="161"/>
      <c r="M293" s="166"/>
      <c r="N293" s="167"/>
      <c r="O293" s="167"/>
      <c r="P293" s="167"/>
      <c r="Q293" s="167"/>
      <c r="R293" s="167"/>
      <c r="S293" s="167"/>
      <c r="T293" s="168"/>
      <c r="AT293" s="162" t="s">
        <v>193</v>
      </c>
      <c r="AU293" s="162" t="s">
        <v>87</v>
      </c>
      <c r="AV293" s="13" t="s">
        <v>87</v>
      </c>
      <c r="AW293" s="13" t="s">
        <v>36</v>
      </c>
      <c r="AX293" s="13" t="s">
        <v>77</v>
      </c>
      <c r="AY293" s="162" t="s">
        <v>177</v>
      </c>
    </row>
    <row r="294" spans="1:65" s="14" customFormat="1">
      <c r="B294" s="169"/>
      <c r="D294" s="153" t="s">
        <v>193</v>
      </c>
      <c r="E294" s="170" t="s">
        <v>3</v>
      </c>
      <c r="F294" s="171" t="s">
        <v>1837</v>
      </c>
      <c r="H294" s="170" t="s">
        <v>3</v>
      </c>
      <c r="I294" s="172"/>
      <c r="L294" s="169"/>
      <c r="M294" s="173"/>
      <c r="N294" s="174"/>
      <c r="O294" s="174"/>
      <c r="P294" s="174"/>
      <c r="Q294" s="174"/>
      <c r="R294" s="174"/>
      <c r="S294" s="174"/>
      <c r="T294" s="175"/>
      <c r="AT294" s="170" t="s">
        <v>193</v>
      </c>
      <c r="AU294" s="170" t="s">
        <v>87</v>
      </c>
      <c r="AV294" s="14" t="s">
        <v>85</v>
      </c>
      <c r="AW294" s="14" t="s">
        <v>36</v>
      </c>
      <c r="AX294" s="14" t="s">
        <v>77</v>
      </c>
      <c r="AY294" s="170" t="s">
        <v>177</v>
      </c>
    </row>
    <row r="295" spans="1:65" s="13" customFormat="1">
      <c r="B295" s="161"/>
      <c r="D295" s="153" t="s">
        <v>193</v>
      </c>
      <c r="E295" s="162" t="s">
        <v>3</v>
      </c>
      <c r="F295" s="163" t="s">
        <v>1838</v>
      </c>
      <c r="H295" s="164">
        <v>0.72</v>
      </c>
      <c r="I295" s="165"/>
      <c r="L295" s="161"/>
      <c r="M295" s="166"/>
      <c r="N295" s="167"/>
      <c r="O295" s="167"/>
      <c r="P295" s="167"/>
      <c r="Q295" s="167"/>
      <c r="R295" s="167"/>
      <c r="S295" s="167"/>
      <c r="T295" s="168"/>
      <c r="AT295" s="162" t="s">
        <v>193</v>
      </c>
      <c r="AU295" s="162" t="s">
        <v>87</v>
      </c>
      <c r="AV295" s="13" t="s">
        <v>87</v>
      </c>
      <c r="AW295" s="13" t="s">
        <v>36</v>
      </c>
      <c r="AX295" s="13" t="s">
        <v>77</v>
      </c>
      <c r="AY295" s="162" t="s">
        <v>177</v>
      </c>
    </row>
    <row r="296" spans="1:65" s="16" customFormat="1">
      <c r="B296" s="184"/>
      <c r="D296" s="153" t="s">
        <v>193</v>
      </c>
      <c r="E296" s="185" t="s">
        <v>3</v>
      </c>
      <c r="F296" s="186" t="s">
        <v>201</v>
      </c>
      <c r="H296" s="187">
        <v>6.97</v>
      </c>
      <c r="I296" s="188"/>
      <c r="L296" s="184"/>
      <c r="M296" s="189"/>
      <c r="N296" s="190"/>
      <c r="O296" s="190"/>
      <c r="P296" s="190"/>
      <c r="Q296" s="190"/>
      <c r="R296" s="190"/>
      <c r="S296" s="190"/>
      <c r="T296" s="191"/>
      <c r="AT296" s="185" t="s">
        <v>193</v>
      </c>
      <c r="AU296" s="185" t="s">
        <v>87</v>
      </c>
      <c r="AV296" s="16" t="s">
        <v>185</v>
      </c>
      <c r="AW296" s="16" t="s">
        <v>36</v>
      </c>
      <c r="AX296" s="16" t="s">
        <v>85</v>
      </c>
      <c r="AY296" s="185" t="s">
        <v>177</v>
      </c>
    </row>
    <row r="297" spans="1:65" s="2" customFormat="1" ht="16.5" customHeight="1">
      <c r="A297" s="34"/>
      <c r="B297" s="139"/>
      <c r="C297" s="140" t="s">
        <v>794</v>
      </c>
      <c r="D297" s="140" t="s">
        <v>180</v>
      </c>
      <c r="E297" s="141" t="s">
        <v>2281</v>
      </c>
      <c r="F297" s="142" t="s">
        <v>2282</v>
      </c>
      <c r="G297" s="143" t="s">
        <v>236</v>
      </c>
      <c r="H297" s="144">
        <v>1</v>
      </c>
      <c r="I297" s="145"/>
      <c r="J297" s="146">
        <f>ROUND(I297*H297,2)</f>
        <v>0</v>
      </c>
      <c r="K297" s="142" t="s">
        <v>184</v>
      </c>
      <c r="L297" s="35"/>
      <c r="M297" s="147" t="s">
        <v>3</v>
      </c>
      <c r="N297" s="148" t="s">
        <v>48</v>
      </c>
      <c r="O297" s="55"/>
      <c r="P297" s="149">
        <f>O297*H297</f>
        <v>0</v>
      </c>
      <c r="Q297" s="149">
        <v>9.1790000000000003E-4</v>
      </c>
      <c r="R297" s="149">
        <f>Q297*H297</f>
        <v>9.1790000000000003E-4</v>
      </c>
      <c r="S297" s="149">
        <v>0</v>
      </c>
      <c r="T297" s="150">
        <f>S297*H297</f>
        <v>0</v>
      </c>
      <c r="U297" s="34"/>
      <c r="V297" s="34"/>
      <c r="W297" s="34"/>
      <c r="X297" s="34"/>
      <c r="Y297" s="34"/>
      <c r="Z297" s="34"/>
      <c r="AA297" s="34"/>
      <c r="AB297" s="34"/>
      <c r="AC297" s="34"/>
      <c r="AD297" s="34"/>
      <c r="AE297" s="34"/>
      <c r="AR297" s="151" t="s">
        <v>237</v>
      </c>
      <c r="AT297" s="151" t="s">
        <v>180</v>
      </c>
      <c r="AU297" s="151" t="s">
        <v>87</v>
      </c>
      <c r="AY297" s="19" t="s">
        <v>177</v>
      </c>
      <c r="BE297" s="152">
        <f>IF(N297="základní",J297,0)</f>
        <v>0</v>
      </c>
      <c r="BF297" s="152">
        <f>IF(N297="snížená",J297,0)</f>
        <v>0</v>
      </c>
      <c r="BG297" s="152">
        <f>IF(N297="zákl. přenesená",J297,0)</f>
        <v>0</v>
      </c>
      <c r="BH297" s="152">
        <f>IF(N297="sníž. přenesená",J297,0)</f>
        <v>0</v>
      </c>
      <c r="BI297" s="152">
        <f>IF(N297="nulová",J297,0)</f>
        <v>0</v>
      </c>
      <c r="BJ297" s="19" t="s">
        <v>85</v>
      </c>
      <c r="BK297" s="152">
        <f>ROUND(I297*H297,2)</f>
        <v>0</v>
      </c>
      <c r="BL297" s="19" t="s">
        <v>237</v>
      </c>
      <c r="BM297" s="151" t="s">
        <v>2283</v>
      </c>
    </row>
    <row r="298" spans="1:65" s="2" customFormat="1">
      <c r="A298" s="34"/>
      <c r="B298" s="35"/>
      <c r="C298" s="34"/>
      <c r="D298" s="153" t="s">
        <v>187</v>
      </c>
      <c r="E298" s="34"/>
      <c r="F298" s="154" t="s">
        <v>2284</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187</v>
      </c>
      <c r="AU298" s="19" t="s">
        <v>87</v>
      </c>
    </row>
    <row r="299" spans="1:65" s="2" customFormat="1">
      <c r="A299" s="34"/>
      <c r="B299" s="35"/>
      <c r="C299" s="34"/>
      <c r="D299" s="158" t="s">
        <v>189</v>
      </c>
      <c r="E299" s="34"/>
      <c r="F299" s="159" t="s">
        <v>2285</v>
      </c>
      <c r="G299" s="34"/>
      <c r="H299" s="34"/>
      <c r="I299" s="155"/>
      <c r="J299" s="34"/>
      <c r="K299" s="34"/>
      <c r="L299" s="35"/>
      <c r="M299" s="156"/>
      <c r="N299" s="157"/>
      <c r="O299" s="55"/>
      <c r="P299" s="55"/>
      <c r="Q299" s="55"/>
      <c r="R299" s="55"/>
      <c r="S299" s="55"/>
      <c r="T299" s="56"/>
      <c r="U299" s="34"/>
      <c r="V299" s="34"/>
      <c r="W299" s="34"/>
      <c r="X299" s="34"/>
      <c r="Y299" s="34"/>
      <c r="Z299" s="34"/>
      <c r="AA299" s="34"/>
      <c r="AB299" s="34"/>
      <c r="AC299" s="34"/>
      <c r="AD299" s="34"/>
      <c r="AE299" s="34"/>
      <c r="AT299" s="19" t="s">
        <v>189</v>
      </c>
      <c r="AU299" s="19" t="s">
        <v>87</v>
      </c>
    </row>
    <row r="300" spans="1:65" s="2" customFormat="1" ht="87.75">
      <c r="A300" s="34"/>
      <c r="B300" s="35"/>
      <c r="C300" s="34"/>
      <c r="D300" s="153" t="s">
        <v>191</v>
      </c>
      <c r="E300" s="34"/>
      <c r="F300" s="160" t="s">
        <v>2286</v>
      </c>
      <c r="G300" s="34"/>
      <c r="H300" s="34"/>
      <c r="I300" s="155"/>
      <c r="J300" s="34"/>
      <c r="K300" s="34"/>
      <c r="L300" s="35"/>
      <c r="M300" s="156"/>
      <c r="N300" s="157"/>
      <c r="O300" s="55"/>
      <c r="P300" s="55"/>
      <c r="Q300" s="55"/>
      <c r="R300" s="55"/>
      <c r="S300" s="55"/>
      <c r="T300" s="56"/>
      <c r="U300" s="34"/>
      <c r="V300" s="34"/>
      <c r="W300" s="34"/>
      <c r="X300" s="34"/>
      <c r="Y300" s="34"/>
      <c r="Z300" s="34"/>
      <c r="AA300" s="34"/>
      <c r="AB300" s="34"/>
      <c r="AC300" s="34"/>
      <c r="AD300" s="34"/>
      <c r="AE300" s="34"/>
      <c r="AT300" s="19" t="s">
        <v>191</v>
      </c>
      <c r="AU300" s="19" t="s">
        <v>87</v>
      </c>
    </row>
    <row r="301" spans="1:65" s="2" customFormat="1" ht="16.5" customHeight="1">
      <c r="A301" s="34"/>
      <c r="B301" s="139"/>
      <c r="C301" s="195" t="s">
        <v>800</v>
      </c>
      <c r="D301" s="195" t="s">
        <v>484</v>
      </c>
      <c r="E301" s="196" t="s">
        <v>2287</v>
      </c>
      <c r="F301" s="197" t="s">
        <v>2288</v>
      </c>
      <c r="G301" s="198" t="s">
        <v>332</v>
      </c>
      <c r="H301" s="199">
        <v>2.31</v>
      </c>
      <c r="I301" s="200"/>
      <c r="J301" s="201">
        <f>ROUND(I301*H301,2)</f>
        <v>0</v>
      </c>
      <c r="K301" s="197" t="s">
        <v>184</v>
      </c>
      <c r="L301" s="202"/>
      <c r="M301" s="203" t="s">
        <v>3</v>
      </c>
      <c r="N301" s="204" t="s">
        <v>48</v>
      </c>
      <c r="O301" s="55"/>
      <c r="P301" s="149">
        <f>O301*H301</f>
        <v>0</v>
      </c>
      <c r="Q301" s="149">
        <v>2.4230000000000002E-2</v>
      </c>
      <c r="R301" s="149">
        <f>Q301*H301</f>
        <v>5.5971300000000002E-2</v>
      </c>
      <c r="S301" s="149">
        <v>0</v>
      </c>
      <c r="T301" s="150">
        <f>S301*H301</f>
        <v>0</v>
      </c>
      <c r="U301" s="34"/>
      <c r="V301" s="34"/>
      <c r="W301" s="34"/>
      <c r="X301" s="34"/>
      <c r="Y301" s="34"/>
      <c r="Z301" s="34"/>
      <c r="AA301" s="34"/>
      <c r="AB301" s="34"/>
      <c r="AC301" s="34"/>
      <c r="AD301" s="34"/>
      <c r="AE301" s="34"/>
      <c r="AR301" s="151" t="s">
        <v>537</v>
      </c>
      <c r="AT301" s="151" t="s">
        <v>484</v>
      </c>
      <c r="AU301" s="151" t="s">
        <v>87</v>
      </c>
      <c r="AY301" s="19" t="s">
        <v>177</v>
      </c>
      <c r="BE301" s="152">
        <f>IF(N301="základní",J301,0)</f>
        <v>0</v>
      </c>
      <c r="BF301" s="152">
        <f>IF(N301="snížená",J301,0)</f>
        <v>0</v>
      </c>
      <c r="BG301" s="152">
        <f>IF(N301="zákl. přenesená",J301,0)</f>
        <v>0</v>
      </c>
      <c r="BH301" s="152">
        <f>IF(N301="sníž. přenesená",J301,0)</f>
        <v>0</v>
      </c>
      <c r="BI301" s="152">
        <f>IF(N301="nulová",J301,0)</f>
        <v>0</v>
      </c>
      <c r="BJ301" s="19" t="s">
        <v>85</v>
      </c>
      <c r="BK301" s="152">
        <f>ROUND(I301*H301,2)</f>
        <v>0</v>
      </c>
      <c r="BL301" s="19" t="s">
        <v>237</v>
      </c>
      <c r="BM301" s="151" t="s">
        <v>2289</v>
      </c>
    </row>
    <row r="302" spans="1:65" s="2" customFormat="1">
      <c r="A302" s="34"/>
      <c r="B302" s="35"/>
      <c r="C302" s="34"/>
      <c r="D302" s="153" t="s">
        <v>187</v>
      </c>
      <c r="E302" s="34"/>
      <c r="F302" s="154" t="s">
        <v>2288</v>
      </c>
      <c r="G302" s="34"/>
      <c r="H302" s="34"/>
      <c r="I302" s="155"/>
      <c r="J302" s="34"/>
      <c r="K302" s="34"/>
      <c r="L302" s="35"/>
      <c r="M302" s="156"/>
      <c r="N302" s="157"/>
      <c r="O302" s="55"/>
      <c r="P302" s="55"/>
      <c r="Q302" s="55"/>
      <c r="R302" s="55"/>
      <c r="S302" s="55"/>
      <c r="T302" s="56"/>
      <c r="U302" s="34"/>
      <c r="V302" s="34"/>
      <c r="W302" s="34"/>
      <c r="X302" s="34"/>
      <c r="Y302" s="34"/>
      <c r="Z302" s="34"/>
      <c r="AA302" s="34"/>
      <c r="AB302" s="34"/>
      <c r="AC302" s="34"/>
      <c r="AD302" s="34"/>
      <c r="AE302" s="34"/>
      <c r="AT302" s="19" t="s">
        <v>187</v>
      </c>
      <c r="AU302" s="19" t="s">
        <v>87</v>
      </c>
    </row>
    <row r="303" spans="1:65" s="13" customFormat="1">
      <c r="B303" s="161"/>
      <c r="D303" s="153" t="s">
        <v>193</v>
      </c>
      <c r="E303" s="162" t="s">
        <v>3</v>
      </c>
      <c r="F303" s="163" t="s">
        <v>1086</v>
      </c>
      <c r="H303" s="164">
        <v>2.31</v>
      </c>
      <c r="I303" s="165"/>
      <c r="L303" s="161"/>
      <c r="M303" s="166"/>
      <c r="N303" s="167"/>
      <c r="O303" s="167"/>
      <c r="P303" s="167"/>
      <c r="Q303" s="167"/>
      <c r="R303" s="167"/>
      <c r="S303" s="167"/>
      <c r="T303" s="168"/>
      <c r="AT303" s="162" t="s">
        <v>193</v>
      </c>
      <c r="AU303" s="162" t="s">
        <v>87</v>
      </c>
      <c r="AV303" s="13" t="s">
        <v>87</v>
      </c>
      <c r="AW303" s="13" t="s">
        <v>36</v>
      </c>
      <c r="AX303" s="13" t="s">
        <v>85</v>
      </c>
      <c r="AY303" s="162" t="s">
        <v>177</v>
      </c>
    </row>
    <row r="304" spans="1:65" s="2" customFormat="1" ht="16.5" customHeight="1">
      <c r="A304" s="34"/>
      <c r="B304" s="139"/>
      <c r="C304" s="140" t="s">
        <v>1117</v>
      </c>
      <c r="D304" s="140" t="s">
        <v>180</v>
      </c>
      <c r="E304" s="141" t="s">
        <v>2290</v>
      </c>
      <c r="F304" s="142" t="s">
        <v>2291</v>
      </c>
      <c r="G304" s="143" t="s">
        <v>236</v>
      </c>
      <c r="H304" s="144">
        <v>1</v>
      </c>
      <c r="I304" s="145"/>
      <c r="J304" s="146">
        <f>ROUND(I304*H304,2)</f>
        <v>0</v>
      </c>
      <c r="K304" s="142" t="s">
        <v>184</v>
      </c>
      <c r="L304" s="35"/>
      <c r="M304" s="147" t="s">
        <v>3</v>
      </c>
      <c r="N304" s="148" t="s">
        <v>48</v>
      </c>
      <c r="O304" s="55"/>
      <c r="P304" s="149">
        <f>O304*H304</f>
        <v>0</v>
      </c>
      <c r="Q304" s="149">
        <v>8.8475000000000001E-4</v>
      </c>
      <c r="R304" s="149">
        <f>Q304*H304</f>
        <v>8.8475000000000001E-4</v>
      </c>
      <c r="S304" s="149">
        <v>0</v>
      </c>
      <c r="T304" s="150">
        <f>S304*H304</f>
        <v>0</v>
      </c>
      <c r="U304" s="34"/>
      <c r="V304" s="34"/>
      <c r="W304" s="34"/>
      <c r="X304" s="34"/>
      <c r="Y304" s="34"/>
      <c r="Z304" s="34"/>
      <c r="AA304" s="34"/>
      <c r="AB304" s="34"/>
      <c r="AC304" s="34"/>
      <c r="AD304" s="34"/>
      <c r="AE304" s="34"/>
      <c r="AR304" s="151" t="s">
        <v>237</v>
      </c>
      <c r="AT304" s="151" t="s">
        <v>180</v>
      </c>
      <c r="AU304" s="151" t="s">
        <v>87</v>
      </c>
      <c r="AY304" s="19" t="s">
        <v>177</v>
      </c>
      <c r="BE304" s="152">
        <f>IF(N304="základní",J304,0)</f>
        <v>0</v>
      </c>
      <c r="BF304" s="152">
        <f>IF(N304="snížená",J304,0)</f>
        <v>0</v>
      </c>
      <c r="BG304" s="152">
        <f>IF(N304="zákl. přenesená",J304,0)</f>
        <v>0</v>
      </c>
      <c r="BH304" s="152">
        <f>IF(N304="sníž. přenesená",J304,0)</f>
        <v>0</v>
      </c>
      <c r="BI304" s="152">
        <f>IF(N304="nulová",J304,0)</f>
        <v>0</v>
      </c>
      <c r="BJ304" s="19" t="s">
        <v>85</v>
      </c>
      <c r="BK304" s="152">
        <f>ROUND(I304*H304,2)</f>
        <v>0</v>
      </c>
      <c r="BL304" s="19" t="s">
        <v>237</v>
      </c>
      <c r="BM304" s="151" t="s">
        <v>2292</v>
      </c>
    </row>
    <row r="305" spans="1:65" s="2" customFormat="1">
      <c r="A305" s="34"/>
      <c r="B305" s="35"/>
      <c r="C305" s="34"/>
      <c r="D305" s="153" t="s">
        <v>187</v>
      </c>
      <c r="E305" s="34"/>
      <c r="F305" s="154" t="s">
        <v>2293</v>
      </c>
      <c r="G305" s="34"/>
      <c r="H305" s="34"/>
      <c r="I305" s="155"/>
      <c r="J305" s="34"/>
      <c r="K305" s="34"/>
      <c r="L305" s="35"/>
      <c r="M305" s="156"/>
      <c r="N305" s="157"/>
      <c r="O305" s="55"/>
      <c r="P305" s="55"/>
      <c r="Q305" s="55"/>
      <c r="R305" s="55"/>
      <c r="S305" s="55"/>
      <c r="T305" s="56"/>
      <c r="U305" s="34"/>
      <c r="V305" s="34"/>
      <c r="W305" s="34"/>
      <c r="X305" s="34"/>
      <c r="Y305" s="34"/>
      <c r="Z305" s="34"/>
      <c r="AA305" s="34"/>
      <c r="AB305" s="34"/>
      <c r="AC305" s="34"/>
      <c r="AD305" s="34"/>
      <c r="AE305" s="34"/>
      <c r="AT305" s="19" t="s">
        <v>187</v>
      </c>
      <c r="AU305" s="19" t="s">
        <v>87</v>
      </c>
    </row>
    <row r="306" spans="1:65" s="2" customFormat="1">
      <c r="A306" s="34"/>
      <c r="B306" s="35"/>
      <c r="C306" s="34"/>
      <c r="D306" s="158" t="s">
        <v>189</v>
      </c>
      <c r="E306" s="34"/>
      <c r="F306" s="159" t="s">
        <v>2294</v>
      </c>
      <c r="G306" s="34"/>
      <c r="H306" s="34"/>
      <c r="I306" s="155"/>
      <c r="J306" s="34"/>
      <c r="K306" s="34"/>
      <c r="L306" s="35"/>
      <c r="M306" s="156"/>
      <c r="N306" s="157"/>
      <c r="O306" s="55"/>
      <c r="P306" s="55"/>
      <c r="Q306" s="55"/>
      <c r="R306" s="55"/>
      <c r="S306" s="55"/>
      <c r="T306" s="56"/>
      <c r="U306" s="34"/>
      <c r="V306" s="34"/>
      <c r="W306" s="34"/>
      <c r="X306" s="34"/>
      <c r="Y306" s="34"/>
      <c r="Z306" s="34"/>
      <c r="AA306" s="34"/>
      <c r="AB306" s="34"/>
      <c r="AC306" s="34"/>
      <c r="AD306" s="34"/>
      <c r="AE306" s="34"/>
      <c r="AT306" s="19" t="s">
        <v>189</v>
      </c>
      <c r="AU306" s="19" t="s">
        <v>87</v>
      </c>
    </row>
    <row r="307" spans="1:65" s="2" customFormat="1" ht="87.75">
      <c r="A307" s="34"/>
      <c r="B307" s="35"/>
      <c r="C307" s="34"/>
      <c r="D307" s="153" t="s">
        <v>191</v>
      </c>
      <c r="E307" s="34"/>
      <c r="F307" s="160" t="s">
        <v>2286</v>
      </c>
      <c r="G307" s="34"/>
      <c r="H307" s="34"/>
      <c r="I307" s="155"/>
      <c r="J307" s="34"/>
      <c r="K307" s="34"/>
      <c r="L307" s="35"/>
      <c r="M307" s="156"/>
      <c r="N307" s="157"/>
      <c r="O307" s="55"/>
      <c r="P307" s="55"/>
      <c r="Q307" s="55"/>
      <c r="R307" s="55"/>
      <c r="S307" s="55"/>
      <c r="T307" s="56"/>
      <c r="U307" s="34"/>
      <c r="V307" s="34"/>
      <c r="W307" s="34"/>
      <c r="X307" s="34"/>
      <c r="Y307" s="34"/>
      <c r="Z307" s="34"/>
      <c r="AA307" s="34"/>
      <c r="AB307" s="34"/>
      <c r="AC307" s="34"/>
      <c r="AD307" s="34"/>
      <c r="AE307" s="34"/>
      <c r="AT307" s="19" t="s">
        <v>191</v>
      </c>
      <c r="AU307" s="19" t="s">
        <v>87</v>
      </c>
    </row>
    <row r="308" spans="1:65" s="14" customFormat="1">
      <c r="B308" s="169"/>
      <c r="D308" s="153" t="s">
        <v>193</v>
      </c>
      <c r="E308" s="170" t="s">
        <v>3</v>
      </c>
      <c r="F308" s="171" t="s">
        <v>2295</v>
      </c>
      <c r="H308" s="170" t="s">
        <v>3</v>
      </c>
      <c r="I308" s="172"/>
      <c r="L308" s="169"/>
      <c r="M308" s="173"/>
      <c r="N308" s="174"/>
      <c r="O308" s="174"/>
      <c r="P308" s="174"/>
      <c r="Q308" s="174"/>
      <c r="R308" s="174"/>
      <c r="S308" s="174"/>
      <c r="T308" s="175"/>
      <c r="AT308" s="170" t="s">
        <v>193</v>
      </c>
      <c r="AU308" s="170" t="s">
        <v>87</v>
      </c>
      <c r="AV308" s="14" t="s">
        <v>85</v>
      </c>
      <c r="AW308" s="14" t="s">
        <v>36</v>
      </c>
      <c r="AX308" s="14" t="s">
        <v>77</v>
      </c>
      <c r="AY308" s="170" t="s">
        <v>177</v>
      </c>
    </row>
    <row r="309" spans="1:65" s="13" customFormat="1">
      <c r="B309" s="161"/>
      <c r="D309" s="153" t="s">
        <v>193</v>
      </c>
      <c r="E309" s="162" t="s">
        <v>3</v>
      </c>
      <c r="F309" s="163" t="s">
        <v>85</v>
      </c>
      <c r="H309" s="164">
        <v>1</v>
      </c>
      <c r="I309" s="165"/>
      <c r="L309" s="161"/>
      <c r="M309" s="166"/>
      <c r="N309" s="167"/>
      <c r="O309" s="167"/>
      <c r="P309" s="167"/>
      <c r="Q309" s="167"/>
      <c r="R309" s="167"/>
      <c r="S309" s="167"/>
      <c r="T309" s="168"/>
      <c r="AT309" s="162" t="s">
        <v>193</v>
      </c>
      <c r="AU309" s="162" t="s">
        <v>87</v>
      </c>
      <c r="AV309" s="13" t="s">
        <v>87</v>
      </c>
      <c r="AW309" s="13" t="s">
        <v>36</v>
      </c>
      <c r="AX309" s="13" t="s">
        <v>85</v>
      </c>
      <c r="AY309" s="162" t="s">
        <v>177</v>
      </c>
    </row>
    <row r="310" spans="1:65" s="2" customFormat="1" ht="16.5" customHeight="1">
      <c r="A310" s="34"/>
      <c r="B310" s="139"/>
      <c r="C310" s="140" t="s">
        <v>1119</v>
      </c>
      <c r="D310" s="140" t="s">
        <v>180</v>
      </c>
      <c r="E310" s="141" t="s">
        <v>2296</v>
      </c>
      <c r="F310" s="142" t="s">
        <v>2297</v>
      </c>
      <c r="G310" s="143" t="s">
        <v>183</v>
      </c>
      <c r="H310" s="144">
        <v>4.577</v>
      </c>
      <c r="I310" s="145"/>
      <c r="J310" s="146">
        <f>ROUND(I310*H310,2)</f>
        <v>0</v>
      </c>
      <c r="K310" s="142" t="s">
        <v>184</v>
      </c>
      <c r="L310" s="35"/>
      <c r="M310" s="147" t="s">
        <v>3</v>
      </c>
      <c r="N310" s="148" t="s">
        <v>48</v>
      </c>
      <c r="O310" s="55"/>
      <c r="P310" s="149">
        <f>O310*H310</f>
        <v>0</v>
      </c>
      <c r="Q310" s="149">
        <v>0</v>
      </c>
      <c r="R310" s="149">
        <f>Q310*H310</f>
        <v>0</v>
      </c>
      <c r="S310" s="149">
        <v>0</v>
      </c>
      <c r="T310" s="150">
        <f>S310*H310</f>
        <v>0</v>
      </c>
      <c r="U310" s="34"/>
      <c r="V310" s="34"/>
      <c r="W310" s="34"/>
      <c r="X310" s="34"/>
      <c r="Y310" s="34"/>
      <c r="Z310" s="34"/>
      <c r="AA310" s="34"/>
      <c r="AB310" s="34"/>
      <c r="AC310" s="34"/>
      <c r="AD310" s="34"/>
      <c r="AE310" s="34"/>
      <c r="AR310" s="151" t="s">
        <v>237</v>
      </c>
      <c r="AT310" s="151" t="s">
        <v>180</v>
      </c>
      <c r="AU310" s="151" t="s">
        <v>87</v>
      </c>
      <c r="AY310" s="19" t="s">
        <v>177</v>
      </c>
      <c r="BE310" s="152">
        <f>IF(N310="základní",J310,0)</f>
        <v>0</v>
      </c>
      <c r="BF310" s="152">
        <f>IF(N310="snížená",J310,0)</f>
        <v>0</v>
      </c>
      <c r="BG310" s="152">
        <f>IF(N310="zákl. přenesená",J310,0)</f>
        <v>0</v>
      </c>
      <c r="BH310" s="152">
        <f>IF(N310="sníž. přenesená",J310,0)</f>
        <v>0</v>
      </c>
      <c r="BI310" s="152">
        <f>IF(N310="nulová",J310,0)</f>
        <v>0</v>
      </c>
      <c r="BJ310" s="19" t="s">
        <v>85</v>
      </c>
      <c r="BK310" s="152">
        <f>ROUND(I310*H310,2)</f>
        <v>0</v>
      </c>
      <c r="BL310" s="19" t="s">
        <v>237</v>
      </c>
      <c r="BM310" s="151" t="s">
        <v>2298</v>
      </c>
    </row>
    <row r="311" spans="1:65" s="2" customFormat="1" ht="19.5">
      <c r="A311" s="34"/>
      <c r="B311" s="35"/>
      <c r="C311" s="34"/>
      <c r="D311" s="153" t="s">
        <v>187</v>
      </c>
      <c r="E311" s="34"/>
      <c r="F311" s="154" t="s">
        <v>2299</v>
      </c>
      <c r="G311" s="34"/>
      <c r="H311" s="34"/>
      <c r="I311" s="155"/>
      <c r="J311" s="34"/>
      <c r="K311" s="34"/>
      <c r="L311" s="35"/>
      <c r="M311" s="156"/>
      <c r="N311" s="157"/>
      <c r="O311" s="55"/>
      <c r="P311" s="55"/>
      <c r="Q311" s="55"/>
      <c r="R311" s="55"/>
      <c r="S311" s="55"/>
      <c r="T311" s="56"/>
      <c r="U311" s="34"/>
      <c r="V311" s="34"/>
      <c r="W311" s="34"/>
      <c r="X311" s="34"/>
      <c r="Y311" s="34"/>
      <c r="Z311" s="34"/>
      <c r="AA311" s="34"/>
      <c r="AB311" s="34"/>
      <c r="AC311" s="34"/>
      <c r="AD311" s="34"/>
      <c r="AE311" s="34"/>
      <c r="AT311" s="19" t="s">
        <v>187</v>
      </c>
      <c r="AU311" s="19" t="s">
        <v>87</v>
      </c>
    </row>
    <row r="312" spans="1:65" s="2" customFormat="1">
      <c r="A312" s="34"/>
      <c r="B312" s="35"/>
      <c r="C312" s="34"/>
      <c r="D312" s="158" t="s">
        <v>189</v>
      </c>
      <c r="E312" s="34"/>
      <c r="F312" s="159" t="s">
        <v>2300</v>
      </c>
      <c r="G312" s="34"/>
      <c r="H312" s="34"/>
      <c r="I312" s="155"/>
      <c r="J312" s="34"/>
      <c r="K312" s="34"/>
      <c r="L312" s="35"/>
      <c r="M312" s="156"/>
      <c r="N312" s="157"/>
      <c r="O312" s="55"/>
      <c r="P312" s="55"/>
      <c r="Q312" s="55"/>
      <c r="R312" s="55"/>
      <c r="S312" s="55"/>
      <c r="T312" s="56"/>
      <c r="U312" s="34"/>
      <c r="V312" s="34"/>
      <c r="W312" s="34"/>
      <c r="X312" s="34"/>
      <c r="Y312" s="34"/>
      <c r="Z312" s="34"/>
      <c r="AA312" s="34"/>
      <c r="AB312" s="34"/>
      <c r="AC312" s="34"/>
      <c r="AD312" s="34"/>
      <c r="AE312" s="34"/>
      <c r="AT312" s="19" t="s">
        <v>189</v>
      </c>
      <c r="AU312" s="19" t="s">
        <v>87</v>
      </c>
    </row>
    <row r="313" spans="1:65" s="2" customFormat="1" ht="78">
      <c r="A313" s="34"/>
      <c r="B313" s="35"/>
      <c r="C313" s="34"/>
      <c r="D313" s="153" t="s">
        <v>191</v>
      </c>
      <c r="E313" s="34"/>
      <c r="F313" s="160" t="s">
        <v>2301</v>
      </c>
      <c r="G313" s="34"/>
      <c r="H313" s="34"/>
      <c r="I313" s="155"/>
      <c r="J313" s="34"/>
      <c r="K313" s="34"/>
      <c r="L313" s="35"/>
      <c r="M313" s="156"/>
      <c r="N313" s="157"/>
      <c r="O313" s="55"/>
      <c r="P313" s="55"/>
      <c r="Q313" s="55"/>
      <c r="R313" s="55"/>
      <c r="S313" s="55"/>
      <c r="T313" s="56"/>
      <c r="U313" s="34"/>
      <c r="V313" s="34"/>
      <c r="W313" s="34"/>
      <c r="X313" s="34"/>
      <c r="Y313" s="34"/>
      <c r="Z313" s="34"/>
      <c r="AA313" s="34"/>
      <c r="AB313" s="34"/>
      <c r="AC313" s="34"/>
      <c r="AD313" s="34"/>
      <c r="AE313" s="34"/>
      <c r="AT313" s="19" t="s">
        <v>191</v>
      </c>
      <c r="AU313" s="19" t="s">
        <v>87</v>
      </c>
    </row>
    <row r="314" spans="1:65" s="2" customFormat="1" ht="16.5" customHeight="1">
      <c r="A314" s="34"/>
      <c r="B314" s="139"/>
      <c r="C314" s="140" t="s">
        <v>1126</v>
      </c>
      <c r="D314" s="140" t="s">
        <v>180</v>
      </c>
      <c r="E314" s="141" t="s">
        <v>2302</v>
      </c>
      <c r="F314" s="142" t="s">
        <v>2303</v>
      </c>
      <c r="G314" s="143" t="s">
        <v>183</v>
      </c>
      <c r="H314" s="144">
        <v>4.577</v>
      </c>
      <c r="I314" s="145"/>
      <c r="J314" s="146">
        <f>ROUND(I314*H314,2)</f>
        <v>0</v>
      </c>
      <c r="K314" s="142" t="s">
        <v>184</v>
      </c>
      <c r="L314" s="35"/>
      <c r="M314" s="147" t="s">
        <v>3</v>
      </c>
      <c r="N314" s="148" t="s">
        <v>48</v>
      </c>
      <c r="O314" s="55"/>
      <c r="P314" s="149">
        <f>O314*H314</f>
        <v>0</v>
      </c>
      <c r="Q314" s="149">
        <v>0</v>
      </c>
      <c r="R314" s="149">
        <f>Q314*H314</f>
        <v>0</v>
      </c>
      <c r="S314" s="149">
        <v>0</v>
      </c>
      <c r="T314" s="150">
        <f>S314*H314</f>
        <v>0</v>
      </c>
      <c r="U314" s="34"/>
      <c r="V314" s="34"/>
      <c r="W314" s="34"/>
      <c r="X314" s="34"/>
      <c r="Y314" s="34"/>
      <c r="Z314" s="34"/>
      <c r="AA314" s="34"/>
      <c r="AB314" s="34"/>
      <c r="AC314" s="34"/>
      <c r="AD314" s="34"/>
      <c r="AE314" s="34"/>
      <c r="AR314" s="151" t="s">
        <v>237</v>
      </c>
      <c r="AT314" s="151" t="s">
        <v>180</v>
      </c>
      <c r="AU314" s="151" t="s">
        <v>87</v>
      </c>
      <c r="AY314" s="19" t="s">
        <v>177</v>
      </c>
      <c r="BE314" s="152">
        <f>IF(N314="základní",J314,0)</f>
        <v>0</v>
      </c>
      <c r="BF314" s="152">
        <f>IF(N314="snížená",J314,0)</f>
        <v>0</v>
      </c>
      <c r="BG314" s="152">
        <f>IF(N314="zákl. přenesená",J314,0)</f>
        <v>0</v>
      </c>
      <c r="BH314" s="152">
        <f>IF(N314="sníž. přenesená",J314,0)</f>
        <v>0</v>
      </c>
      <c r="BI314" s="152">
        <f>IF(N314="nulová",J314,0)</f>
        <v>0</v>
      </c>
      <c r="BJ314" s="19" t="s">
        <v>85</v>
      </c>
      <c r="BK314" s="152">
        <f>ROUND(I314*H314,2)</f>
        <v>0</v>
      </c>
      <c r="BL314" s="19" t="s">
        <v>237</v>
      </c>
      <c r="BM314" s="151" t="s">
        <v>2304</v>
      </c>
    </row>
    <row r="315" spans="1:65" s="2" customFormat="1" ht="19.5">
      <c r="A315" s="34"/>
      <c r="B315" s="35"/>
      <c r="C315" s="34"/>
      <c r="D315" s="153" t="s">
        <v>187</v>
      </c>
      <c r="E315" s="34"/>
      <c r="F315" s="154" t="s">
        <v>2305</v>
      </c>
      <c r="G315" s="34"/>
      <c r="H315" s="34"/>
      <c r="I315" s="155"/>
      <c r="J315" s="34"/>
      <c r="K315" s="34"/>
      <c r="L315" s="35"/>
      <c r="M315" s="156"/>
      <c r="N315" s="157"/>
      <c r="O315" s="55"/>
      <c r="P315" s="55"/>
      <c r="Q315" s="55"/>
      <c r="R315" s="55"/>
      <c r="S315" s="55"/>
      <c r="T315" s="56"/>
      <c r="U315" s="34"/>
      <c r="V315" s="34"/>
      <c r="W315" s="34"/>
      <c r="X315" s="34"/>
      <c r="Y315" s="34"/>
      <c r="Z315" s="34"/>
      <c r="AA315" s="34"/>
      <c r="AB315" s="34"/>
      <c r="AC315" s="34"/>
      <c r="AD315" s="34"/>
      <c r="AE315" s="34"/>
      <c r="AT315" s="19" t="s">
        <v>187</v>
      </c>
      <c r="AU315" s="19" t="s">
        <v>87</v>
      </c>
    </row>
    <row r="316" spans="1:65" s="2" customFormat="1">
      <c r="A316" s="34"/>
      <c r="B316" s="35"/>
      <c r="C316" s="34"/>
      <c r="D316" s="158" t="s">
        <v>189</v>
      </c>
      <c r="E316" s="34"/>
      <c r="F316" s="159" t="s">
        <v>2306</v>
      </c>
      <c r="G316" s="34"/>
      <c r="H316" s="34"/>
      <c r="I316" s="155"/>
      <c r="J316" s="34"/>
      <c r="K316" s="34"/>
      <c r="L316" s="35"/>
      <c r="M316" s="156"/>
      <c r="N316" s="157"/>
      <c r="O316" s="55"/>
      <c r="P316" s="55"/>
      <c r="Q316" s="55"/>
      <c r="R316" s="55"/>
      <c r="S316" s="55"/>
      <c r="T316" s="56"/>
      <c r="U316" s="34"/>
      <c r="V316" s="34"/>
      <c r="W316" s="34"/>
      <c r="X316" s="34"/>
      <c r="Y316" s="34"/>
      <c r="Z316" s="34"/>
      <c r="AA316" s="34"/>
      <c r="AB316" s="34"/>
      <c r="AC316" s="34"/>
      <c r="AD316" s="34"/>
      <c r="AE316" s="34"/>
      <c r="AT316" s="19" t="s">
        <v>189</v>
      </c>
      <c r="AU316" s="19" t="s">
        <v>87</v>
      </c>
    </row>
    <row r="317" spans="1:65" s="2" customFormat="1" ht="78">
      <c r="A317" s="34"/>
      <c r="B317" s="35"/>
      <c r="C317" s="34"/>
      <c r="D317" s="153" t="s">
        <v>191</v>
      </c>
      <c r="E317" s="34"/>
      <c r="F317" s="160" t="s">
        <v>2301</v>
      </c>
      <c r="G317" s="34"/>
      <c r="H317" s="34"/>
      <c r="I317" s="155"/>
      <c r="J317" s="34"/>
      <c r="K317" s="34"/>
      <c r="L317" s="35"/>
      <c r="M317" s="156"/>
      <c r="N317" s="157"/>
      <c r="O317" s="55"/>
      <c r="P317" s="55"/>
      <c r="Q317" s="55"/>
      <c r="R317" s="55"/>
      <c r="S317" s="55"/>
      <c r="T317" s="56"/>
      <c r="U317" s="34"/>
      <c r="V317" s="34"/>
      <c r="W317" s="34"/>
      <c r="X317" s="34"/>
      <c r="Y317" s="34"/>
      <c r="Z317" s="34"/>
      <c r="AA317" s="34"/>
      <c r="AB317" s="34"/>
      <c r="AC317" s="34"/>
      <c r="AD317" s="34"/>
      <c r="AE317" s="34"/>
      <c r="AT317" s="19" t="s">
        <v>191</v>
      </c>
      <c r="AU317" s="19" t="s">
        <v>87</v>
      </c>
    </row>
    <row r="318" spans="1:65" s="12" customFormat="1" ht="25.9" customHeight="1">
      <c r="B318" s="126"/>
      <c r="D318" s="127" t="s">
        <v>76</v>
      </c>
      <c r="E318" s="128" t="s">
        <v>313</v>
      </c>
      <c r="F318" s="128" t="s">
        <v>314</v>
      </c>
      <c r="I318" s="129"/>
      <c r="J318" s="130">
        <f>BK318</f>
        <v>0</v>
      </c>
      <c r="L318" s="126"/>
      <c r="M318" s="131"/>
      <c r="N318" s="132"/>
      <c r="O318" s="132"/>
      <c r="P318" s="133">
        <f>SUM(P319:P321)</f>
        <v>0</v>
      </c>
      <c r="Q318" s="132"/>
      <c r="R318" s="133">
        <f>SUM(R319:R321)</f>
        <v>0</v>
      </c>
      <c r="S318" s="132"/>
      <c r="T318" s="134">
        <f>SUM(T319:T321)</f>
        <v>0</v>
      </c>
      <c r="AR318" s="127" t="s">
        <v>185</v>
      </c>
      <c r="AT318" s="135" t="s">
        <v>76</v>
      </c>
      <c r="AU318" s="135" t="s">
        <v>77</v>
      </c>
      <c r="AY318" s="127" t="s">
        <v>177</v>
      </c>
      <c r="BK318" s="136">
        <f>SUM(BK319:BK321)</f>
        <v>0</v>
      </c>
    </row>
    <row r="319" spans="1:65" s="2" customFormat="1" ht="16.5" customHeight="1">
      <c r="A319" s="34"/>
      <c r="B319" s="139"/>
      <c r="C319" s="140" t="s">
        <v>1132</v>
      </c>
      <c r="D319" s="140" t="s">
        <v>180</v>
      </c>
      <c r="E319" s="141" t="s">
        <v>528</v>
      </c>
      <c r="F319" s="142" t="s">
        <v>529</v>
      </c>
      <c r="G319" s="143" t="s">
        <v>305</v>
      </c>
      <c r="H319" s="144">
        <v>100</v>
      </c>
      <c r="I319" s="145"/>
      <c r="J319" s="146">
        <f>ROUND(I319*H319,2)</f>
        <v>0</v>
      </c>
      <c r="K319" s="142" t="s">
        <v>184</v>
      </c>
      <c r="L319" s="35"/>
      <c r="M319" s="147" t="s">
        <v>3</v>
      </c>
      <c r="N319" s="148" t="s">
        <v>48</v>
      </c>
      <c r="O319" s="55"/>
      <c r="P319" s="149">
        <f>O319*H319</f>
        <v>0</v>
      </c>
      <c r="Q319" s="149">
        <v>0</v>
      </c>
      <c r="R319" s="149">
        <f>Q319*H319</f>
        <v>0</v>
      </c>
      <c r="S319" s="149">
        <v>0</v>
      </c>
      <c r="T319" s="150">
        <f>S319*H319</f>
        <v>0</v>
      </c>
      <c r="U319" s="34"/>
      <c r="V319" s="34"/>
      <c r="W319" s="34"/>
      <c r="X319" s="34"/>
      <c r="Y319" s="34"/>
      <c r="Z319" s="34"/>
      <c r="AA319" s="34"/>
      <c r="AB319" s="34"/>
      <c r="AC319" s="34"/>
      <c r="AD319" s="34"/>
      <c r="AE319" s="34"/>
      <c r="AR319" s="151" t="s">
        <v>318</v>
      </c>
      <c r="AT319" s="151" t="s">
        <v>180</v>
      </c>
      <c r="AU319" s="151" t="s">
        <v>85</v>
      </c>
      <c r="AY319" s="19" t="s">
        <v>177</v>
      </c>
      <c r="BE319" s="152">
        <f>IF(N319="základní",J319,0)</f>
        <v>0</v>
      </c>
      <c r="BF319" s="152">
        <f>IF(N319="snížená",J319,0)</f>
        <v>0</v>
      </c>
      <c r="BG319" s="152">
        <f>IF(N319="zákl. přenesená",J319,0)</f>
        <v>0</v>
      </c>
      <c r="BH319" s="152">
        <f>IF(N319="sníž. přenesená",J319,0)</f>
        <v>0</v>
      </c>
      <c r="BI319" s="152">
        <f>IF(N319="nulová",J319,0)</f>
        <v>0</v>
      </c>
      <c r="BJ319" s="19" t="s">
        <v>85</v>
      </c>
      <c r="BK319" s="152">
        <f>ROUND(I319*H319,2)</f>
        <v>0</v>
      </c>
      <c r="BL319" s="19" t="s">
        <v>318</v>
      </c>
      <c r="BM319" s="151" t="s">
        <v>2307</v>
      </c>
    </row>
    <row r="320" spans="1:65" s="2" customFormat="1">
      <c r="A320" s="34"/>
      <c r="B320" s="35"/>
      <c r="C320" s="34"/>
      <c r="D320" s="153" t="s">
        <v>187</v>
      </c>
      <c r="E320" s="34"/>
      <c r="F320" s="154" t="s">
        <v>531</v>
      </c>
      <c r="G320" s="34"/>
      <c r="H320" s="34"/>
      <c r="I320" s="155"/>
      <c r="J320" s="34"/>
      <c r="K320" s="34"/>
      <c r="L320" s="35"/>
      <c r="M320" s="156"/>
      <c r="N320" s="157"/>
      <c r="O320" s="55"/>
      <c r="P320" s="55"/>
      <c r="Q320" s="55"/>
      <c r="R320" s="55"/>
      <c r="S320" s="55"/>
      <c r="T320" s="56"/>
      <c r="U320" s="34"/>
      <c r="V320" s="34"/>
      <c r="W320" s="34"/>
      <c r="X320" s="34"/>
      <c r="Y320" s="34"/>
      <c r="Z320" s="34"/>
      <c r="AA320" s="34"/>
      <c r="AB320" s="34"/>
      <c r="AC320" s="34"/>
      <c r="AD320" s="34"/>
      <c r="AE320" s="34"/>
      <c r="AT320" s="19" t="s">
        <v>187</v>
      </c>
      <c r="AU320" s="19" t="s">
        <v>85</v>
      </c>
    </row>
    <row r="321" spans="1:47" s="2" customFormat="1">
      <c r="A321" s="34"/>
      <c r="B321" s="35"/>
      <c r="C321" s="34"/>
      <c r="D321" s="158" t="s">
        <v>189</v>
      </c>
      <c r="E321" s="34"/>
      <c r="F321" s="159" t="s">
        <v>532</v>
      </c>
      <c r="G321" s="34"/>
      <c r="H321" s="34"/>
      <c r="I321" s="155"/>
      <c r="J321" s="34"/>
      <c r="K321" s="34"/>
      <c r="L321" s="35"/>
      <c r="M321" s="205"/>
      <c r="N321" s="206"/>
      <c r="O321" s="207"/>
      <c r="P321" s="207"/>
      <c r="Q321" s="207"/>
      <c r="R321" s="207"/>
      <c r="S321" s="207"/>
      <c r="T321" s="208"/>
      <c r="U321" s="34"/>
      <c r="V321" s="34"/>
      <c r="W321" s="34"/>
      <c r="X321" s="34"/>
      <c r="Y321" s="34"/>
      <c r="Z321" s="34"/>
      <c r="AA321" s="34"/>
      <c r="AB321" s="34"/>
      <c r="AC321" s="34"/>
      <c r="AD321" s="34"/>
      <c r="AE321" s="34"/>
      <c r="AT321" s="19" t="s">
        <v>189</v>
      </c>
      <c r="AU321" s="19" t="s">
        <v>85</v>
      </c>
    </row>
    <row r="322" spans="1:47" s="2" customFormat="1" ht="6.95" customHeight="1">
      <c r="A322" s="34"/>
      <c r="B322" s="44"/>
      <c r="C322" s="45"/>
      <c r="D322" s="45"/>
      <c r="E322" s="45"/>
      <c r="F322" s="45"/>
      <c r="G322" s="45"/>
      <c r="H322" s="45"/>
      <c r="I322" s="45"/>
      <c r="J322" s="45"/>
      <c r="K322" s="45"/>
      <c r="L322" s="35"/>
      <c r="M322" s="34"/>
      <c r="O322" s="34"/>
      <c r="P322" s="34"/>
      <c r="Q322" s="34"/>
      <c r="R322" s="34"/>
      <c r="S322" s="34"/>
      <c r="T322" s="34"/>
      <c r="U322" s="34"/>
      <c r="V322" s="34"/>
      <c r="W322" s="34"/>
      <c r="X322" s="34"/>
      <c r="Y322" s="34"/>
      <c r="Z322" s="34"/>
      <c r="AA322" s="34"/>
      <c r="AB322" s="34"/>
      <c r="AC322" s="34"/>
      <c r="AD322" s="34"/>
      <c r="AE322" s="34"/>
    </row>
  </sheetData>
  <autoFilter ref="C87:K321"/>
  <mergeCells count="9">
    <mergeCell ref="E50:H50"/>
    <mergeCell ref="E78:H78"/>
    <mergeCell ref="E80:H80"/>
    <mergeCell ref="L2:V2"/>
    <mergeCell ref="E7:H7"/>
    <mergeCell ref="E9:H9"/>
    <mergeCell ref="E18:H18"/>
    <mergeCell ref="E27:H27"/>
    <mergeCell ref="E48:H48"/>
  </mergeCells>
  <hyperlinks>
    <hyperlink ref="F93" r:id="rId1"/>
    <hyperlink ref="F96" r:id="rId2"/>
    <hyperlink ref="F99" r:id="rId3"/>
    <hyperlink ref="F103" r:id="rId4"/>
    <hyperlink ref="F107" r:id="rId5"/>
    <hyperlink ref="F130" r:id="rId6"/>
    <hyperlink ref="F135" r:id="rId7"/>
    <hyperlink ref="F142" r:id="rId8"/>
    <hyperlink ref="F150" r:id="rId9"/>
    <hyperlink ref="F157" r:id="rId10"/>
    <hyperlink ref="F161" r:id="rId11"/>
    <hyperlink ref="F165" r:id="rId12"/>
    <hyperlink ref="F168" r:id="rId13"/>
    <hyperlink ref="F172" r:id="rId14"/>
    <hyperlink ref="F176" r:id="rId15"/>
    <hyperlink ref="F181" r:id="rId16"/>
    <hyperlink ref="F184" r:id="rId17"/>
    <hyperlink ref="F193" r:id="rId18"/>
    <hyperlink ref="F200" r:id="rId19"/>
    <hyperlink ref="F204" r:id="rId20"/>
    <hyperlink ref="F207" r:id="rId21"/>
    <hyperlink ref="F210" r:id="rId22"/>
    <hyperlink ref="F214" r:id="rId23"/>
    <hyperlink ref="F218" r:id="rId24"/>
    <hyperlink ref="F223" r:id="rId25"/>
    <hyperlink ref="F227" r:id="rId26"/>
    <hyperlink ref="F232" r:id="rId27"/>
    <hyperlink ref="F237" r:id="rId28"/>
    <hyperlink ref="F243" r:id="rId29"/>
    <hyperlink ref="F260" r:id="rId30"/>
    <hyperlink ref="F264" r:id="rId31"/>
    <hyperlink ref="F269" r:id="rId32"/>
    <hyperlink ref="F281" r:id="rId33"/>
    <hyperlink ref="F299" r:id="rId34"/>
    <hyperlink ref="F306" r:id="rId35"/>
    <hyperlink ref="F312" r:id="rId36"/>
    <hyperlink ref="F316" r:id="rId37"/>
    <hyperlink ref="F321" r:id="rId38"/>
  </hyperlinks>
  <pageMargins left="0.39374999999999999" right="0.39374999999999999" top="0.39374999999999999" bottom="0.39374999999999999" header="0" footer="0"/>
  <pageSetup paperSize="9" scale="84" fitToHeight="100" orientation="landscape" blackAndWhite="1" r:id="rId39"/>
  <headerFooter>
    <oddFooter>&amp;CStrana &amp;P z &amp;N</oddFooter>
  </headerFooter>
  <drawing r:id="rId4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66"/>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123</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30" customHeight="1">
      <c r="A9" s="34"/>
      <c r="B9" s="35"/>
      <c r="C9" s="34"/>
      <c r="D9" s="34"/>
      <c r="E9" s="432" t="s">
        <v>2308</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ROUND(J99,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ROUND((SUM(BE99:BE865)),  2)</f>
        <v>0</v>
      </c>
      <c r="G33" s="34"/>
      <c r="H33" s="34"/>
      <c r="I33" s="98">
        <v>0.21</v>
      </c>
      <c r="J33" s="97">
        <f>ROUND(((SUM(BE99:BE865))*I33),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ROUND((SUM(BF99:BF865)),  2)</f>
        <v>0</v>
      </c>
      <c r="G34" s="34"/>
      <c r="H34" s="34"/>
      <c r="I34" s="98">
        <v>0.15</v>
      </c>
      <c r="J34" s="97">
        <f>ROUND(((SUM(BF99:BF865))*I34),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ROUND((SUM(BG99:BG865)),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ROUND((SUM(BH99:BH865)),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ROUND((SUM(BI99:BI865)),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30" customHeight="1">
      <c r="A50" s="34"/>
      <c r="B50" s="35"/>
      <c r="C50" s="34"/>
      <c r="D50" s="34"/>
      <c r="E50" s="432" t="str">
        <f>E9</f>
        <v>E13 - Oprava a stavební úpravy terasy, KZSí stěn a podhledu+ okap.chodníčky, střešní plášť,venk.schodiště</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J99</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J100</f>
        <v>0</v>
      </c>
      <c r="L60" s="108"/>
    </row>
    <row r="61" spans="1:47" s="10" customFormat="1" ht="19.899999999999999" customHeight="1">
      <c r="B61" s="112"/>
      <c r="D61" s="113" t="s">
        <v>2309</v>
      </c>
      <c r="E61" s="114"/>
      <c r="F61" s="114"/>
      <c r="G61" s="114"/>
      <c r="H61" s="114"/>
      <c r="I61" s="114"/>
      <c r="J61" s="115">
        <f>J101</f>
        <v>0</v>
      </c>
      <c r="L61" s="112"/>
    </row>
    <row r="62" spans="1:47" s="10" customFormat="1" ht="19.899999999999999" customHeight="1">
      <c r="B62" s="112"/>
      <c r="D62" s="113" t="s">
        <v>545</v>
      </c>
      <c r="E62" s="114"/>
      <c r="F62" s="114"/>
      <c r="G62" s="114"/>
      <c r="H62" s="114"/>
      <c r="I62" s="114"/>
      <c r="J62" s="115">
        <f>J137</f>
        <v>0</v>
      </c>
      <c r="L62" s="112"/>
    </row>
    <row r="63" spans="1:47" s="10" customFormat="1" ht="19.899999999999999" customHeight="1">
      <c r="B63" s="112"/>
      <c r="D63" s="113" t="s">
        <v>546</v>
      </c>
      <c r="E63" s="114"/>
      <c r="F63" s="114"/>
      <c r="G63" s="114"/>
      <c r="H63" s="114"/>
      <c r="I63" s="114"/>
      <c r="J63" s="115">
        <f>J148</f>
        <v>0</v>
      </c>
      <c r="L63" s="112"/>
    </row>
    <row r="64" spans="1:47" s="10" customFormat="1" ht="19.899999999999999" customHeight="1">
      <c r="B64" s="112"/>
      <c r="D64" s="113" t="s">
        <v>1570</v>
      </c>
      <c r="E64" s="114"/>
      <c r="F64" s="114"/>
      <c r="G64" s="114"/>
      <c r="H64" s="114"/>
      <c r="I64" s="114"/>
      <c r="J64" s="115">
        <f>J154</f>
        <v>0</v>
      </c>
      <c r="L64" s="112"/>
    </row>
    <row r="65" spans="1:31" s="10" customFormat="1" ht="14.85" customHeight="1">
      <c r="B65" s="112"/>
      <c r="D65" s="113" t="s">
        <v>1891</v>
      </c>
      <c r="E65" s="114"/>
      <c r="F65" s="114"/>
      <c r="G65" s="114"/>
      <c r="H65" s="114"/>
      <c r="I65" s="114"/>
      <c r="J65" s="115">
        <f>J155</f>
        <v>0</v>
      </c>
      <c r="L65" s="112"/>
    </row>
    <row r="66" spans="1:31" s="10" customFormat="1" ht="19.899999999999999" customHeight="1">
      <c r="B66" s="112"/>
      <c r="D66" s="113" t="s">
        <v>547</v>
      </c>
      <c r="E66" s="114"/>
      <c r="F66" s="114"/>
      <c r="G66" s="114"/>
      <c r="H66" s="114"/>
      <c r="I66" s="114"/>
      <c r="J66" s="115">
        <f>J183</f>
        <v>0</v>
      </c>
      <c r="L66" s="112"/>
    </row>
    <row r="67" spans="1:31" s="10" customFormat="1" ht="19.899999999999999" customHeight="1">
      <c r="B67" s="112"/>
      <c r="D67" s="113" t="s">
        <v>325</v>
      </c>
      <c r="E67" s="114"/>
      <c r="F67" s="114"/>
      <c r="G67" s="114"/>
      <c r="H67" s="114"/>
      <c r="I67" s="114"/>
      <c r="J67" s="115">
        <f>J374</f>
        <v>0</v>
      </c>
      <c r="L67" s="112"/>
    </row>
    <row r="68" spans="1:31" s="10" customFormat="1" ht="19.899999999999999" customHeight="1">
      <c r="B68" s="112"/>
      <c r="D68" s="113" t="s">
        <v>154</v>
      </c>
      <c r="E68" s="114"/>
      <c r="F68" s="114"/>
      <c r="G68" s="114"/>
      <c r="H68" s="114"/>
      <c r="I68" s="114"/>
      <c r="J68" s="115">
        <f>J515</f>
        <v>0</v>
      </c>
      <c r="L68" s="112"/>
    </row>
    <row r="69" spans="1:31" s="10" customFormat="1" ht="19.899999999999999" customHeight="1">
      <c r="B69" s="112"/>
      <c r="D69" s="113" t="s">
        <v>326</v>
      </c>
      <c r="E69" s="114"/>
      <c r="F69" s="114"/>
      <c r="G69" s="114"/>
      <c r="H69" s="114"/>
      <c r="I69" s="114"/>
      <c r="J69" s="115">
        <f>J538</f>
        <v>0</v>
      </c>
      <c r="L69" s="112"/>
    </row>
    <row r="70" spans="1:31" s="9" customFormat="1" ht="24.95" customHeight="1">
      <c r="B70" s="108"/>
      <c r="D70" s="109" t="s">
        <v>155</v>
      </c>
      <c r="E70" s="110"/>
      <c r="F70" s="110"/>
      <c r="G70" s="110"/>
      <c r="H70" s="110"/>
      <c r="I70" s="110"/>
      <c r="J70" s="111">
        <f>J543</f>
        <v>0</v>
      </c>
      <c r="L70" s="108"/>
    </row>
    <row r="71" spans="1:31" s="10" customFormat="1" ht="19.899999999999999" customHeight="1">
      <c r="B71" s="112"/>
      <c r="D71" s="113" t="s">
        <v>548</v>
      </c>
      <c r="E71" s="114"/>
      <c r="F71" s="114"/>
      <c r="G71" s="114"/>
      <c r="H71" s="114"/>
      <c r="I71" s="114"/>
      <c r="J71" s="115">
        <f>J544</f>
        <v>0</v>
      </c>
      <c r="L71" s="112"/>
    </row>
    <row r="72" spans="1:31" s="10" customFormat="1" ht="19.899999999999999" customHeight="1">
      <c r="B72" s="112"/>
      <c r="D72" s="113" t="s">
        <v>923</v>
      </c>
      <c r="E72" s="114"/>
      <c r="F72" s="114"/>
      <c r="G72" s="114"/>
      <c r="H72" s="114"/>
      <c r="I72" s="114"/>
      <c r="J72" s="115">
        <f>J562</f>
        <v>0</v>
      </c>
      <c r="L72" s="112"/>
    </row>
    <row r="73" spans="1:31" s="10" customFormat="1" ht="19.899999999999999" customHeight="1">
      <c r="B73" s="112"/>
      <c r="D73" s="113" t="s">
        <v>549</v>
      </c>
      <c r="E73" s="114"/>
      <c r="F73" s="114"/>
      <c r="G73" s="114"/>
      <c r="H73" s="114"/>
      <c r="I73" s="114"/>
      <c r="J73" s="115">
        <f>J632</f>
        <v>0</v>
      </c>
      <c r="L73" s="112"/>
    </row>
    <row r="74" spans="1:31" s="10" customFormat="1" ht="19.899999999999999" customHeight="1">
      <c r="B74" s="112"/>
      <c r="D74" s="113" t="s">
        <v>156</v>
      </c>
      <c r="E74" s="114"/>
      <c r="F74" s="114"/>
      <c r="G74" s="114"/>
      <c r="H74" s="114"/>
      <c r="I74" s="114"/>
      <c r="J74" s="115">
        <f>J676</f>
        <v>0</v>
      </c>
      <c r="L74" s="112"/>
    </row>
    <row r="75" spans="1:31" s="10" customFormat="1" ht="19.899999999999999" customHeight="1">
      <c r="B75" s="112"/>
      <c r="D75" s="113" t="s">
        <v>924</v>
      </c>
      <c r="E75" s="114"/>
      <c r="F75" s="114"/>
      <c r="G75" s="114"/>
      <c r="H75" s="114"/>
      <c r="I75" s="114"/>
      <c r="J75" s="115">
        <f>J688</f>
        <v>0</v>
      </c>
      <c r="L75" s="112"/>
    </row>
    <row r="76" spans="1:31" s="10" customFormat="1" ht="19.899999999999999" customHeight="1">
      <c r="B76" s="112"/>
      <c r="D76" s="113" t="s">
        <v>925</v>
      </c>
      <c r="E76" s="114"/>
      <c r="F76" s="114"/>
      <c r="G76" s="114"/>
      <c r="H76" s="114"/>
      <c r="I76" s="114"/>
      <c r="J76" s="115">
        <f>J702</f>
        <v>0</v>
      </c>
      <c r="L76" s="112"/>
    </row>
    <row r="77" spans="1:31" s="10" customFormat="1" ht="19.899999999999999" customHeight="1">
      <c r="B77" s="112"/>
      <c r="D77" s="113" t="s">
        <v>926</v>
      </c>
      <c r="E77" s="114"/>
      <c r="F77" s="114"/>
      <c r="G77" s="114"/>
      <c r="H77" s="114"/>
      <c r="I77" s="114"/>
      <c r="J77" s="115">
        <f>J736</f>
        <v>0</v>
      </c>
      <c r="L77" s="112"/>
    </row>
    <row r="78" spans="1:31" s="10" customFormat="1" ht="19.899999999999999" customHeight="1">
      <c r="B78" s="112"/>
      <c r="D78" s="113" t="s">
        <v>2310</v>
      </c>
      <c r="E78" s="114"/>
      <c r="F78" s="114"/>
      <c r="G78" s="114"/>
      <c r="H78" s="114"/>
      <c r="I78" s="114"/>
      <c r="J78" s="115">
        <f>J792</f>
        <v>0</v>
      </c>
      <c r="L78" s="112"/>
    </row>
    <row r="79" spans="1:31" s="9" customFormat="1" ht="24.95" customHeight="1">
      <c r="B79" s="108"/>
      <c r="D79" s="109" t="s">
        <v>161</v>
      </c>
      <c r="E79" s="110"/>
      <c r="F79" s="110"/>
      <c r="G79" s="110"/>
      <c r="H79" s="110"/>
      <c r="I79" s="110"/>
      <c r="J79" s="111">
        <f>J862</f>
        <v>0</v>
      </c>
      <c r="L79" s="108"/>
    </row>
    <row r="80" spans="1:31" s="2" customFormat="1" ht="21.7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31" s="2" customFormat="1" ht="6.95" customHeight="1">
      <c r="A81" s="34"/>
      <c r="B81" s="44"/>
      <c r="C81" s="45"/>
      <c r="D81" s="45"/>
      <c r="E81" s="45"/>
      <c r="F81" s="45"/>
      <c r="G81" s="45"/>
      <c r="H81" s="45"/>
      <c r="I81" s="45"/>
      <c r="J81" s="45"/>
      <c r="K81" s="45"/>
      <c r="L81" s="91"/>
      <c r="S81" s="34"/>
      <c r="T81" s="34"/>
      <c r="U81" s="34"/>
      <c r="V81" s="34"/>
      <c r="W81" s="34"/>
      <c r="X81" s="34"/>
      <c r="Y81" s="34"/>
      <c r="Z81" s="34"/>
      <c r="AA81" s="34"/>
      <c r="AB81" s="34"/>
      <c r="AC81" s="34"/>
      <c r="AD81" s="34"/>
      <c r="AE81" s="34"/>
    </row>
    <row r="85" spans="1:31" s="2" customFormat="1" ht="6.95" customHeight="1">
      <c r="A85" s="34"/>
      <c r="B85" s="46"/>
      <c r="C85" s="47"/>
      <c r="D85" s="47"/>
      <c r="E85" s="47"/>
      <c r="F85" s="47"/>
      <c r="G85" s="47"/>
      <c r="H85" s="47"/>
      <c r="I85" s="47"/>
      <c r="J85" s="47"/>
      <c r="K85" s="47"/>
      <c r="L85" s="91"/>
      <c r="S85" s="34"/>
      <c r="T85" s="34"/>
      <c r="U85" s="34"/>
      <c r="V85" s="34"/>
      <c r="W85" s="34"/>
      <c r="X85" s="34"/>
      <c r="Y85" s="34"/>
      <c r="Z85" s="34"/>
      <c r="AA85" s="34"/>
      <c r="AB85" s="34"/>
      <c r="AC85" s="34"/>
      <c r="AD85" s="34"/>
      <c r="AE85" s="34"/>
    </row>
    <row r="86" spans="1:31" s="2" customFormat="1" ht="24.95" customHeight="1">
      <c r="A86" s="34"/>
      <c r="B86" s="35"/>
      <c r="C86" s="23" t="s">
        <v>162</v>
      </c>
      <c r="D86" s="34"/>
      <c r="E86" s="34"/>
      <c r="F86" s="34"/>
      <c r="G86" s="34"/>
      <c r="H86" s="34"/>
      <c r="I86" s="34"/>
      <c r="J86" s="34"/>
      <c r="K86" s="34"/>
      <c r="L86" s="91"/>
      <c r="S86" s="34"/>
      <c r="T86" s="34"/>
      <c r="U86" s="34"/>
      <c r="V86" s="34"/>
      <c r="W86" s="34"/>
      <c r="X86" s="34"/>
      <c r="Y86" s="34"/>
      <c r="Z86" s="34"/>
      <c r="AA86" s="34"/>
      <c r="AB86" s="34"/>
      <c r="AC86" s="34"/>
      <c r="AD86" s="34"/>
      <c r="AE86" s="34"/>
    </row>
    <row r="87" spans="1:31" s="2" customFormat="1" ht="6.95" customHeight="1">
      <c r="A87" s="34"/>
      <c r="B87" s="35"/>
      <c r="C87" s="34"/>
      <c r="D87" s="34"/>
      <c r="E87" s="34"/>
      <c r="F87" s="34"/>
      <c r="G87" s="34"/>
      <c r="H87" s="34"/>
      <c r="I87" s="34"/>
      <c r="J87" s="34"/>
      <c r="K87" s="34"/>
      <c r="L87" s="91"/>
      <c r="S87" s="34"/>
      <c r="T87" s="34"/>
      <c r="U87" s="34"/>
      <c r="V87" s="34"/>
      <c r="W87" s="34"/>
      <c r="X87" s="34"/>
      <c r="Y87" s="34"/>
      <c r="Z87" s="34"/>
      <c r="AA87" s="34"/>
      <c r="AB87" s="34"/>
      <c r="AC87" s="34"/>
      <c r="AD87" s="34"/>
      <c r="AE87" s="34"/>
    </row>
    <row r="88" spans="1:31" s="2" customFormat="1" ht="12" customHeight="1">
      <c r="A88" s="34"/>
      <c r="B88" s="35"/>
      <c r="C88" s="29" t="s">
        <v>17</v>
      </c>
      <c r="D88" s="34"/>
      <c r="E88" s="34"/>
      <c r="F88" s="34"/>
      <c r="G88" s="34"/>
      <c r="H88" s="34"/>
      <c r="I88" s="34"/>
      <c r="J88" s="34"/>
      <c r="K88" s="34"/>
      <c r="L88" s="91"/>
      <c r="S88" s="34"/>
      <c r="T88" s="34"/>
      <c r="U88" s="34"/>
      <c r="V88" s="34"/>
      <c r="W88" s="34"/>
      <c r="X88" s="34"/>
      <c r="Y88" s="34"/>
      <c r="Z88" s="34"/>
      <c r="AA88" s="34"/>
      <c r="AB88" s="34"/>
      <c r="AC88" s="34"/>
      <c r="AD88" s="34"/>
      <c r="AE88" s="34"/>
    </row>
    <row r="89" spans="1:31" s="2" customFormat="1" ht="16.5" customHeight="1">
      <c r="A89" s="34"/>
      <c r="B89" s="35"/>
      <c r="C89" s="34"/>
      <c r="D89" s="34"/>
      <c r="E89" s="436" t="str">
        <f>E7</f>
        <v>ZŠ P. HOLÉHO - PŘESTAVBA PLAVECKÉHO PAVILONU</v>
      </c>
      <c r="F89" s="437"/>
      <c r="G89" s="437"/>
      <c r="H89" s="437"/>
      <c r="I89" s="34"/>
      <c r="J89" s="34"/>
      <c r="K89" s="34"/>
      <c r="L89" s="91"/>
      <c r="S89" s="34"/>
      <c r="T89" s="34"/>
      <c r="U89" s="34"/>
      <c r="V89" s="34"/>
      <c r="W89" s="34"/>
      <c r="X89" s="34"/>
      <c r="Y89" s="34"/>
      <c r="Z89" s="34"/>
      <c r="AA89" s="34"/>
      <c r="AB89" s="34"/>
      <c r="AC89" s="34"/>
      <c r="AD89" s="34"/>
      <c r="AE89" s="34"/>
    </row>
    <row r="90" spans="1:31" s="2" customFormat="1" ht="12" customHeight="1">
      <c r="A90" s="34"/>
      <c r="B90" s="35"/>
      <c r="C90" s="29" t="s">
        <v>146</v>
      </c>
      <c r="D90" s="34"/>
      <c r="E90" s="34"/>
      <c r="F90" s="34"/>
      <c r="G90" s="34"/>
      <c r="H90" s="34"/>
      <c r="I90" s="34"/>
      <c r="J90" s="34"/>
      <c r="K90" s="34"/>
      <c r="L90" s="91"/>
      <c r="S90" s="34"/>
      <c r="T90" s="34"/>
      <c r="U90" s="34"/>
      <c r="V90" s="34"/>
      <c r="W90" s="34"/>
      <c r="X90" s="34"/>
      <c r="Y90" s="34"/>
      <c r="Z90" s="34"/>
      <c r="AA90" s="34"/>
      <c r="AB90" s="34"/>
      <c r="AC90" s="34"/>
      <c r="AD90" s="34"/>
      <c r="AE90" s="34"/>
    </row>
    <row r="91" spans="1:31" s="2" customFormat="1" ht="30" customHeight="1">
      <c r="A91" s="34"/>
      <c r="B91" s="35"/>
      <c r="C91" s="34"/>
      <c r="D91" s="34"/>
      <c r="E91" s="432" t="str">
        <f>E9</f>
        <v>E13 - Oprava a stavební úpravy terasy, KZSí stěn a podhledu+ okap.chodníčky, střešní plášť,venk.schodiště</v>
      </c>
      <c r="F91" s="435"/>
      <c r="G91" s="435"/>
      <c r="H91" s="435"/>
      <c r="I91" s="34"/>
      <c r="J91" s="34"/>
      <c r="K91" s="34"/>
      <c r="L91" s="91"/>
      <c r="S91" s="34"/>
      <c r="T91" s="34"/>
      <c r="U91" s="34"/>
      <c r="V91" s="34"/>
      <c r="W91" s="34"/>
      <c r="X91" s="34"/>
      <c r="Y91" s="34"/>
      <c r="Z91" s="34"/>
      <c r="AA91" s="34"/>
      <c r="AB91" s="34"/>
      <c r="AC91" s="34"/>
      <c r="AD91" s="34"/>
      <c r="AE91" s="34"/>
    </row>
    <row r="92" spans="1:31" s="2" customFormat="1" ht="6.95" customHeight="1">
      <c r="A92" s="34"/>
      <c r="B92" s="35"/>
      <c r="C92" s="34"/>
      <c r="D92" s="34"/>
      <c r="E92" s="34"/>
      <c r="F92" s="34"/>
      <c r="G92" s="34"/>
      <c r="H92" s="34"/>
      <c r="I92" s="34"/>
      <c r="J92" s="34"/>
      <c r="K92" s="34"/>
      <c r="L92" s="91"/>
      <c r="S92" s="34"/>
      <c r="T92" s="34"/>
      <c r="U92" s="34"/>
      <c r="V92" s="34"/>
      <c r="W92" s="34"/>
      <c r="X92" s="34"/>
      <c r="Y92" s="34"/>
      <c r="Z92" s="34"/>
      <c r="AA92" s="34"/>
      <c r="AB92" s="34"/>
      <c r="AC92" s="34"/>
      <c r="AD92" s="34"/>
      <c r="AE92" s="34"/>
    </row>
    <row r="93" spans="1:31" s="2" customFormat="1" ht="12" customHeight="1">
      <c r="A93" s="34"/>
      <c r="B93" s="35"/>
      <c r="C93" s="29" t="s">
        <v>21</v>
      </c>
      <c r="D93" s="34"/>
      <c r="E93" s="34"/>
      <c r="F93" s="27" t="str">
        <f>F12</f>
        <v>Prokopa Holého 2632, Louny, 440 01</v>
      </c>
      <c r="G93" s="34"/>
      <c r="H93" s="34"/>
      <c r="I93" s="29" t="s">
        <v>23</v>
      </c>
      <c r="J93" s="52" t="str">
        <f>IF(J12="","",J12)</f>
        <v>21. 9. 2022</v>
      </c>
      <c r="K93" s="34"/>
      <c r="L93" s="91"/>
      <c r="S93" s="34"/>
      <c r="T93" s="34"/>
      <c r="U93" s="34"/>
      <c r="V93" s="34"/>
      <c r="W93" s="34"/>
      <c r="X93" s="34"/>
      <c r="Y93" s="34"/>
      <c r="Z93" s="34"/>
      <c r="AA93" s="34"/>
      <c r="AB93" s="34"/>
      <c r="AC93" s="34"/>
      <c r="AD93" s="34"/>
      <c r="AE93" s="34"/>
    </row>
    <row r="94" spans="1:31" s="2" customFormat="1" ht="6.95" customHeight="1">
      <c r="A94" s="34"/>
      <c r="B94" s="35"/>
      <c r="C94" s="34"/>
      <c r="D94" s="34"/>
      <c r="E94" s="34"/>
      <c r="F94" s="34"/>
      <c r="G94" s="34"/>
      <c r="H94" s="34"/>
      <c r="I94" s="34"/>
      <c r="J94" s="34"/>
      <c r="K94" s="34"/>
      <c r="L94" s="91"/>
      <c r="S94" s="34"/>
      <c r="T94" s="34"/>
      <c r="U94" s="34"/>
      <c r="V94" s="34"/>
      <c r="W94" s="34"/>
      <c r="X94" s="34"/>
      <c r="Y94" s="34"/>
      <c r="Z94" s="34"/>
      <c r="AA94" s="34"/>
      <c r="AB94" s="34"/>
      <c r="AC94" s="34"/>
      <c r="AD94" s="34"/>
      <c r="AE94" s="34"/>
    </row>
    <row r="95" spans="1:31" s="2" customFormat="1" ht="15.2" customHeight="1">
      <c r="A95" s="34"/>
      <c r="B95" s="35"/>
      <c r="C95" s="29" t="s">
        <v>25</v>
      </c>
      <c r="D95" s="34"/>
      <c r="E95" s="34"/>
      <c r="F95" s="27" t="str">
        <f>E15</f>
        <v>Město Louny</v>
      </c>
      <c r="G95" s="34"/>
      <c r="H95" s="34"/>
      <c r="I95" s="29" t="s">
        <v>32</v>
      </c>
      <c r="J95" s="32" t="str">
        <f>E21</f>
        <v>RYSIK Design s.r.o.</v>
      </c>
      <c r="K95" s="34"/>
      <c r="L95" s="91"/>
      <c r="S95" s="34"/>
      <c r="T95" s="34"/>
      <c r="U95" s="34"/>
      <c r="V95" s="34"/>
      <c r="W95" s="34"/>
      <c r="X95" s="34"/>
      <c r="Y95" s="34"/>
      <c r="Z95" s="34"/>
      <c r="AA95" s="34"/>
      <c r="AB95" s="34"/>
      <c r="AC95" s="34"/>
      <c r="AD95" s="34"/>
      <c r="AE95" s="34"/>
    </row>
    <row r="96" spans="1:31" s="2" customFormat="1" ht="25.7" customHeight="1">
      <c r="A96" s="34"/>
      <c r="B96" s="35"/>
      <c r="C96" s="29" t="s">
        <v>30</v>
      </c>
      <c r="D96" s="34"/>
      <c r="E96" s="34"/>
      <c r="F96" s="27" t="str">
        <f>IF(E18="","",E18)</f>
        <v>Vyplň údaj</v>
      </c>
      <c r="G96" s="34"/>
      <c r="H96" s="34"/>
      <c r="I96" s="29" t="s">
        <v>37</v>
      </c>
      <c r="J96" s="32" t="str">
        <f>E24</f>
        <v>ing. Kateřina Tumpachová</v>
      </c>
      <c r="K96" s="34"/>
      <c r="L96" s="91"/>
      <c r="S96" s="34"/>
      <c r="T96" s="34"/>
      <c r="U96" s="34"/>
      <c r="V96" s="34"/>
      <c r="W96" s="34"/>
      <c r="X96" s="34"/>
      <c r="Y96" s="34"/>
      <c r="Z96" s="34"/>
      <c r="AA96" s="34"/>
      <c r="AB96" s="34"/>
      <c r="AC96" s="34"/>
      <c r="AD96" s="34"/>
      <c r="AE96" s="34"/>
    </row>
    <row r="97" spans="1:65" s="2" customFormat="1" ht="10.35" customHeight="1">
      <c r="A97" s="34"/>
      <c r="B97" s="35"/>
      <c r="C97" s="34"/>
      <c r="D97" s="34"/>
      <c r="E97" s="34"/>
      <c r="F97" s="34"/>
      <c r="G97" s="34"/>
      <c r="H97" s="34"/>
      <c r="I97" s="34"/>
      <c r="J97" s="34"/>
      <c r="K97" s="34"/>
      <c r="L97" s="91"/>
      <c r="S97" s="34"/>
      <c r="T97" s="34"/>
      <c r="U97" s="34"/>
      <c r="V97" s="34"/>
      <c r="W97" s="34"/>
      <c r="X97" s="34"/>
      <c r="Y97" s="34"/>
      <c r="Z97" s="34"/>
      <c r="AA97" s="34"/>
      <c r="AB97" s="34"/>
      <c r="AC97" s="34"/>
      <c r="AD97" s="34"/>
      <c r="AE97" s="34"/>
    </row>
    <row r="98" spans="1:65" s="11" customFormat="1" ht="29.25" customHeight="1">
      <c r="A98" s="116"/>
      <c r="B98" s="117"/>
      <c r="C98" s="118" t="s">
        <v>163</v>
      </c>
      <c r="D98" s="119" t="s">
        <v>62</v>
      </c>
      <c r="E98" s="119" t="s">
        <v>58</v>
      </c>
      <c r="F98" s="119" t="s">
        <v>59</v>
      </c>
      <c r="G98" s="119" t="s">
        <v>164</v>
      </c>
      <c r="H98" s="119" t="s">
        <v>165</v>
      </c>
      <c r="I98" s="119" t="s">
        <v>166</v>
      </c>
      <c r="J98" s="119" t="s">
        <v>151</v>
      </c>
      <c r="K98" s="120" t="s">
        <v>167</v>
      </c>
      <c r="L98" s="121"/>
      <c r="M98" s="59" t="s">
        <v>3</v>
      </c>
      <c r="N98" s="60" t="s">
        <v>47</v>
      </c>
      <c r="O98" s="60" t="s">
        <v>168</v>
      </c>
      <c r="P98" s="60" t="s">
        <v>169</v>
      </c>
      <c r="Q98" s="60" t="s">
        <v>170</v>
      </c>
      <c r="R98" s="60" t="s">
        <v>171</v>
      </c>
      <c r="S98" s="60" t="s">
        <v>172</v>
      </c>
      <c r="T98" s="61" t="s">
        <v>173</v>
      </c>
      <c r="U98" s="116"/>
      <c r="V98" s="116"/>
      <c r="W98" s="116"/>
      <c r="X98" s="116"/>
      <c r="Y98" s="116"/>
      <c r="Z98" s="116"/>
      <c r="AA98" s="116"/>
      <c r="AB98" s="116"/>
      <c r="AC98" s="116"/>
      <c r="AD98" s="116"/>
      <c r="AE98" s="116"/>
    </row>
    <row r="99" spans="1:65" s="2" customFormat="1" ht="22.9" customHeight="1">
      <c r="A99" s="34"/>
      <c r="B99" s="35"/>
      <c r="C99" s="66" t="s">
        <v>174</v>
      </c>
      <c r="D99" s="34"/>
      <c r="E99" s="34"/>
      <c r="F99" s="34"/>
      <c r="G99" s="34"/>
      <c r="H99" s="34"/>
      <c r="I99" s="34"/>
      <c r="J99" s="122">
        <f>BK99</f>
        <v>0</v>
      </c>
      <c r="K99" s="34"/>
      <c r="L99" s="35"/>
      <c r="M99" s="62"/>
      <c r="N99" s="53"/>
      <c r="O99" s="63"/>
      <c r="P99" s="123">
        <f>P100+P543+P862</f>
        <v>0</v>
      </c>
      <c r="Q99" s="63"/>
      <c r="R99" s="123">
        <f>R100+R543+R862</f>
        <v>51.274300111957707</v>
      </c>
      <c r="S99" s="63"/>
      <c r="T99" s="124">
        <f>T100+T543+T862</f>
        <v>23.385712999999999</v>
      </c>
      <c r="U99" s="34"/>
      <c r="V99" s="34"/>
      <c r="W99" s="34"/>
      <c r="X99" s="34"/>
      <c r="Y99" s="34"/>
      <c r="Z99" s="34"/>
      <c r="AA99" s="34"/>
      <c r="AB99" s="34"/>
      <c r="AC99" s="34"/>
      <c r="AD99" s="34"/>
      <c r="AE99" s="34"/>
      <c r="AT99" s="19" t="s">
        <v>76</v>
      </c>
      <c r="AU99" s="19" t="s">
        <v>152</v>
      </c>
      <c r="BK99" s="125">
        <f>BK100+BK543+BK862</f>
        <v>0</v>
      </c>
    </row>
    <row r="100" spans="1:65" s="12" customFormat="1" ht="25.9" customHeight="1">
      <c r="B100" s="126"/>
      <c r="D100" s="127" t="s">
        <v>76</v>
      </c>
      <c r="E100" s="128" t="s">
        <v>175</v>
      </c>
      <c r="F100" s="128" t="s">
        <v>176</v>
      </c>
      <c r="I100" s="129"/>
      <c r="J100" s="130">
        <f>BK100</f>
        <v>0</v>
      </c>
      <c r="L100" s="126"/>
      <c r="M100" s="131"/>
      <c r="N100" s="132"/>
      <c r="O100" s="132"/>
      <c r="P100" s="133">
        <f>P101+P137+P148+P154+P183+P374+P515+P538</f>
        <v>0</v>
      </c>
      <c r="Q100" s="132"/>
      <c r="R100" s="133">
        <f>R101+R137+R148+R154+R183+R374+R515+R538</f>
        <v>38.034550205645708</v>
      </c>
      <c r="S100" s="132"/>
      <c r="T100" s="134">
        <f>T101+T137+T148+T154+T183+T374+T515+T538</f>
        <v>23.385712999999999</v>
      </c>
      <c r="AR100" s="127" t="s">
        <v>85</v>
      </c>
      <c r="AT100" s="135" t="s">
        <v>76</v>
      </c>
      <c r="AU100" s="135" t="s">
        <v>77</v>
      </c>
      <c r="AY100" s="127" t="s">
        <v>177</v>
      </c>
      <c r="BK100" s="136">
        <f>BK101+BK137+BK148+BK154+BK183+BK374+BK515+BK538</f>
        <v>0</v>
      </c>
    </row>
    <row r="101" spans="1:65" s="12" customFormat="1" ht="22.9" customHeight="1">
      <c r="B101" s="126"/>
      <c r="D101" s="127" t="s">
        <v>76</v>
      </c>
      <c r="E101" s="137" t="s">
        <v>85</v>
      </c>
      <c r="F101" s="137" t="s">
        <v>2311</v>
      </c>
      <c r="I101" s="129"/>
      <c r="J101" s="138">
        <f>BK101</f>
        <v>0</v>
      </c>
      <c r="L101" s="126"/>
      <c r="M101" s="131"/>
      <c r="N101" s="132"/>
      <c r="O101" s="132"/>
      <c r="P101" s="133">
        <f>SUM(P102:P136)</f>
        <v>0</v>
      </c>
      <c r="Q101" s="132"/>
      <c r="R101" s="133">
        <f>SUM(R102:R136)</f>
        <v>0</v>
      </c>
      <c r="S101" s="132"/>
      <c r="T101" s="134">
        <f>SUM(T102:T136)</f>
        <v>0.56165999999999994</v>
      </c>
      <c r="AR101" s="127" t="s">
        <v>85</v>
      </c>
      <c r="AT101" s="135" t="s">
        <v>76</v>
      </c>
      <c r="AU101" s="135" t="s">
        <v>85</v>
      </c>
      <c r="AY101" s="127" t="s">
        <v>177</v>
      </c>
      <c r="BK101" s="136">
        <f>SUM(BK102:BK136)</f>
        <v>0</v>
      </c>
    </row>
    <row r="102" spans="1:65" s="2" customFormat="1" ht="16.5" customHeight="1">
      <c r="A102" s="34"/>
      <c r="B102" s="139"/>
      <c r="C102" s="140" t="s">
        <v>85</v>
      </c>
      <c r="D102" s="140" t="s">
        <v>180</v>
      </c>
      <c r="E102" s="141" t="s">
        <v>2312</v>
      </c>
      <c r="F102" s="142" t="s">
        <v>2313</v>
      </c>
      <c r="G102" s="143" t="s">
        <v>332</v>
      </c>
      <c r="H102" s="144">
        <v>2.5529999999999999</v>
      </c>
      <c r="I102" s="145"/>
      <c r="J102" s="146">
        <f>ROUND(I102*H102,2)</f>
        <v>0</v>
      </c>
      <c r="K102" s="142" t="s">
        <v>184</v>
      </c>
      <c r="L102" s="35"/>
      <c r="M102" s="147" t="s">
        <v>3</v>
      </c>
      <c r="N102" s="148" t="s">
        <v>48</v>
      </c>
      <c r="O102" s="55"/>
      <c r="P102" s="149">
        <f>O102*H102</f>
        <v>0</v>
      </c>
      <c r="Q102" s="149">
        <v>0</v>
      </c>
      <c r="R102" s="149">
        <f>Q102*H102</f>
        <v>0</v>
      </c>
      <c r="S102" s="149">
        <v>0.22</v>
      </c>
      <c r="T102" s="150">
        <f>S102*H102</f>
        <v>0.56165999999999994</v>
      </c>
      <c r="U102" s="34"/>
      <c r="V102" s="34"/>
      <c r="W102" s="34"/>
      <c r="X102" s="34"/>
      <c r="Y102" s="34"/>
      <c r="Z102" s="34"/>
      <c r="AA102" s="34"/>
      <c r="AB102" s="34"/>
      <c r="AC102" s="34"/>
      <c r="AD102" s="34"/>
      <c r="AE102" s="34"/>
      <c r="AR102" s="151" t="s">
        <v>185</v>
      </c>
      <c r="AT102" s="151" t="s">
        <v>180</v>
      </c>
      <c r="AU102" s="151" t="s">
        <v>87</v>
      </c>
      <c r="AY102" s="19" t="s">
        <v>177</v>
      </c>
      <c r="BE102" s="152">
        <f>IF(N102="základní",J102,0)</f>
        <v>0</v>
      </c>
      <c r="BF102" s="152">
        <f>IF(N102="snížená",J102,0)</f>
        <v>0</v>
      </c>
      <c r="BG102" s="152">
        <f>IF(N102="zákl. přenesená",J102,0)</f>
        <v>0</v>
      </c>
      <c r="BH102" s="152">
        <f>IF(N102="sníž. přenesená",J102,0)</f>
        <v>0</v>
      </c>
      <c r="BI102" s="152">
        <f>IF(N102="nulová",J102,0)</f>
        <v>0</v>
      </c>
      <c r="BJ102" s="19" t="s">
        <v>85</v>
      </c>
      <c r="BK102" s="152">
        <f>ROUND(I102*H102,2)</f>
        <v>0</v>
      </c>
      <c r="BL102" s="19" t="s">
        <v>185</v>
      </c>
      <c r="BM102" s="151" t="s">
        <v>2314</v>
      </c>
    </row>
    <row r="103" spans="1:65" s="2" customFormat="1" ht="19.5">
      <c r="A103" s="34"/>
      <c r="B103" s="35"/>
      <c r="C103" s="34"/>
      <c r="D103" s="153" t="s">
        <v>187</v>
      </c>
      <c r="E103" s="34"/>
      <c r="F103" s="154" t="s">
        <v>2315</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187</v>
      </c>
      <c r="AU103" s="19" t="s">
        <v>87</v>
      </c>
    </row>
    <row r="104" spans="1:65" s="2" customFormat="1">
      <c r="A104" s="34"/>
      <c r="B104" s="35"/>
      <c r="C104" s="34"/>
      <c r="D104" s="158" t="s">
        <v>189</v>
      </c>
      <c r="E104" s="34"/>
      <c r="F104" s="159" t="s">
        <v>2316</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189</v>
      </c>
      <c r="AU104" s="19" t="s">
        <v>87</v>
      </c>
    </row>
    <row r="105" spans="1:65" s="2" customFormat="1" ht="175.5">
      <c r="A105" s="34"/>
      <c r="B105" s="35"/>
      <c r="C105" s="34"/>
      <c r="D105" s="153" t="s">
        <v>191</v>
      </c>
      <c r="E105" s="34"/>
      <c r="F105" s="160" t="s">
        <v>2317</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191</v>
      </c>
      <c r="AU105" s="19" t="s">
        <v>87</v>
      </c>
    </row>
    <row r="106" spans="1:65" s="13" customFormat="1">
      <c r="B106" s="161"/>
      <c r="D106" s="153" t="s">
        <v>193</v>
      </c>
      <c r="E106" s="162" t="s">
        <v>3</v>
      </c>
      <c r="F106" s="163" t="s">
        <v>2318</v>
      </c>
      <c r="H106" s="164">
        <v>2.5529999999999999</v>
      </c>
      <c r="I106" s="165"/>
      <c r="L106" s="161"/>
      <c r="M106" s="166"/>
      <c r="N106" s="167"/>
      <c r="O106" s="167"/>
      <c r="P106" s="167"/>
      <c r="Q106" s="167"/>
      <c r="R106" s="167"/>
      <c r="S106" s="167"/>
      <c r="T106" s="168"/>
      <c r="AT106" s="162" t="s">
        <v>193</v>
      </c>
      <c r="AU106" s="162" t="s">
        <v>87</v>
      </c>
      <c r="AV106" s="13" t="s">
        <v>87</v>
      </c>
      <c r="AW106" s="13" t="s">
        <v>36</v>
      </c>
      <c r="AX106" s="13" t="s">
        <v>85</v>
      </c>
      <c r="AY106" s="162" t="s">
        <v>177</v>
      </c>
    </row>
    <row r="107" spans="1:65" s="2" customFormat="1" ht="16.5" customHeight="1">
      <c r="A107" s="34"/>
      <c r="B107" s="139"/>
      <c r="C107" s="140" t="s">
        <v>87</v>
      </c>
      <c r="D107" s="140" t="s">
        <v>180</v>
      </c>
      <c r="E107" s="141" t="s">
        <v>2319</v>
      </c>
      <c r="F107" s="142" t="s">
        <v>2320</v>
      </c>
      <c r="G107" s="143" t="s">
        <v>808</v>
      </c>
      <c r="H107" s="144">
        <v>0.14399999999999999</v>
      </c>
      <c r="I107" s="145"/>
      <c r="J107" s="146">
        <f>ROUND(I107*H107,2)</f>
        <v>0</v>
      </c>
      <c r="K107" s="142" t="s">
        <v>184</v>
      </c>
      <c r="L107" s="35"/>
      <c r="M107" s="147" t="s">
        <v>3</v>
      </c>
      <c r="N107" s="148" t="s">
        <v>48</v>
      </c>
      <c r="O107" s="55"/>
      <c r="P107" s="149">
        <f>O107*H107</f>
        <v>0</v>
      </c>
      <c r="Q107" s="149">
        <v>0</v>
      </c>
      <c r="R107" s="149">
        <f>Q107*H107</f>
        <v>0</v>
      </c>
      <c r="S107" s="149">
        <v>0</v>
      </c>
      <c r="T107" s="150">
        <f>S107*H107</f>
        <v>0</v>
      </c>
      <c r="U107" s="34"/>
      <c r="V107" s="34"/>
      <c r="W107" s="34"/>
      <c r="X107" s="34"/>
      <c r="Y107" s="34"/>
      <c r="Z107" s="34"/>
      <c r="AA107" s="34"/>
      <c r="AB107" s="34"/>
      <c r="AC107" s="34"/>
      <c r="AD107" s="34"/>
      <c r="AE107" s="34"/>
      <c r="AR107" s="151" t="s">
        <v>185</v>
      </c>
      <c r="AT107" s="151" t="s">
        <v>180</v>
      </c>
      <c r="AU107" s="151" t="s">
        <v>87</v>
      </c>
      <c r="AY107" s="19" t="s">
        <v>177</v>
      </c>
      <c r="BE107" s="152">
        <f>IF(N107="základní",J107,0)</f>
        <v>0</v>
      </c>
      <c r="BF107" s="152">
        <f>IF(N107="snížená",J107,0)</f>
        <v>0</v>
      </c>
      <c r="BG107" s="152">
        <f>IF(N107="zákl. přenesená",J107,0)</f>
        <v>0</v>
      </c>
      <c r="BH107" s="152">
        <f>IF(N107="sníž. přenesená",J107,0)</f>
        <v>0</v>
      </c>
      <c r="BI107" s="152">
        <f>IF(N107="nulová",J107,0)</f>
        <v>0</v>
      </c>
      <c r="BJ107" s="19" t="s">
        <v>85</v>
      </c>
      <c r="BK107" s="152">
        <f>ROUND(I107*H107,2)</f>
        <v>0</v>
      </c>
      <c r="BL107" s="19" t="s">
        <v>185</v>
      </c>
      <c r="BM107" s="151" t="s">
        <v>2321</v>
      </c>
    </row>
    <row r="108" spans="1:65" s="2" customFormat="1">
      <c r="A108" s="34"/>
      <c r="B108" s="35"/>
      <c r="C108" s="34"/>
      <c r="D108" s="153" t="s">
        <v>187</v>
      </c>
      <c r="E108" s="34"/>
      <c r="F108" s="154" t="s">
        <v>2322</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187</v>
      </c>
      <c r="AU108" s="19" t="s">
        <v>87</v>
      </c>
    </row>
    <row r="109" spans="1:65" s="2" customFormat="1">
      <c r="A109" s="34"/>
      <c r="B109" s="35"/>
      <c r="C109" s="34"/>
      <c r="D109" s="158" t="s">
        <v>189</v>
      </c>
      <c r="E109" s="34"/>
      <c r="F109" s="159" t="s">
        <v>2323</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189</v>
      </c>
      <c r="AU109" s="19" t="s">
        <v>87</v>
      </c>
    </row>
    <row r="110" spans="1:65" s="14" customFormat="1">
      <c r="B110" s="169"/>
      <c r="D110" s="153" t="s">
        <v>193</v>
      </c>
      <c r="E110" s="170" t="s">
        <v>3</v>
      </c>
      <c r="F110" s="171" t="s">
        <v>2324</v>
      </c>
      <c r="H110" s="170" t="s">
        <v>3</v>
      </c>
      <c r="I110" s="172"/>
      <c r="L110" s="169"/>
      <c r="M110" s="173"/>
      <c r="N110" s="174"/>
      <c r="O110" s="174"/>
      <c r="P110" s="174"/>
      <c r="Q110" s="174"/>
      <c r="R110" s="174"/>
      <c r="S110" s="174"/>
      <c r="T110" s="175"/>
      <c r="AT110" s="170" t="s">
        <v>193</v>
      </c>
      <c r="AU110" s="170" t="s">
        <v>87</v>
      </c>
      <c r="AV110" s="14" t="s">
        <v>85</v>
      </c>
      <c r="AW110" s="14" t="s">
        <v>36</v>
      </c>
      <c r="AX110" s="14" t="s">
        <v>77</v>
      </c>
      <c r="AY110" s="170" t="s">
        <v>177</v>
      </c>
    </row>
    <row r="111" spans="1:65" s="13" customFormat="1">
      <c r="B111" s="161"/>
      <c r="D111" s="153" t="s">
        <v>193</v>
      </c>
      <c r="E111" s="162" t="s">
        <v>3</v>
      </c>
      <c r="F111" s="163" t="s">
        <v>2325</v>
      </c>
      <c r="H111" s="164">
        <v>0.14399999999999999</v>
      </c>
      <c r="I111" s="165"/>
      <c r="L111" s="161"/>
      <c r="M111" s="166"/>
      <c r="N111" s="167"/>
      <c r="O111" s="167"/>
      <c r="P111" s="167"/>
      <c r="Q111" s="167"/>
      <c r="R111" s="167"/>
      <c r="S111" s="167"/>
      <c r="T111" s="168"/>
      <c r="AT111" s="162" t="s">
        <v>193</v>
      </c>
      <c r="AU111" s="162" t="s">
        <v>87</v>
      </c>
      <c r="AV111" s="13" t="s">
        <v>87</v>
      </c>
      <c r="AW111" s="13" t="s">
        <v>36</v>
      </c>
      <c r="AX111" s="13" t="s">
        <v>85</v>
      </c>
      <c r="AY111" s="162" t="s">
        <v>177</v>
      </c>
    </row>
    <row r="112" spans="1:65" s="2" customFormat="1" ht="21.75" customHeight="1">
      <c r="A112" s="34"/>
      <c r="B112" s="139"/>
      <c r="C112" s="140" t="s">
        <v>198</v>
      </c>
      <c r="D112" s="140" t="s">
        <v>180</v>
      </c>
      <c r="E112" s="141" t="s">
        <v>2326</v>
      </c>
      <c r="F112" s="142" t="s">
        <v>2327</v>
      </c>
      <c r="G112" s="143" t="s">
        <v>808</v>
      </c>
      <c r="H112" s="144">
        <v>9.0719999999999992</v>
      </c>
      <c r="I112" s="145"/>
      <c r="J112" s="146">
        <f>ROUND(I112*H112,2)</f>
        <v>0</v>
      </c>
      <c r="K112" s="142" t="s">
        <v>184</v>
      </c>
      <c r="L112" s="35"/>
      <c r="M112" s="147" t="s">
        <v>3</v>
      </c>
      <c r="N112" s="148" t="s">
        <v>48</v>
      </c>
      <c r="O112" s="55"/>
      <c r="P112" s="149">
        <f>O112*H112</f>
        <v>0</v>
      </c>
      <c r="Q112" s="149">
        <v>0</v>
      </c>
      <c r="R112" s="149">
        <f>Q112*H112</f>
        <v>0</v>
      </c>
      <c r="S112" s="149">
        <v>0</v>
      </c>
      <c r="T112" s="150">
        <f>S112*H112</f>
        <v>0</v>
      </c>
      <c r="U112" s="34"/>
      <c r="V112" s="34"/>
      <c r="W112" s="34"/>
      <c r="X112" s="34"/>
      <c r="Y112" s="34"/>
      <c r="Z112" s="34"/>
      <c r="AA112" s="34"/>
      <c r="AB112" s="34"/>
      <c r="AC112" s="34"/>
      <c r="AD112" s="34"/>
      <c r="AE112" s="34"/>
      <c r="AR112" s="151" t="s">
        <v>185</v>
      </c>
      <c r="AT112" s="151" t="s">
        <v>180</v>
      </c>
      <c r="AU112" s="151" t="s">
        <v>87</v>
      </c>
      <c r="AY112" s="19" t="s">
        <v>177</v>
      </c>
      <c r="BE112" s="152">
        <f>IF(N112="základní",J112,0)</f>
        <v>0</v>
      </c>
      <c r="BF112" s="152">
        <f>IF(N112="snížená",J112,0)</f>
        <v>0</v>
      </c>
      <c r="BG112" s="152">
        <f>IF(N112="zákl. přenesená",J112,0)</f>
        <v>0</v>
      </c>
      <c r="BH112" s="152">
        <f>IF(N112="sníž. přenesená",J112,0)</f>
        <v>0</v>
      </c>
      <c r="BI112" s="152">
        <f>IF(N112="nulová",J112,0)</f>
        <v>0</v>
      </c>
      <c r="BJ112" s="19" t="s">
        <v>85</v>
      </c>
      <c r="BK112" s="152">
        <f>ROUND(I112*H112,2)</f>
        <v>0</v>
      </c>
      <c r="BL112" s="19" t="s">
        <v>185</v>
      </c>
      <c r="BM112" s="151" t="s">
        <v>2328</v>
      </c>
    </row>
    <row r="113" spans="1:65" s="2" customFormat="1" ht="19.5">
      <c r="A113" s="34"/>
      <c r="B113" s="35"/>
      <c r="C113" s="34"/>
      <c r="D113" s="153" t="s">
        <v>187</v>
      </c>
      <c r="E113" s="34"/>
      <c r="F113" s="154" t="s">
        <v>2329</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187</v>
      </c>
      <c r="AU113" s="19" t="s">
        <v>87</v>
      </c>
    </row>
    <row r="114" spans="1:65" s="2" customFormat="1">
      <c r="A114" s="34"/>
      <c r="B114" s="35"/>
      <c r="C114" s="34"/>
      <c r="D114" s="158" t="s">
        <v>189</v>
      </c>
      <c r="E114" s="34"/>
      <c r="F114" s="159" t="s">
        <v>2330</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189</v>
      </c>
      <c r="AU114" s="19" t="s">
        <v>87</v>
      </c>
    </row>
    <row r="115" spans="1:65" s="13" customFormat="1">
      <c r="B115" s="161"/>
      <c r="D115" s="153" t="s">
        <v>193</v>
      </c>
      <c r="E115" s="162" t="s">
        <v>3</v>
      </c>
      <c r="F115" s="163" t="s">
        <v>2331</v>
      </c>
      <c r="H115" s="164">
        <v>7.92</v>
      </c>
      <c r="I115" s="165"/>
      <c r="L115" s="161"/>
      <c r="M115" s="166"/>
      <c r="N115" s="167"/>
      <c r="O115" s="167"/>
      <c r="P115" s="167"/>
      <c r="Q115" s="167"/>
      <c r="R115" s="167"/>
      <c r="S115" s="167"/>
      <c r="T115" s="168"/>
      <c r="AT115" s="162" t="s">
        <v>193</v>
      </c>
      <c r="AU115" s="162" t="s">
        <v>87</v>
      </c>
      <c r="AV115" s="13" t="s">
        <v>87</v>
      </c>
      <c r="AW115" s="13" t="s">
        <v>36</v>
      </c>
      <c r="AX115" s="13" t="s">
        <v>77</v>
      </c>
      <c r="AY115" s="162" t="s">
        <v>177</v>
      </c>
    </row>
    <row r="116" spans="1:65" s="14" customFormat="1">
      <c r="B116" s="169"/>
      <c r="D116" s="153" t="s">
        <v>193</v>
      </c>
      <c r="E116" s="170" t="s">
        <v>3</v>
      </c>
      <c r="F116" s="171" t="s">
        <v>2332</v>
      </c>
      <c r="H116" s="170" t="s">
        <v>3</v>
      </c>
      <c r="I116" s="172"/>
      <c r="L116" s="169"/>
      <c r="M116" s="173"/>
      <c r="N116" s="174"/>
      <c r="O116" s="174"/>
      <c r="P116" s="174"/>
      <c r="Q116" s="174"/>
      <c r="R116" s="174"/>
      <c r="S116" s="174"/>
      <c r="T116" s="175"/>
      <c r="AT116" s="170" t="s">
        <v>193</v>
      </c>
      <c r="AU116" s="170" t="s">
        <v>87</v>
      </c>
      <c r="AV116" s="14" t="s">
        <v>85</v>
      </c>
      <c r="AW116" s="14" t="s">
        <v>36</v>
      </c>
      <c r="AX116" s="14" t="s">
        <v>77</v>
      </c>
      <c r="AY116" s="170" t="s">
        <v>177</v>
      </c>
    </row>
    <row r="117" spans="1:65" s="13" customFormat="1">
      <c r="B117" s="161"/>
      <c r="D117" s="153" t="s">
        <v>193</v>
      </c>
      <c r="E117" s="162" t="s">
        <v>3</v>
      </c>
      <c r="F117" s="163" t="s">
        <v>2333</v>
      </c>
      <c r="H117" s="164">
        <v>1.1519999999999999</v>
      </c>
      <c r="I117" s="165"/>
      <c r="L117" s="161"/>
      <c r="M117" s="166"/>
      <c r="N117" s="167"/>
      <c r="O117" s="167"/>
      <c r="P117" s="167"/>
      <c r="Q117" s="167"/>
      <c r="R117" s="167"/>
      <c r="S117" s="167"/>
      <c r="T117" s="168"/>
      <c r="AT117" s="162" t="s">
        <v>193</v>
      </c>
      <c r="AU117" s="162" t="s">
        <v>87</v>
      </c>
      <c r="AV117" s="13" t="s">
        <v>87</v>
      </c>
      <c r="AW117" s="13" t="s">
        <v>36</v>
      </c>
      <c r="AX117" s="13" t="s">
        <v>77</v>
      </c>
      <c r="AY117" s="162" t="s">
        <v>177</v>
      </c>
    </row>
    <row r="118" spans="1:65" s="16" customFormat="1">
      <c r="B118" s="184"/>
      <c r="D118" s="153" t="s">
        <v>193</v>
      </c>
      <c r="E118" s="185" t="s">
        <v>3</v>
      </c>
      <c r="F118" s="186" t="s">
        <v>201</v>
      </c>
      <c r="H118" s="187">
        <v>9.0719999999999992</v>
      </c>
      <c r="I118" s="188"/>
      <c r="L118" s="184"/>
      <c r="M118" s="189"/>
      <c r="N118" s="190"/>
      <c r="O118" s="190"/>
      <c r="P118" s="190"/>
      <c r="Q118" s="190"/>
      <c r="R118" s="190"/>
      <c r="S118" s="190"/>
      <c r="T118" s="191"/>
      <c r="AT118" s="185" t="s">
        <v>193</v>
      </c>
      <c r="AU118" s="185" t="s">
        <v>87</v>
      </c>
      <c r="AV118" s="16" t="s">
        <v>185</v>
      </c>
      <c r="AW118" s="16" t="s">
        <v>36</v>
      </c>
      <c r="AX118" s="16" t="s">
        <v>85</v>
      </c>
      <c r="AY118" s="185" t="s">
        <v>177</v>
      </c>
    </row>
    <row r="119" spans="1:65" s="2" customFormat="1" ht="21.75" customHeight="1">
      <c r="A119" s="34"/>
      <c r="B119" s="139"/>
      <c r="C119" s="140" t="s">
        <v>185</v>
      </c>
      <c r="D119" s="140" t="s">
        <v>180</v>
      </c>
      <c r="E119" s="141" t="s">
        <v>2334</v>
      </c>
      <c r="F119" s="142" t="s">
        <v>2335</v>
      </c>
      <c r="G119" s="143" t="s">
        <v>808</v>
      </c>
      <c r="H119" s="144">
        <v>9.2159999999999993</v>
      </c>
      <c r="I119" s="145"/>
      <c r="J119" s="146">
        <f>ROUND(I119*H119,2)</f>
        <v>0</v>
      </c>
      <c r="K119" s="142" t="s">
        <v>184</v>
      </c>
      <c r="L119" s="35"/>
      <c r="M119" s="147" t="s">
        <v>3</v>
      </c>
      <c r="N119" s="148" t="s">
        <v>48</v>
      </c>
      <c r="O119" s="55"/>
      <c r="P119" s="149">
        <f>O119*H119</f>
        <v>0</v>
      </c>
      <c r="Q119" s="149">
        <v>0</v>
      </c>
      <c r="R119" s="149">
        <f>Q119*H119</f>
        <v>0</v>
      </c>
      <c r="S119" s="149">
        <v>0</v>
      </c>
      <c r="T119" s="150">
        <f>S119*H119</f>
        <v>0</v>
      </c>
      <c r="U119" s="34"/>
      <c r="V119" s="34"/>
      <c r="W119" s="34"/>
      <c r="X119" s="34"/>
      <c r="Y119" s="34"/>
      <c r="Z119" s="34"/>
      <c r="AA119" s="34"/>
      <c r="AB119" s="34"/>
      <c r="AC119" s="34"/>
      <c r="AD119" s="34"/>
      <c r="AE119" s="34"/>
      <c r="AR119" s="151" t="s">
        <v>185</v>
      </c>
      <c r="AT119" s="151" t="s">
        <v>180</v>
      </c>
      <c r="AU119" s="151" t="s">
        <v>87</v>
      </c>
      <c r="AY119" s="19" t="s">
        <v>177</v>
      </c>
      <c r="BE119" s="152">
        <f>IF(N119="základní",J119,0)</f>
        <v>0</v>
      </c>
      <c r="BF119" s="152">
        <f>IF(N119="snížená",J119,0)</f>
        <v>0</v>
      </c>
      <c r="BG119" s="152">
        <f>IF(N119="zákl. přenesená",J119,0)</f>
        <v>0</v>
      </c>
      <c r="BH119" s="152">
        <f>IF(N119="sníž. přenesená",J119,0)</f>
        <v>0</v>
      </c>
      <c r="BI119" s="152">
        <f>IF(N119="nulová",J119,0)</f>
        <v>0</v>
      </c>
      <c r="BJ119" s="19" t="s">
        <v>85</v>
      </c>
      <c r="BK119" s="152">
        <f>ROUND(I119*H119,2)</f>
        <v>0</v>
      </c>
      <c r="BL119" s="19" t="s">
        <v>185</v>
      </c>
      <c r="BM119" s="151" t="s">
        <v>2336</v>
      </c>
    </row>
    <row r="120" spans="1:65" s="2" customFormat="1" ht="19.5">
      <c r="A120" s="34"/>
      <c r="B120" s="35"/>
      <c r="C120" s="34"/>
      <c r="D120" s="153" t="s">
        <v>187</v>
      </c>
      <c r="E120" s="34"/>
      <c r="F120" s="154" t="s">
        <v>2337</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187</v>
      </c>
      <c r="AU120" s="19" t="s">
        <v>87</v>
      </c>
    </row>
    <row r="121" spans="1:65" s="2" customFormat="1">
      <c r="A121" s="34"/>
      <c r="B121" s="35"/>
      <c r="C121" s="34"/>
      <c r="D121" s="158" t="s">
        <v>189</v>
      </c>
      <c r="E121" s="34"/>
      <c r="F121" s="159" t="s">
        <v>2338</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189</v>
      </c>
      <c r="AU121" s="19" t="s">
        <v>87</v>
      </c>
    </row>
    <row r="122" spans="1:65" s="2" customFormat="1" ht="58.5">
      <c r="A122" s="34"/>
      <c r="B122" s="35"/>
      <c r="C122" s="34"/>
      <c r="D122" s="153" t="s">
        <v>191</v>
      </c>
      <c r="E122" s="34"/>
      <c r="F122" s="160" t="s">
        <v>2339</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191</v>
      </c>
      <c r="AU122" s="19" t="s">
        <v>87</v>
      </c>
    </row>
    <row r="123" spans="1:65" s="2" customFormat="1" ht="24.2" customHeight="1">
      <c r="A123" s="34"/>
      <c r="B123" s="139"/>
      <c r="C123" s="140" t="s">
        <v>200</v>
      </c>
      <c r="D123" s="140" t="s">
        <v>180</v>
      </c>
      <c r="E123" s="141" t="s">
        <v>2340</v>
      </c>
      <c r="F123" s="142" t="s">
        <v>2341</v>
      </c>
      <c r="G123" s="143" t="s">
        <v>808</v>
      </c>
      <c r="H123" s="144">
        <v>92.16</v>
      </c>
      <c r="I123" s="145"/>
      <c r="J123" s="146">
        <f>ROUND(I123*H123,2)</f>
        <v>0</v>
      </c>
      <c r="K123" s="142" t="s">
        <v>184</v>
      </c>
      <c r="L123" s="35"/>
      <c r="M123" s="147" t="s">
        <v>3</v>
      </c>
      <c r="N123" s="148" t="s">
        <v>48</v>
      </c>
      <c r="O123" s="55"/>
      <c r="P123" s="149">
        <f>O123*H123</f>
        <v>0</v>
      </c>
      <c r="Q123" s="149">
        <v>0</v>
      </c>
      <c r="R123" s="149">
        <f>Q123*H123</f>
        <v>0</v>
      </c>
      <c r="S123" s="149">
        <v>0</v>
      </c>
      <c r="T123" s="150">
        <f>S123*H123</f>
        <v>0</v>
      </c>
      <c r="U123" s="34"/>
      <c r="V123" s="34"/>
      <c r="W123" s="34"/>
      <c r="X123" s="34"/>
      <c r="Y123" s="34"/>
      <c r="Z123" s="34"/>
      <c r="AA123" s="34"/>
      <c r="AB123" s="34"/>
      <c r="AC123" s="34"/>
      <c r="AD123" s="34"/>
      <c r="AE123" s="34"/>
      <c r="AR123" s="151" t="s">
        <v>185</v>
      </c>
      <c r="AT123" s="151" t="s">
        <v>180</v>
      </c>
      <c r="AU123" s="151" t="s">
        <v>87</v>
      </c>
      <c r="AY123" s="19" t="s">
        <v>177</v>
      </c>
      <c r="BE123" s="152">
        <f>IF(N123="základní",J123,0)</f>
        <v>0</v>
      </c>
      <c r="BF123" s="152">
        <f>IF(N123="snížená",J123,0)</f>
        <v>0</v>
      </c>
      <c r="BG123" s="152">
        <f>IF(N123="zákl. přenesená",J123,0)</f>
        <v>0</v>
      </c>
      <c r="BH123" s="152">
        <f>IF(N123="sníž. přenesená",J123,0)</f>
        <v>0</v>
      </c>
      <c r="BI123" s="152">
        <f>IF(N123="nulová",J123,0)</f>
        <v>0</v>
      </c>
      <c r="BJ123" s="19" t="s">
        <v>85</v>
      </c>
      <c r="BK123" s="152">
        <f>ROUND(I123*H123,2)</f>
        <v>0</v>
      </c>
      <c r="BL123" s="19" t="s">
        <v>185</v>
      </c>
      <c r="BM123" s="151" t="s">
        <v>2342</v>
      </c>
    </row>
    <row r="124" spans="1:65" s="2" customFormat="1" ht="19.5">
      <c r="A124" s="34"/>
      <c r="B124" s="35"/>
      <c r="C124" s="34"/>
      <c r="D124" s="153" t="s">
        <v>187</v>
      </c>
      <c r="E124" s="34"/>
      <c r="F124" s="154" t="s">
        <v>2343</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187</v>
      </c>
      <c r="AU124" s="19" t="s">
        <v>87</v>
      </c>
    </row>
    <row r="125" spans="1:65" s="2" customFormat="1">
      <c r="A125" s="34"/>
      <c r="B125" s="35"/>
      <c r="C125" s="34"/>
      <c r="D125" s="158" t="s">
        <v>189</v>
      </c>
      <c r="E125" s="34"/>
      <c r="F125" s="159" t="s">
        <v>2344</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189</v>
      </c>
      <c r="AU125" s="19" t="s">
        <v>87</v>
      </c>
    </row>
    <row r="126" spans="1:65" s="2" customFormat="1" ht="58.5">
      <c r="A126" s="34"/>
      <c r="B126" s="35"/>
      <c r="C126" s="34"/>
      <c r="D126" s="153" t="s">
        <v>191</v>
      </c>
      <c r="E126" s="34"/>
      <c r="F126" s="160" t="s">
        <v>2339</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191</v>
      </c>
      <c r="AU126" s="19" t="s">
        <v>87</v>
      </c>
    </row>
    <row r="127" spans="1:65" s="13" customFormat="1">
      <c r="B127" s="161"/>
      <c r="D127" s="153" t="s">
        <v>193</v>
      </c>
      <c r="F127" s="163" t="s">
        <v>2345</v>
      </c>
      <c r="H127" s="164">
        <v>92.16</v>
      </c>
      <c r="I127" s="165"/>
      <c r="L127" s="161"/>
      <c r="M127" s="166"/>
      <c r="N127" s="167"/>
      <c r="O127" s="167"/>
      <c r="P127" s="167"/>
      <c r="Q127" s="167"/>
      <c r="R127" s="167"/>
      <c r="S127" s="167"/>
      <c r="T127" s="168"/>
      <c r="AT127" s="162" t="s">
        <v>193</v>
      </c>
      <c r="AU127" s="162" t="s">
        <v>87</v>
      </c>
      <c r="AV127" s="13" t="s">
        <v>87</v>
      </c>
      <c r="AW127" s="13" t="s">
        <v>4</v>
      </c>
      <c r="AX127" s="13" t="s">
        <v>85</v>
      </c>
      <c r="AY127" s="162" t="s">
        <v>177</v>
      </c>
    </row>
    <row r="128" spans="1:65" s="2" customFormat="1" ht="16.5" customHeight="1">
      <c r="A128" s="34"/>
      <c r="B128" s="139"/>
      <c r="C128" s="140" t="s">
        <v>233</v>
      </c>
      <c r="D128" s="140" t="s">
        <v>180</v>
      </c>
      <c r="E128" s="141" t="s">
        <v>2346</v>
      </c>
      <c r="F128" s="142" t="s">
        <v>2347</v>
      </c>
      <c r="G128" s="143" t="s">
        <v>183</v>
      </c>
      <c r="H128" s="144">
        <v>16.588999999999999</v>
      </c>
      <c r="I128" s="145"/>
      <c r="J128" s="146">
        <f>ROUND(I128*H128,2)</f>
        <v>0</v>
      </c>
      <c r="K128" s="142" t="s">
        <v>184</v>
      </c>
      <c r="L128" s="35"/>
      <c r="M128" s="147" t="s">
        <v>3</v>
      </c>
      <c r="N128" s="148" t="s">
        <v>48</v>
      </c>
      <c r="O128" s="55"/>
      <c r="P128" s="149">
        <f>O128*H128</f>
        <v>0</v>
      </c>
      <c r="Q128" s="149">
        <v>0</v>
      </c>
      <c r="R128" s="149">
        <f>Q128*H128</f>
        <v>0</v>
      </c>
      <c r="S128" s="149">
        <v>0</v>
      </c>
      <c r="T128" s="150">
        <f>S128*H128</f>
        <v>0</v>
      </c>
      <c r="U128" s="34"/>
      <c r="V128" s="34"/>
      <c r="W128" s="34"/>
      <c r="X128" s="34"/>
      <c r="Y128" s="34"/>
      <c r="Z128" s="34"/>
      <c r="AA128" s="34"/>
      <c r="AB128" s="34"/>
      <c r="AC128" s="34"/>
      <c r="AD128" s="34"/>
      <c r="AE128" s="34"/>
      <c r="AR128" s="151" t="s">
        <v>185</v>
      </c>
      <c r="AT128" s="151" t="s">
        <v>180</v>
      </c>
      <c r="AU128" s="151" t="s">
        <v>87</v>
      </c>
      <c r="AY128" s="19" t="s">
        <v>177</v>
      </c>
      <c r="BE128" s="152">
        <f>IF(N128="základní",J128,0)</f>
        <v>0</v>
      </c>
      <c r="BF128" s="152">
        <f>IF(N128="snížená",J128,0)</f>
        <v>0</v>
      </c>
      <c r="BG128" s="152">
        <f>IF(N128="zákl. přenesená",J128,0)</f>
        <v>0</v>
      </c>
      <c r="BH128" s="152">
        <f>IF(N128="sníž. přenesená",J128,0)</f>
        <v>0</v>
      </c>
      <c r="BI128" s="152">
        <f>IF(N128="nulová",J128,0)</f>
        <v>0</v>
      </c>
      <c r="BJ128" s="19" t="s">
        <v>85</v>
      </c>
      <c r="BK128" s="152">
        <f>ROUND(I128*H128,2)</f>
        <v>0</v>
      </c>
      <c r="BL128" s="19" t="s">
        <v>185</v>
      </c>
      <c r="BM128" s="151" t="s">
        <v>2348</v>
      </c>
    </row>
    <row r="129" spans="1:65" s="2" customFormat="1" ht="19.5">
      <c r="A129" s="34"/>
      <c r="B129" s="35"/>
      <c r="C129" s="34"/>
      <c r="D129" s="153" t="s">
        <v>187</v>
      </c>
      <c r="E129" s="34"/>
      <c r="F129" s="154" t="s">
        <v>2349</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187</v>
      </c>
      <c r="AU129" s="19" t="s">
        <v>87</v>
      </c>
    </row>
    <row r="130" spans="1:65" s="2" customFormat="1">
      <c r="A130" s="34"/>
      <c r="B130" s="35"/>
      <c r="C130" s="34"/>
      <c r="D130" s="158" t="s">
        <v>189</v>
      </c>
      <c r="E130" s="34"/>
      <c r="F130" s="159" t="s">
        <v>2350</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189</v>
      </c>
      <c r="AU130" s="19" t="s">
        <v>87</v>
      </c>
    </row>
    <row r="131" spans="1:65" s="2" customFormat="1" ht="39">
      <c r="A131" s="34"/>
      <c r="B131" s="35"/>
      <c r="C131" s="34"/>
      <c r="D131" s="153" t="s">
        <v>191</v>
      </c>
      <c r="E131" s="34"/>
      <c r="F131" s="160" t="s">
        <v>228</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191</v>
      </c>
      <c r="AU131" s="19" t="s">
        <v>87</v>
      </c>
    </row>
    <row r="132" spans="1:65" s="13" customFormat="1">
      <c r="B132" s="161"/>
      <c r="D132" s="153" t="s">
        <v>193</v>
      </c>
      <c r="F132" s="163" t="s">
        <v>2351</v>
      </c>
      <c r="H132" s="164">
        <v>16.588999999999999</v>
      </c>
      <c r="I132" s="165"/>
      <c r="L132" s="161"/>
      <c r="M132" s="166"/>
      <c r="N132" s="167"/>
      <c r="O132" s="167"/>
      <c r="P132" s="167"/>
      <c r="Q132" s="167"/>
      <c r="R132" s="167"/>
      <c r="S132" s="167"/>
      <c r="T132" s="168"/>
      <c r="AT132" s="162" t="s">
        <v>193</v>
      </c>
      <c r="AU132" s="162" t="s">
        <v>87</v>
      </c>
      <c r="AV132" s="13" t="s">
        <v>87</v>
      </c>
      <c r="AW132" s="13" t="s">
        <v>4</v>
      </c>
      <c r="AX132" s="13" t="s">
        <v>85</v>
      </c>
      <c r="AY132" s="162" t="s">
        <v>177</v>
      </c>
    </row>
    <row r="133" spans="1:65" s="2" customFormat="1" ht="16.5" customHeight="1">
      <c r="A133" s="34"/>
      <c r="B133" s="139"/>
      <c r="C133" s="140" t="s">
        <v>241</v>
      </c>
      <c r="D133" s="140" t="s">
        <v>180</v>
      </c>
      <c r="E133" s="141" t="s">
        <v>2352</v>
      </c>
      <c r="F133" s="142" t="s">
        <v>2353</v>
      </c>
      <c r="G133" s="143" t="s">
        <v>808</v>
      </c>
      <c r="H133" s="144">
        <v>9.2159999999999993</v>
      </c>
      <c r="I133" s="145"/>
      <c r="J133" s="146">
        <f>ROUND(I133*H133,2)</f>
        <v>0</v>
      </c>
      <c r="K133" s="142" t="s">
        <v>184</v>
      </c>
      <c r="L133" s="35"/>
      <c r="M133" s="147" t="s">
        <v>3</v>
      </c>
      <c r="N133" s="148" t="s">
        <v>48</v>
      </c>
      <c r="O133" s="55"/>
      <c r="P133" s="149">
        <f>O133*H133</f>
        <v>0</v>
      </c>
      <c r="Q133" s="149">
        <v>0</v>
      </c>
      <c r="R133" s="149">
        <f>Q133*H133</f>
        <v>0</v>
      </c>
      <c r="S133" s="149">
        <v>0</v>
      </c>
      <c r="T133" s="150">
        <f>S133*H133</f>
        <v>0</v>
      </c>
      <c r="U133" s="34"/>
      <c r="V133" s="34"/>
      <c r="W133" s="34"/>
      <c r="X133" s="34"/>
      <c r="Y133" s="34"/>
      <c r="Z133" s="34"/>
      <c r="AA133" s="34"/>
      <c r="AB133" s="34"/>
      <c r="AC133" s="34"/>
      <c r="AD133" s="34"/>
      <c r="AE133" s="34"/>
      <c r="AR133" s="151" t="s">
        <v>185</v>
      </c>
      <c r="AT133" s="151" t="s">
        <v>180</v>
      </c>
      <c r="AU133" s="151" t="s">
        <v>87</v>
      </c>
      <c r="AY133" s="19" t="s">
        <v>177</v>
      </c>
      <c r="BE133" s="152">
        <f>IF(N133="základní",J133,0)</f>
        <v>0</v>
      </c>
      <c r="BF133" s="152">
        <f>IF(N133="snížená",J133,0)</f>
        <v>0</v>
      </c>
      <c r="BG133" s="152">
        <f>IF(N133="zákl. přenesená",J133,0)</f>
        <v>0</v>
      </c>
      <c r="BH133" s="152">
        <f>IF(N133="sníž. přenesená",J133,0)</f>
        <v>0</v>
      </c>
      <c r="BI133" s="152">
        <f>IF(N133="nulová",J133,0)</f>
        <v>0</v>
      </c>
      <c r="BJ133" s="19" t="s">
        <v>85</v>
      </c>
      <c r="BK133" s="152">
        <f>ROUND(I133*H133,2)</f>
        <v>0</v>
      </c>
      <c r="BL133" s="19" t="s">
        <v>185</v>
      </c>
      <c r="BM133" s="151" t="s">
        <v>2354</v>
      </c>
    </row>
    <row r="134" spans="1:65" s="2" customFormat="1">
      <c r="A134" s="34"/>
      <c r="B134" s="35"/>
      <c r="C134" s="34"/>
      <c r="D134" s="153" t="s">
        <v>187</v>
      </c>
      <c r="E134" s="34"/>
      <c r="F134" s="154" t="s">
        <v>2355</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187</v>
      </c>
      <c r="AU134" s="19" t="s">
        <v>87</v>
      </c>
    </row>
    <row r="135" spans="1:65" s="2" customFormat="1">
      <c r="A135" s="34"/>
      <c r="B135" s="35"/>
      <c r="C135" s="34"/>
      <c r="D135" s="158" t="s">
        <v>189</v>
      </c>
      <c r="E135" s="34"/>
      <c r="F135" s="159" t="s">
        <v>2356</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189</v>
      </c>
      <c r="AU135" s="19" t="s">
        <v>87</v>
      </c>
    </row>
    <row r="136" spans="1:65" s="2" customFormat="1" ht="97.5">
      <c r="A136" s="34"/>
      <c r="B136" s="35"/>
      <c r="C136" s="34"/>
      <c r="D136" s="153" t="s">
        <v>191</v>
      </c>
      <c r="E136" s="34"/>
      <c r="F136" s="160" t="s">
        <v>2357</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191</v>
      </c>
      <c r="AU136" s="19" t="s">
        <v>87</v>
      </c>
    </row>
    <row r="137" spans="1:65" s="12" customFormat="1" ht="22.9" customHeight="1">
      <c r="B137" s="126"/>
      <c r="D137" s="127" t="s">
        <v>76</v>
      </c>
      <c r="E137" s="137" t="s">
        <v>87</v>
      </c>
      <c r="F137" s="137" t="s">
        <v>550</v>
      </c>
      <c r="I137" s="129"/>
      <c r="J137" s="138">
        <f>BK137</f>
        <v>0</v>
      </c>
      <c r="L137" s="126"/>
      <c r="M137" s="131"/>
      <c r="N137" s="132"/>
      <c r="O137" s="132"/>
      <c r="P137" s="133">
        <f>SUM(P138:P147)</f>
        <v>0</v>
      </c>
      <c r="Q137" s="132"/>
      <c r="R137" s="133">
        <f>SUM(R138:R147)</f>
        <v>3.242426376384</v>
      </c>
      <c r="S137" s="132"/>
      <c r="T137" s="134">
        <f>SUM(T138:T147)</f>
        <v>0</v>
      </c>
      <c r="AR137" s="127" t="s">
        <v>85</v>
      </c>
      <c r="AT137" s="135" t="s">
        <v>76</v>
      </c>
      <c r="AU137" s="135" t="s">
        <v>85</v>
      </c>
      <c r="AY137" s="127" t="s">
        <v>177</v>
      </c>
      <c r="BK137" s="136">
        <f>SUM(BK138:BK147)</f>
        <v>0</v>
      </c>
    </row>
    <row r="138" spans="1:65" s="2" customFormat="1" ht="16.5" customHeight="1">
      <c r="A138" s="34"/>
      <c r="B138" s="139"/>
      <c r="C138" s="140" t="s">
        <v>248</v>
      </c>
      <c r="D138" s="140" t="s">
        <v>180</v>
      </c>
      <c r="E138" s="141" t="s">
        <v>2358</v>
      </c>
      <c r="F138" s="142" t="s">
        <v>2359</v>
      </c>
      <c r="G138" s="143" t="s">
        <v>808</v>
      </c>
      <c r="H138" s="144">
        <v>1.1519999999999999</v>
      </c>
      <c r="I138" s="145"/>
      <c r="J138" s="146">
        <f>ROUND(I138*H138,2)</f>
        <v>0</v>
      </c>
      <c r="K138" s="142" t="s">
        <v>184</v>
      </c>
      <c r="L138" s="35"/>
      <c r="M138" s="147" t="s">
        <v>3</v>
      </c>
      <c r="N138" s="148" t="s">
        <v>48</v>
      </c>
      <c r="O138" s="55"/>
      <c r="P138" s="149">
        <f>O138*H138</f>
        <v>0</v>
      </c>
      <c r="Q138" s="149">
        <v>2.5018722040000001</v>
      </c>
      <c r="R138" s="149">
        <f>Q138*H138</f>
        <v>2.882156779008</v>
      </c>
      <c r="S138" s="149">
        <v>0</v>
      </c>
      <c r="T138" s="150">
        <f>S138*H138</f>
        <v>0</v>
      </c>
      <c r="U138" s="34"/>
      <c r="V138" s="34"/>
      <c r="W138" s="34"/>
      <c r="X138" s="34"/>
      <c r="Y138" s="34"/>
      <c r="Z138" s="34"/>
      <c r="AA138" s="34"/>
      <c r="AB138" s="34"/>
      <c r="AC138" s="34"/>
      <c r="AD138" s="34"/>
      <c r="AE138" s="34"/>
      <c r="AR138" s="151" t="s">
        <v>185</v>
      </c>
      <c r="AT138" s="151" t="s">
        <v>180</v>
      </c>
      <c r="AU138" s="151" t="s">
        <v>87</v>
      </c>
      <c r="AY138" s="19" t="s">
        <v>177</v>
      </c>
      <c r="BE138" s="152">
        <f>IF(N138="základní",J138,0)</f>
        <v>0</v>
      </c>
      <c r="BF138" s="152">
        <f>IF(N138="snížená",J138,0)</f>
        <v>0</v>
      </c>
      <c r="BG138" s="152">
        <f>IF(N138="zákl. přenesená",J138,0)</f>
        <v>0</v>
      </c>
      <c r="BH138" s="152">
        <f>IF(N138="sníž. přenesená",J138,0)</f>
        <v>0</v>
      </c>
      <c r="BI138" s="152">
        <f>IF(N138="nulová",J138,0)</f>
        <v>0</v>
      </c>
      <c r="BJ138" s="19" t="s">
        <v>85</v>
      </c>
      <c r="BK138" s="152">
        <f>ROUND(I138*H138,2)</f>
        <v>0</v>
      </c>
      <c r="BL138" s="19" t="s">
        <v>185</v>
      </c>
      <c r="BM138" s="151" t="s">
        <v>2360</v>
      </c>
    </row>
    <row r="139" spans="1:65" s="2" customFormat="1">
      <c r="A139" s="34"/>
      <c r="B139" s="35"/>
      <c r="C139" s="34"/>
      <c r="D139" s="153" t="s">
        <v>187</v>
      </c>
      <c r="E139" s="34"/>
      <c r="F139" s="154" t="s">
        <v>2361</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187</v>
      </c>
      <c r="AU139" s="19" t="s">
        <v>87</v>
      </c>
    </row>
    <row r="140" spans="1:65" s="2" customFormat="1">
      <c r="A140" s="34"/>
      <c r="B140" s="35"/>
      <c r="C140" s="34"/>
      <c r="D140" s="158" t="s">
        <v>189</v>
      </c>
      <c r="E140" s="34"/>
      <c r="F140" s="159" t="s">
        <v>2362</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189</v>
      </c>
      <c r="AU140" s="19" t="s">
        <v>87</v>
      </c>
    </row>
    <row r="141" spans="1:65" s="2" customFormat="1" ht="58.5">
      <c r="A141" s="34"/>
      <c r="B141" s="35"/>
      <c r="C141" s="34"/>
      <c r="D141" s="153" t="s">
        <v>191</v>
      </c>
      <c r="E141" s="34"/>
      <c r="F141" s="160" t="s">
        <v>2363</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191</v>
      </c>
      <c r="AU141" s="19" t="s">
        <v>87</v>
      </c>
    </row>
    <row r="142" spans="1:65" s="14" customFormat="1">
      <c r="B142" s="169"/>
      <c r="D142" s="153" t="s">
        <v>193</v>
      </c>
      <c r="E142" s="170" t="s">
        <v>3</v>
      </c>
      <c r="F142" s="171" t="s">
        <v>2332</v>
      </c>
      <c r="H142" s="170" t="s">
        <v>3</v>
      </c>
      <c r="I142" s="172"/>
      <c r="L142" s="169"/>
      <c r="M142" s="173"/>
      <c r="N142" s="174"/>
      <c r="O142" s="174"/>
      <c r="P142" s="174"/>
      <c r="Q142" s="174"/>
      <c r="R142" s="174"/>
      <c r="S142" s="174"/>
      <c r="T142" s="175"/>
      <c r="AT142" s="170" t="s">
        <v>193</v>
      </c>
      <c r="AU142" s="170" t="s">
        <v>87</v>
      </c>
      <c r="AV142" s="14" t="s">
        <v>85</v>
      </c>
      <c r="AW142" s="14" t="s">
        <v>36</v>
      </c>
      <c r="AX142" s="14" t="s">
        <v>77</v>
      </c>
      <c r="AY142" s="170" t="s">
        <v>177</v>
      </c>
    </row>
    <row r="143" spans="1:65" s="13" customFormat="1">
      <c r="B143" s="161"/>
      <c r="D143" s="153" t="s">
        <v>193</v>
      </c>
      <c r="E143" s="162" t="s">
        <v>3</v>
      </c>
      <c r="F143" s="163" t="s">
        <v>2333</v>
      </c>
      <c r="H143" s="164">
        <v>1.1519999999999999</v>
      </c>
      <c r="I143" s="165"/>
      <c r="L143" s="161"/>
      <c r="M143" s="166"/>
      <c r="N143" s="167"/>
      <c r="O143" s="167"/>
      <c r="P143" s="167"/>
      <c r="Q143" s="167"/>
      <c r="R143" s="167"/>
      <c r="S143" s="167"/>
      <c r="T143" s="168"/>
      <c r="AT143" s="162" t="s">
        <v>193</v>
      </c>
      <c r="AU143" s="162" t="s">
        <v>87</v>
      </c>
      <c r="AV143" s="13" t="s">
        <v>87</v>
      </c>
      <c r="AW143" s="13" t="s">
        <v>36</v>
      </c>
      <c r="AX143" s="13" t="s">
        <v>85</v>
      </c>
      <c r="AY143" s="162" t="s">
        <v>177</v>
      </c>
    </row>
    <row r="144" spans="1:65" s="2" customFormat="1" ht="16.5" customHeight="1">
      <c r="A144" s="34"/>
      <c r="B144" s="139"/>
      <c r="C144" s="140" t="s">
        <v>252</v>
      </c>
      <c r="D144" s="140" t="s">
        <v>180</v>
      </c>
      <c r="E144" s="141" t="s">
        <v>2364</v>
      </c>
      <c r="F144" s="142" t="s">
        <v>2365</v>
      </c>
      <c r="G144" s="143" t="s">
        <v>808</v>
      </c>
      <c r="H144" s="144">
        <v>0.14399999999999999</v>
      </c>
      <c r="I144" s="145"/>
      <c r="J144" s="146">
        <f>ROUND(I144*H144,2)</f>
        <v>0</v>
      </c>
      <c r="K144" s="142" t="s">
        <v>184</v>
      </c>
      <c r="L144" s="35"/>
      <c r="M144" s="147" t="s">
        <v>3</v>
      </c>
      <c r="N144" s="148" t="s">
        <v>48</v>
      </c>
      <c r="O144" s="55"/>
      <c r="P144" s="149">
        <f>O144*H144</f>
        <v>0</v>
      </c>
      <c r="Q144" s="149">
        <v>2.5018722040000001</v>
      </c>
      <c r="R144" s="149">
        <f>Q144*H144</f>
        <v>0.36026959737600001</v>
      </c>
      <c r="S144" s="149">
        <v>0</v>
      </c>
      <c r="T144" s="150">
        <f>S144*H144</f>
        <v>0</v>
      </c>
      <c r="U144" s="34"/>
      <c r="V144" s="34"/>
      <c r="W144" s="34"/>
      <c r="X144" s="34"/>
      <c r="Y144" s="34"/>
      <c r="Z144" s="34"/>
      <c r="AA144" s="34"/>
      <c r="AB144" s="34"/>
      <c r="AC144" s="34"/>
      <c r="AD144" s="34"/>
      <c r="AE144" s="34"/>
      <c r="AR144" s="151" t="s">
        <v>185</v>
      </c>
      <c r="AT144" s="151" t="s">
        <v>180</v>
      </c>
      <c r="AU144" s="151" t="s">
        <v>87</v>
      </c>
      <c r="AY144" s="19" t="s">
        <v>177</v>
      </c>
      <c r="BE144" s="152">
        <f>IF(N144="základní",J144,0)</f>
        <v>0</v>
      </c>
      <c r="BF144" s="152">
        <f>IF(N144="snížená",J144,0)</f>
        <v>0</v>
      </c>
      <c r="BG144" s="152">
        <f>IF(N144="zákl. přenesená",J144,0)</f>
        <v>0</v>
      </c>
      <c r="BH144" s="152">
        <f>IF(N144="sníž. přenesená",J144,0)</f>
        <v>0</v>
      </c>
      <c r="BI144" s="152">
        <f>IF(N144="nulová",J144,0)</f>
        <v>0</v>
      </c>
      <c r="BJ144" s="19" t="s">
        <v>85</v>
      </c>
      <c r="BK144" s="152">
        <f>ROUND(I144*H144,2)</f>
        <v>0</v>
      </c>
      <c r="BL144" s="19" t="s">
        <v>185</v>
      </c>
      <c r="BM144" s="151" t="s">
        <v>2366</v>
      </c>
    </row>
    <row r="145" spans="1:65" s="2" customFormat="1">
      <c r="A145" s="34"/>
      <c r="B145" s="35"/>
      <c r="C145" s="34"/>
      <c r="D145" s="153" t="s">
        <v>187</v>
      </c>
      <c r="E145" s="34"/>
      <c r="F145" s="154" t="s">
        <v>2367</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187</v>
      </c>
      <c r="AU145" s="19" t="s">
        <v>87</v>
      </c>
    </row>
    <row r="146" spans="1:65" s="2" customFormat="1">
      <c r="A146" s="34"/>
      <c r="B146" s="35"/>
      <c r="C146" s="34"/>
      <c r="D146" s="158" t="s">
        <v>189</v>
      </c>
      <c r="E146" s="34"/>
      <c r="F146" s="159" t="s">
        <v>2368</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189</v>
      </c>
      <c r="AU146" s="19" t="s">
        <v>87</v>
      </c>
    </row>
    <row r="147" spans="1:65" s="2" customFormat="1" ht="58.5">
      <c r="A147" s="34"/>
      <c r="B147" s="35"/>
      <c r="C147" s="34"/>
      <c r="D147" s="153" t="s">
        <v>191</v>
      </c>
      <c r="E147" s="34"/>
      <c r="F147" s="160" t="s">
        <v>2363</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191</v>
      </c>
      <c r="AU147" s="19" t="s">
        <v>87</v>
      </c>
    </row>
    <row r="148" spans="1:65" s="12" customFormat="1" ht="22.9" customHeight="1">
      <c r="B148" s="126"/>
      <c r="D148" s="127" t="s">
        <v>76</v>
      </c>
      <c r="E148" s="137" t="s">
        <v>198</v>
      </c>
      <c r="F148" s="137" t="s">
        <v>560</v>
      </c>
      <c r="I148" s="129"/>
      <c r="J148" s="138">
        <f>BK148</f>
        <v>0</v>
      </c>
      <c r="L148" s="126"/>
      <c r="M148" s="131"/>
      <c r="N148" s="132"/>
      <c r="O148" s="132"/>
      <c r="P148" s="133">
        <f>SUM(P149:P153)</f>
        <v>0</v>
      </c>
      <c r="Q148" s="132"/>
      <c r="R148" s="133">
        <f>SUM(R149:R153)</f>
        <v>1.9327795199999998</v>
      </c>
      <c r="S148" s="132"/>
      <c r="T148" s="134">
        <f>SUM(T149:T153)</f>
        <v>0</v>
      </c>
      <c r="AR148" s="127" t="s">
        <v>85</v>
      </c>
      <c r="AT148" s="135" t="s">
        <v>76</v>
      </c>
      <c r="AU148" s="135" t="s">
        <v>85</v>
      </c>
      <c r="AY148" s="127" t="s">
        <v>177</v>
      </c>
      <c r="BK148" s="136">
        <f>SUM(BK149:BK153)</f>
        <v>0</v>
      </c>
    </row>
    <row r="149" spans="1:65" s="2" customFormat="1" ht="16.5" customHeight="1">
      <c r="A149" s="34"/>
      <c r="B149" s="139"/>
      <c r="C149" s="140" t="s">
        <v>258</v>
      </c>
      <c r="D149" s="140" t="s">
        <v>180</v>
      </c>
      <c r="E149" s="141" t="s">
        <v>2369</v>
      </c>
      <c r="F149" s="142" t="s">
        <v>2370</v>
      </c>
      <c r="G149" s="143" t="s">
        <v>332</v>
      </c>
      <c r="H149" s="144">
        <v>3.36</v>
      </c>
      <c r="I149" s="145"/>
      <c r="J149" s="146">
        <f>ROUND(I149*H149,2)</f>
        <v>0</v>
      </c>
      <c r="K149" s="142" t="s">
        <v>184</v>
      </c>
      <c r="L149" s="35"/>
      <c r="M149" s="147" t="s">
        <v>3</v>
      </c>
      <c r="N149" s="148" t="s">
        <v>48</v>
      </c>
      <c r="O149" s="55"/>
      <c r="P149" s="149">
        <f>O149*H149</f>
        <v>0</v>
      </c>
      <c r="Q149" s="149">
        <v>0.57523199999999997</v>
      </c>
      <c r="R149" s="149">
        <f>Q149*H149</f>
        <v>1.9327795199999998</v>
      </c>
      <c r="S149" s="149">
        <v>0</v>
      </c>
      <c r="T149" s="150">
        <f>S149*H149</f>
        <v>0</v>
      </c>
      <c r="U149" s="34"/>
      <c r="V149" s="34"/>
      <c r="W149" s="34"/>
      <c r="X149" s="34"/>
      <c r="Y149" s="34"/>
      <c r="Z149" s="34"/>
      <c r="AA149" s="34"/>
      <c r="AB149" s="34"/>
      <c r="AC149" s="34"/>
      <c r="AD149" s="34"/>
      <c r="AE149" s="34"/>
      <c r="AR149" s="151" t="s">
        <v>185</v>
      </c>
      <c r="AT149" s="151" t="s">
        <v>180</v>
      </c>
      <c r="AU149" s="151" t="s">
        <v>87</v>
      </c>
      <c r="AY149" s="19" t="s">
        <v>177</v>
      </c>
      <c r="BE149" s="152">
        <f>IF(N149="základní",J149,0)</f>
        <v>0</v>
      </c>
      <c r="BF149" s="152">
        <f>IF(N149="snížená",J149,0)</f>
        <v>0</v>
      </c>
      <c r="BG149" s="152">
        <f>IF(N149="zákl. přenesená",J149,0)</f>
        <v>0</v>
      </c>
      <c r="BH149" s="152">
        <f>IF(N149="sníž. přenesená",J149,0)</f>
        <v>0</v>
      </c>
      <c r="BI149" s="152">
        <f>IF(N149="nulová",J149,0)</f>
        <v>0</v>
      </c>
      <c r="BJ149" s="19" t="s">
        <v>85</v>
      </c>
      <c r="BK149" s="152">
        <f>ROUND(I149*H149,2)</f>
        <v>0</v>
      </c>
      <c r="BL149" s="19" t="s">
        <v>185</v>
      </c>
      <c r="BM149" s="151" t="s">
        <v>2371</v>
      </c>
    </row>
    <row r="150" spans="1:65" s="2" customFormat="1" ht="19.5">
      <c r="A150" s="34"/>
      <c r="B150" s="35"/>
      <c r="C150" s="34"/>
      <c r="D150" s="153" t="s">
        <v>187</v>
      </c>
      <c r="E150" s="34"/>
      <c r="F150" s="154" t="s">
        <v>2372</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187</v>
      </c>
      <c r="AU150" s="19" t="s">
        <v>87</v>
      </c>
    </row>
    <row r="151" spans="1:65" s="2" customFormat="1">
      <c r="A151" s="34"/>
      <c r="B151" s="35"/>
      <c r="C151" s="34"/>
      <c r="D151" s="158" t="s">
        <v>189</v>
      </c>
      <c r="E151" s="34"/>
      <c r="F151" s="159" t="s">
        <v>2373</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189</v>
      </c>
      <c r="AU151" s="19" t="s">
        <v>87</v>
      </c>
    </row>
    <row r="152" spans="1:65" s="14" customFormat="1">
      <c r="B152" s="169"/>
      <c r="D152" s="153" t="s">
        <v>193</v>
      </c>
      <c r="E152" s="170" t="s">
        <v>3</v>
      </c>
      <c r="F152" s="171" t="s">
        <v>2332</v>
      </c>
      <c r="H152" s="170" t="s">
        <v>3</v>
      </c>
      <c r="I152" s="172"/>
      <c r="L152" s="169"/>
      <c r="M152" s="173"/>
      <c r="N152" s="174"/>
      <c r="O152" s="174"/>
      <c r="P152" s="174"/>
      <c r="Q152" s="174"/>
      <c r="R152" s="174"/>
      <c r="S152" s="174"/>
      <c r="T152" s="175"/>
      <c r="AT152" s="170" t="s">
        <v>193</v>
      </c>
      <c r="AU152" s="170" t="s">
        <v>87</v>
      </c>
      <c r="AV152" s="14" t="s">
        <v>85</v>
      </c>
      <c r="AW152" s="14" t="s">
        <v>36</v>
      </c>
      <c r="AX152" s="14" t="s">
        <v>77</v>
      </c>
      <c r="AY152" s="170" t="s">
        <v>177</v>
      </c>
    </row>
    <row r="153" spans="1:65" s="13" customFormat="1">
      <c r="B153" s="161"/>
      <c r="D153" s="153" t="s">
        <v>193</v>
      </c>
      <c r="E153" s="162" t="s">
        <v>3</v>
      </c>
      <c r="F153" s="163" t="s">
        <v>2374</v>
      </c>
      <c r="H153" s="164">
        <v>3.36</v>
      </c>
      <c r="I153" s="165"/>
      <c r="L153" s="161"/>
      <c r="M153" s="166"/>
      <c r="N153" s="167"/>
      <c r="O153" s="167"/>
      <c r="P153" s="167"/>
      <c r="Q153" s="167"/>
      <c r="R153" s="167"/>
      <c r="S153" s="167"/>
      <c r="T153" s="168"/>
      <c r="AT153" s="162" t="s">
        <v>193</v>
      </c>
      <c r="AU153" s="162" t="s">
        <v>87</v>
      </c>
      <c r="AV153" s="13" t="s">
        <v>87</v>
      </c>
      <c r="AW153" s="13" t="s">
        <v>36</v>
      </c>
      <c r="AX153" s="13" t="s">
        <v>85</v>
      </c>
      <c r="AY153" s="162" t="s">
        <v>177</v>
      </c>
    </row>
    <row r="154" spans="1:65" s="12" customFormat="1" ht="22.9" customHeight="1">
      <c r="B154" s="126"/>
      <c r="D154" s="127" t="s">
        <v>76</v>
      </c>
      <c r="E154" s="137" t="s">
        <v>185</v>
      </c>
      <c r="F154" s="137" t="s">
        <v>1577</v>
      </c>
      <c r="I154" s="129"/>
      <c r="J154" s="138">
        <f>BK154</f>
        <v>0</v>
      </c>
      <c r="L154" s="126"/>
      <c r="M154" s="131"/>
      <c r="N154" s="132"/>
      <c r="O154" s="132"/>
      <c r="P154" s="133">
        <f>P155</f>
        <v>0</v>
      </c>
      <c r="Q154" s="132"/>
      <c r="R154" s="133">
        <f>R155</f>
        <v>4.1794704646217005</v>
      </c>
      <c r="S154" s="132"/>
      <c r="T154" s="134">
        <f>T155</f>
        <v>0</v>
      </c>
      <c r="AR154" s="127" t="s">
        <v>85</v>
      </c>
      <c r="AT154" s="135" t="s">
        <v>76</v>
      </c>
      <c r="AU154" s="135" t="s">
        <v>85</v>
      </c>
      <c r="AY154" s="127" t="s">
        <v>177</v>
      </c>
      <c r="BK154" s="136">
        <f>BK155</f>
        <v>0</v>
      </c>
    </row>
    <row r="155" spans="1:65" s="12" customFormat="1" ht="20.85" customHeight="1">
      <c r="B155" s="126"/>
      <c r="D155" s="127" t="s">
        <v>76</v>
      </c>
      <c r="E155" s="137" t="s">
        <v>1132</v>
      </c>
      <c r="F155" s="137" t="s">
        <v>1956</v>
      </c>
      <c r="I155" s="129"/>
      <c r="J155" s="138">
        <f>BK155</f>
        <v>0</v>
      </c>
      <c r="L155" s="126"/>
      <c r="M155" s="131"/>
      <c r="N155" s="132"/>
      <c r="O155" s="132"/>
      <c r="P155" s="133">
        <f>SUM(P156:P182)</f>
        <v>0</v>
      </c>
      <c r="Q155" s="132"/>
      <c r="R155" s="133">
        <f>SUM(R156:R182)</f>
        <v>4.1794704646217005</v>
      </c>
      <c r="S155" s="132"/>
      <c r="T155" s="134">
        <f>SUM(T156:T182)</f>
        <v>0</v>
      </c>
      <c r="AR155" s="127" t="s">
        <v>85</v>
      </c>
      <c r="AT155" s="135" t="s">
        <v>76</v>
      </c>
      <c r="AU155" s="135" t="s">
        <v>87</v>
      </c>
      <c r="AY155" s="127" t="s">
        <v>177</v>
      </c>
      <c r="BK155" s="136">
        <f>SUM(BK156:BK182)</f>
        <v>0</v>
      </c>
    </row>
    <row r="156" spans="1:65" s="2" customFormat="1" ht="16.5" customHeight="1">
      <c r="A156" s="34"/>
      <c r="B156" s="139"/>
      <c r="C156" s="140" t="s">
        <v>265</v>
      </c>
      <c r="D156" s="140" t="s">
        <v>180</v>
      </c>
      <c r="E156" s="141" t="s">
        <v>1957</v>
      </c>
      <c r="F156" s="142" t="s">
        <v>1958</v>
      </c>
      <c r="G156" s="143" t="s">
        <v>808</v>
      </c>
      <c r="H156" s="144">
        <v>1.579</v>
      </c>
      <c r="I156" s="145"/>
      <c r="J156" s="146">
        <f>ROUND(I156*H156,2)</f>
        <v>0</v>
      </c>
      <c r="K156" s="142" t="s">
        <v>184</v>
      </c>
      <c r="L156" s="35"/>
      <c r="M156" s="147" t="s">
        <v>3</v>
      </c>
      <c r="N156" s="148" t="s">
        <v>48</v>
      </c>
      <c r="O156" s="55"/>
      <c r="P156" s="149">
        <f>O156*H156</f>
        <v>0</v>
      </c>
      <c r="Q156" s="149">
        <v>2.50194574</v>
      </c>
      <c r="R156" s="149">
        <f>Q156*H156</f>
        <v>3.9505723234599999</v>
      </c>
      <c r="S156" s="149">
        <v>0</v>
      </c>
      <c r="T156" s="150">
        <f>S156*H156</f>
        <v>0</v>
      </c>
      <c r="U156" s="34"/>
      <c r="V156" s="34"/>
      <c r="W156" s="34"/>
      <c r="X156" s="34"/>
      <c r="Y156" s="34"/>
      <c r="Z156" s="34"/>
      <c r="AA156" s="34"/>
      <c r="AB156" s="34"/>
      <c r="AC156" s="34"/>
      <c r="AD156" s="34"/>
      <c r="AE156" s="34"/>
      <c r="AR156" s="151" t="s">
        <v>185</v>
      </c>
      <c r="AT156" s="151" t="s">
        <v>180</v>
      </c>
      <c r="AU156" s="151" t="s">
        <v>198</v>
      </c>
      <c r="AY156" s="19" t="s">
        <v>177</v>
      </c>
      <c r="BE156" s="152">
        <f>IF(N156="základní",J156,0)</f>
        <v>0</v>
      </c>
      <c r="BF156" s="152">
        <f>IF(N156="snížená",J156,0)</f>
        <v>0</v>
      </c>
      <c r="BG156" s="152">
        <f>IF(N156="zákl. přenesená",J156,0)</f>
        <v>0</v>
      </c>
      <c r="BH156" s="152">
        <f>IF(N156="sníž. přenesená",J156,0)</f>
        <v>0</v>
      </c>
      <c r="BI156" s="152">
        <f>IF(N156="nulová",J156,0)</f>
        <v>0</v>
      </c>
      <c r="BJ156" s="19" t="s">
        <v>85</v>
      </c>
      <c r="BK156" s="152">
        <f>ROUND(I156*H156,2)</f>
        <v>0</v>
      </c>
      <c r="BL156" s="19" t="s">
        <v>185</v>
      </c>
      <c r="BM156" s="151" t="s">
        <v>2375</v>
      </c>
    </row>
    <row r="157" spans="1:65" s="2" customFormat="1">
      <c r="A157" s="34"/>
      <c r="B157" s="35"/>
      <c r="C157" s="34"/>
      <c r="D157" s="153" t="s">
        <v>187</v>
      </c>
      <c r="E157" s="34"/>
      <c r="F157" s="154" t="s">
        <v>1960</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187</v>
      </c>
      <c r="AU157" s="19" t="s">
        <v>198</v>
      </c>
    </row>
    <row r="158" spans="1:65" s="2" customFormat="1">
      <c r="A158" s="34"/>
      <c r="B158" s="35"/>
      <c r="C158" s="34"/>
      <c r="D158" s="158" t="s">
        <v>189</v>
      </c>
      <c r="E158" s="34"/>
      <c r="F158" s="159" t="s">
        <v>1961</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189</v>
      </c>
      <c r="AU158" s="19" t="s">
        <v>198</v>
      </c>
    </row>
    <row r="159" spans="1:65" s="14" customFormat="1">
      <c r="B159" s="169"/>
      <c r="D159" s="153" t="s">
        <v>193</v>
      </c>
      <c r="E159" s="170" t="s">
        <v>3</v>
      </c>
      <c r="F159" s="171" t="s">
        <v>2332</v>
      </c>
      <c r="H159" s="170" t="s">
        <v>3</v>
      </c>
      <c r="I159" s="172"/>
      <c r="L159" s="169"/>
      <c r="M159" s="173"/>
      <c r="N159" s="174"/>
      <c r="O159" s="174"/>
      <c r="P159" s="174"/>
      <c r="Q159" s="174"/>
      <c r="R159" s="174"/>
      <c r="S159" s="174"/>
      <c r="T159" s="175"/>
      <c r="AT159" s="170" t="s">
        <v>193</v>
      </c>
      <c r="AU159" s="170" t="s">
        <v>198</v>
      </c>
      <c r="AV159" s="14" t="s">
        <v>85</v>
      </c>
      <c r="AW159" s="14" t="s">
        <v>36</v>
      </c>
      <c r="AX159" s="14" t="s">
        <v>77</v>
      </c>
      <c r="AY159" s="170" t="s">
        <v>177</v>
      </c>
    </row>
    <row r="160" spans="1:65" s="13" customFormat="1">
      <c r="B160" s="161"/>
      <c r="D160" s="153" t="s">
        <v>193</v>
      </c>
      <c r="E160" s="162" t="s">
        <v>3</v>
      </c>
      <c r="F160" s="163" t="s">
        <v>2376</v>
      </c>
      <c r="H160" s="164">
        <v>1.075</v>
      </c>
      <c r="I160" s="165"/>
      <c r="L160" s="161"/>
      <c r="M160" s="166"/>
      <c r="N160" s="167"/>
      <c r="O160" s="167"/>
      <c r="P160" s="167"/>
      <c r="Q160" s="167"/>
      <c r="R160" s="167"/>
      <c r="S160" s="167"/>
      <c r="T160" s="168"/>
      <c r="AT160" s="162" t="s">
        <v>193</v>
      </c>
      <c r="AU160" s="162" t="s">
        <v>198</v>
      </c>
      <c r="AV160" s="13" t="s">
        <v>87</v>
      </c>
      <c r="AW160" s="13" t="s">
        <v>36</v>
      </c>
      <c r="AX160" s="13" t="s">
        <v>77</v>
      </c>
      <c r="AY160" s="162" t="s">
        <v>177</v>
      </c>
    </row>
    <row r="161" spans="1:65" s="13" customFormat="1">
      <c r="B161" s="161"/>
      <c r="D161" s="153" t="s">
        <v>193</v>
      </c>
      <c r="E161" s="162" t="s">
        <v>3</v>
      </c>
      <c r="F161" s="163" t="s">
        <v>2377</v>
      </c>
      <c r="H161" s="164">
        <v>0.504</v>
      </c>
      <c r="I161" s="165"/>
      <c r="L161" s="161"/>
      <c r="M161" s="166"/>
      <c r="N161" s="167"/>
      <c r="O161" s="167"/>
      <c r="P161" s="167"/>
      <c r="Q161" s="167"/>
      <c r="R161" s="167"/>
      <c r="S161" s="167"/>
      <c r="T161" s="168"/>
      <c r="AT161" s="162" t="s">
        <v>193</v>
      </c>
      <c r="AU161" s="162" t="s">
        <v>198</v>
      </c>
      <c r="AV161" s="13" t="s">
        <v>87</v>
      </c>
      <c r="AW161" s="13" t="s">
        <v>36</v>
      </c>
      <c r="AX161" s="13" t="s">
        <v>77</v>
      </c>
      <c r="AY161" s="162" t="s">
        <v>177</v>
      </c>
    </row>
    <row r="162" spans="1:65" s="16" customFormat="1">
      <c r="B162" s="184"/>
      <c r="D162" s="153" t="s">
        <v>193</v>
      </c>
      <c r="E162" s="185" t="s">
        <v>3</v>
      </c>
      <c r="F162" s="186" t="s">
        <v>201</v>
      </c>
      <c r="H162" s="187">
        <v>1.579</v>
      </c>
      <c r="I162" s="188"/>
      <c r="L162" s="184"/>
      <c r="M162" s="189"/>
      <c r="N162" s="190"/>
      <c r="O162" s="190"/>
      <c r="P162" s="190"/>
      <c r="Q162" s="190"/>
      <c r="R162" s="190"/>
      <c r="S162" s="190"/>
      <c r="T162" s="191"/>
      <c r="AT162" s="185" t="s">
        <v>193</v>
      </c>
      <c r="AU162" s="185" t="s">
        <v>198</v>
      </c>
      <c r="AV162" s="16" t="s">
        <v>185</v>
      </c>
      <c r="AW162" s="16" t="s">
        <v>36</v>
      </c>
      <c r="AX162" s="16" t="s">
        <v>85</v>
      </c>
      <c r="AY162" s="185" t="s">
        <v>177</v>
      </c>
    </row>
    <row r="163" spans="1:65" s="2" customFormat="1" ht="16.5" customHeight="1">
      <c r="A163" s="34"/>
      <c r="B163" s="139"/>
      <c r="C163" s="140" t="s">
        <v>271</v>
      </c>
      <c r="D163" s="140" t="s">
        <v>180</v>
      </c>
      <c r="E163" s="141" t="s">
        <v>1971</v>
      </c>
      <c r="F163" s="142" t="s">
        <v>1972</v>
      </c>
      <c r="G163" s="143" t="s">
        <v>183</v>
      </c>
      <c r="H163" s="144">
        <v>6.0999999999999999E-2</v>
      </c>
      <c r="I163" s="145"/>
      <c r="J163" s="146">
        <f>ROUND(I163*H163,2)</f>
        <v>0</v>
      </c>
      <c r="K163" s="142" t="s">
        <v>184</v>
      </c>
      <c r="L163" s="35"/>
      <c r="M163" s="147" t="s">
        <v>3</v>
      </c>
      <c r="N163" s="148" t="s">
        <v>48</v>
      </c>
      <c r="O163" s="55"/>
      <c r="P163" s="149">
        <f>O163*H163</f>
        <v>0</v>
      </c>
      <c r="Q163" s="149">
        <v>1.0627727796999999</v>
      </c>
      <c r="R163" s="149">
        <f>Q163*H163</f>
        <v>6.48291395617E-2</v>
      </c>
      <c r="S163" s="149">
        <v>0</v>
      </c>
      <c r="T163" s="150">
        <f>S163*H163</f>
        <v>0</v>
      </c>
      <c r="U163" s="34"/>
      <c r="V163" s="34"/>
      <c r="W163" s="34"/>
      <c r="X163" s="34"/>
      <c r="Y163" s="34"/>
      <c r="Z163" s="34"/>
      <c r="AA163" s="34"/>
      <c r="AB163" s="34"/>
      <c r="AC163" s="34"/>
      <c r="AD163" s="34"/>
      <c r="AE163" s="34"/>
      <c r="AR163" s="151" t="s">
        <v>185</v>
      </c>
      <c r="AT163" s="151" t="s">
        <v>180</v>
      </c>
      <c r="AU163" s="151" t="s">
        <v>198</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2378</v>
      </c>
    </row>
    <row r="164" spans="1:65" s="2" customFormat="1">
      <c r="A164" s="34"/>
      <c r="B164" s="35"/>
      <c r="C164" s="34"/>
      <c r="D164" s="153" t="s">
        <v>187</v>
      </c>
      <c r="E164" s="34"/>
      <c r="F164" s="154" t="s">
        <v>1974</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198</v>
      </c>
    </row>
    <row r="165" spans="1:65" s="2" customFormat="1">
      <c r="A165" s="34"/>
      <c r="B165" s="35"/>
      <c r="C165" s="34"/>
      <c r="D165" s="158" t="s">
        <v>189</v>
      </c>
      <c r="E165" s="34"/>
      <c r="F165" s="159" t="s">
        <v>1975</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189</v>
      </c>
      <c r="AU165" s="19" t="s">
        <v>198</v>
      </c>
    </row>
    <row r="166" spans="1:65" s="14" customFormat="1">
      <c r="B166" s="169"/>
      <c r="D166" s="153" t="s">
        <v>193</v>
      </c>
      <c r="E166" s="170" t="s">
        <v>3</v>
      </c>
      <c r="F166" s="171" t="s">
        <v>2379</v>
      </c>
      <c r="H166" s="170" t="s">
        <v>3</v>
      </c>
      <c r="I166" s="172"/>
      <c r="L166" s="169"/>
      <c r="M166" s="173"/>
      <c r="N166" s="174"/>
      <c r="O166" s="174"/>
      <c r="P166" s="174"/>
      <c r="Q166" s="174"/>
      <c r="R166" s="174"/>
      <c r="S166" s="174"/>
      <c r="T166" s="175"/>
      <c r="AT166" s="170" t="s">
        <v>193</v>
      </c>
      <c r="AU166" s="170" t="s">
        <v>198</v>
      </c>
      <c r="AV166" s="14" t="s">
        <v>85</v>
      </c>
      <c r="AW166" s="14" t="s">
        <v>36</v>
      </c>
      <c r="AX166" s="14" t="s">
        <v>77</v>
      </c>
      <c r="AY166" s="170" t="s">
        <v>177</v>
      </c>
    </row>
    <row r="167" spans="1:65" s="13" customFormat="1">
      <c r="B167" s="161"/>
      <c r="D167" s="153" t="s">
        <v>193</v>
      </c>
      <c r="E167" s="162" t="s">
        <v>3</v>
      </c>
      <c r="F167" s="163" t="s">
        <v>2380</v>
      </c>
      <c r="H167" s="164">
        <v>6.0999999999999999E-2</v>
      </c>
      <c r="I167" s="165"/>
      <c r="L167" s="161"/>
      <c r="M167" s="166"/>
      <c r="N167" s="167"/>
      <c r="O167" s="167"/>
      <c r="P167" s="167"/>
      <c r="Q167" s="167"/>
      <c r="R167" s="167"/>
      <c r="S167" s="167"/>
      <c r="T167" s="168"/>
      <c r="AT167" s="162" t="s">
        <v>193</v>
      </c>
      <c r="AU167" s="162" t="s">
        <v>198</v>
      </c>
      <c r="AV167" s="13" t="s">
        <v>87</v>
      </c>
      <c r="AW167" s="13" t="s">
        <v>36</v>
      </c>
      <c r="AX167" s="13" t="s">
        <v>85</v>
      </c>
      <c r="AY167" s="162" t="s">
        <v>177</v>
      </c>
    </row>
    <row r="168" spans="1:65" s="2" customFormat="1" ht="16.5" customHeight="1">
      <c r="A168" s="34"/>
      <c r="B168" s="139"/>
      <c r="C168" s="140" t="s">
        <v>277</v>
      </c>
      <c r="D168" s="140" t="s">
        <v>180</v>
      </c>
      <c r="E168" s="141" t="s">
        <v>1977</v>
      </c>
      <c r="F168" s="142" t="s">
        <v>1978</v>
      </c>
      <c r="G168" s="143" t="s">
        <v>332</v>
      </c>
      <c r="H168" s="144">
        <v>10</v>
      </c>
      <c r="I168" s="145"/>
      <c r="J168" s="146">
        <f>ROUND(I168*H168,2)</f>
        <v>0</v>
      </c>
      <c r="K168" s="142" t="s">
        <v>184</v>
      </c>
      <c r="L168" s="35"/>
      <c r="M168" s="147" t="s">
        <v>3</v>
      </c>
      <c r="N168" s="148" t="s">
        <v>48</v>
      </c>
      <c r="O168" s="55"/>
      <c r="P168" s="149">
        <f>O168*H168</f>
        <v>0</v>
      </c>
      <c r="Q168" s="149">
        <v>1.2824856000000001E-2</v>
      </c>
      <c r="R168" s="149">
        <f>Q168*H168</f>
        <v>0.12824856000000001</v>
      </c>
      <c r="S168" s="149">
        <v>0</v>
      </c>
      <c r="T168" s="150">
        <f>S168*H168</f>
        <v>0</v>
      </c>
      <c r="U168" s="34"/>
      <c r="V168" s="34"/>
      <c r="W168" s="34"/>
      <c r="X168" s="34"/>
      <c r="Y168" s="34"/>
      <c r="Z168" s="34"/>
      <c r="AA168" s="34"/>
      <c r="AB168" s="34"/>
      <c r="AC168" s="34"/>
      <c r="AD168" s="34"/>
      <c r="AE168" s="34"/>
      <c r="AR168" s="151" t="s">
        <v>185</v>
      </c>
      <c r="AT168" s="151" t="s">
        <v>180</v>
      </c>
      <c r="AU168" s="151" t="s">
        <v>198</v>
      </c>
      <c r="AY168" s="19" t="s">
        <v>177</v>
      </c>
      <c r="BE168" s="152">
        <f>IF(N168="základní",J168,0)</f>
        <v>0</v>
      </c>
      <c r="BF168" s="152">
        <f>IF(N168="snížená",J168,0)</f>
        <v>0</v>
      </c>
      <c r="BG168" s="152">
        <f>IF(N168="zákl. přenesená",J168,0)</f>
        <v>0</v>
      </c>
      <c r="BH168" s="152">
        <f>IF(N168="sníž. přenesená",J168,0)</f>
        <v>0</v>
      </c>
      <c r="BI168" s="152">
        <f>IF(N168="nulová",J168,0)</f>
        <v>0</v>
      </c>
      <c r="BJ168" s="19" t="s">
        <v>85</v>
      </c>
      <c r="BK168" s="152">
        <f>ROUND(I168*H168,2)</f>
        <v>0</v>
      </c>
      <c r="BL168" s="19" t="s">
        <v>185</v>
      </c>
      <c r="BM168" s="151" t="s">
        <v>2381</v>
      </c>
    </row>
    <row r="169" spans="1:65" s="2" customFormat="1">
      <c r="A169" s="34"/>
      <c r="B169" s="35"/>
      <c r="C169" s="34"/>
      <c r="D169" s="153" t="s">
        <v>187</v>
      </c>
      <c r="E169" s="34"/>
      <c r="F169" s="154" t="s">
        <v>1980</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187</v>
      </c>
      <c r="AU169" s="19" t="s">
        <v>198</v>
      </c>
    </row>
    <row r="170" spans="1:65" s="2" customFormat="1">
      <c r="A170" s="34"/>
      <c r="B170" s="35"/>
      <c r="C170" s="34"/>
      <c r="D170" s="158" t="s">
        <v>189</v>
      </c>
      <c r="E170" s="34"/>
      <c r="F170" s="159" t="s">
        <v>1981</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189</v>
      </c>
      <c r="AU170" s="19" t="s">
        <v>198</v>
      </c>
    </row>
    <row r="171" spans="1:65" s="2" customFormat="1" ht="16.5" customHeight="1">
      <c r="A171" s="34"/>
      <c r="B171" s="139"/>
      <c r="C171" s="140" t="s">
        <v>283</v>
      </c>
      <c r="D171" s="140" t="s">
        <v>180</v>
      </c>
      <c r="E171" s="141" t="s">
        <v>1985</v>
      </c>
      <c r="F171" s="142" t="s">
        <v>1986</v>
      </c>
      <c r="G171" s="143" t="s">
        <v>332</v>
      </c>
      <c r="H171" s="144">
        <v>10</v>
      </c>
      <c r="I171" s="145"/>
      <c r="J171" s="146">
        <f>ROUND(I171*H171,2)</f>
        <v>0</v>
      </c>
      <c r="K171" s="142" t="s">
        <v>184</v>
      </c>
      <c r="L171" s="35"/>
      <c r="M171" s="147" t="s">
        <v>3</v>
      </c>
      <c r="N171" s="148" t="s">
        <v>48</v>
      </c>
      <c r="O171" s="55"/>
      <c r="P171" s="149">
        <f>O171*H171</f>
        <v>0</v>
      </c>
      <c r="Q171" s="149">
        <v>0</v>
      </c>
      <c r="R171" s="149">
        <f>Q171*H171</f>
        <v>0</v>
      </c>
      <c r="S171" s="149">
        <v>0</v>
      </c>
      <c r="T171" s="150">
        <f>S171*H171</f>
        <v>0</v>
      </c>
      <c r="U171" s="34"/>
      <c r="V171" s="34"/>
      <c r="W171" s="34"/>
      <c r="X171" s="34"/>
      <c r="Y171" s="34"/>
      <c r="Z171" s="34"/>
      <c r="AA171" s="34"/>
      <c r="AB171" s="34"/>
      <c r="AC171" s="34"/>
      <c r="AD171" s="34"/>
      <c r="AE171" s="34"/>
      <c r="AR171" s="151" t="s">
        <v>185</v>
      </c>
      <c r="AT171" s="151" t="s">
        <v>180</v>
      </c>
      <c r="AU171" s="151" t="s">
        <v>198</v>
      </c>
      <c r="AY171" s="19" t="s">
        <v>177</v>
      </c>
      <c r="BE171" s="152">
        <f>IF(N171="základní",J171,0)</f>
        <v>0</v>
      </c>
      <c r="BF171" s="152">
        <f>IF(N171="snížená",J171,0)</f>
        <v>0</v>
      </c>
      <c r="BG171" s="152">
        <f>IF(N171="zákl. přenesená",J171,0)</f>
        <v>0</v>
      </c>
      <c r="BH171" s="152">
        <f>IF(N171="sníž. přenesená",J171,0)</f>
        <v>0</v>
      </c>
      <c r="BI171" s="152">
        <f>IF(N171="nulová",J171,0)</f>
        <v>0</v>
      </c>
      <c r="BJ171" s="19" t="s">
        <v>85</v>
      </c>
      <c r="BK171" s="152">
        <f>ROUND(I171*H171,2)</f>
        <v>0</v>
      </c>
      <c r="BL171" s="19" t="s">
        <v>185</v>
      </c>
      <c r="BM171" s="151" t="s">
        <v>2382</v>
      </c>
    </row>
    <row r="172" spans="1:65" s="2" customFormat="1">
      <c r="A172" s="34"/>
      <c r="B172" s="35"/>
      <c r="C172" s="34"/>
      <c r="D172" s="153" t="s">
        <v>187</v>
      </c>
      <c r="E172" s="34"/>
      <c r="F172" s="154" t="s">
        <v>1988</v>
      </c>
      <c r="G172" s="34"/>
      <c r="H172" s="34"/>
      <c r="I172" s="155"/>
      <c r="J172" s="34"/>
      <c r="K172" s="34"/>
      <c r="L172" s="35"/>
      <c r="M172" s="156"/>
      <c r="N172" s="157"/>
      <c r="O172" s="55"/>
      <c r="P172" s="55"/>
      <c r="Q172" s="55"/>
      <c r="R172" s="55"/>
      <c r="S172" s="55"/>
      <c r="T172" s="56"/>
      <c r="U172" s="34"/>
      <c r="V172" s="34"/>
      <c r="W172" s="34"/>
      <c r="X172" s="34"/>
      <c r="Y172" s="34"/>
      <c r="Z172" s="34"/>
      <c r="AA172" s="34"/>
      <c r="AB172" s="34"/>
      <c r="AC172" s="34"/>
      <c r="AD172" s="34"/>
      <c r="AE172" s="34"/>
      <c r="AT172" s="19" t="s">
        <v>187</v>
      </c>
      <c r="AU172" s="19" t="s">
        <v>198</v>
      </c>
    </row>
    <row r="173" spans="1:65" s="2" customFormat="1">
      <c r="A173" s="34"/>
      <c r="B173" s="35"/>
      <c r="C173" s="34"/>
      <c r="D173" s="158" t="s">
        <v>189</v>
      </c>
      <c r="E173" s="34"/>
      <c r="F173" s="159" t="s">
        <v>1989</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189</v>
      </c>
      <c r="AU173" s="19" t="s">
        <v>198</v>
      </c>
    </row>
    <row r="174" spans="1:65" s="2" customFormat="1" ht="16.5" customHeight="1">
      <c r="A174" s="34"/>
      <c r="B174" s="139"/>
      <c r="C174" s="140" t="s">
        <v>9</v>
      </c>
      <c r="D174" s="140" t="s">
        <v>180</v>
      </c>
      <c r="E174" s="141" t="s">
        <v>2000</v>
      </c>
      <c r="F174" s="142" t="s">
        <v>2001</v>
      </c>
      <c r="G174" s="143" t="s">
        <v>332</v>
      </c>
      <c r="H174" s="144">
        <v>5.44</v>
      </c>
      <c r="I174" s="145"/>
      <c r="J174" s="146">
        <f>ROUND(I174*H174,2)</f>
        <v>0</v>
      </c>
      <c r="K174" s="142" t="s">
        <v>184</v>
      </c>
      <c r="L174" s="35"/>
      <c r="M174" s="147" t="s">
        <v>3</v>
      </c>
      <c r="N174" s="148" t="s">
        <v>48</v>
      </c>
      <c r="O174" s="55"/>
      <c r="P174" s="149">
        <f>O174*H174</f>
        <v>0</v>
      </c>
      <c r="Q174" s="149">
        <v>6.5846400000000001E-3</v>
      </c>
      <c r="R174" s="149">
        <f>Q174*H174</f>
        <v>3.5820441600000003E-2</v>
      </c>
      <c r="S174" s="149">
        <v>0</v>
      </c>
      <c r="T174" s="150">
        <f>S174*H174</f>
        <v>0</v>
      </c>
      <c r="U174" s="34"/>
      <c r="V174" s="34"/>
      <c r="W174" s="34"/>
      <c r="X174" s="34"/>
      <c r="Y174" s="34"/>
      <c r="Z174" s="34"/>
      <c r="AA174" s="34"/>
      <c r="AB174" s="34"/>
      <c r="AC174" s="34"/>
      <c r="AD174" s="34"/>
      <c r="AE174" s="34"/>
      <c r="AR174" s="151" t="s">
        <v>185</v>
      </c>
      <c r="AT174" s="151" t="s">
        <v>180</v>
      </c>
      <c r="AU174" s="151" t="s">
        <v>198</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185</v>
      </c>
      <c r="BM174" s="151" t="s">
        <v>2383</v>
      </c>
    </row>
    <row r="175" spans="1:65" s="2" customFormat="1">
      <c r="A175" s="34"/>
      <c r="B175" s="35"/>
      <c r="C175" s="34"/>
      <c r="D175" s="153" t="s">
        <v>187</v>
      </c>
      <c r="E175" s="34"/>
      <c r="F175" s="154" t="s">
        <v>2003</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198</v>
      </c>
    </row>
    <row r="176" spans="1:65" s="2" customFormat="1">
      <c r="A176" s="34"/>
      <c r="B176" s="35"/>
      <c r="C176" s="34"/>
      <c r="D176" s="158" t="s">
        <v>189</v>
      </c>
      <c r="E176" s="34"/>
      <c r="F176" s="159" t="s">
        <v>2004</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198</v>
      </c>
    </row>
    <row r="177" spans="1:65" s="2" customFormat="1" ht="29.25">
      <c r="A177" s="34"/>
      <c r="B177" s="35"/>
      <c r="C177" s="34"/>
      <c r="D177" s="153" t="s">
        <v>191</v>
      </c>
      <c r="E177" s="34"/>
      <c r="F177" s="160" t="s">
        <v>2005</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198</v>
      </c>
    </row>
    <row r="178" spans="1:65" s="13" customFormat="1">
      <c r="B178" s="161"/>
      <c r="D178" s="153" t="s">
        <v>193</v>
      </c>
      <c r="E178" s="162" t="s">
        <v>3</v>
      </c>
      <c r="F178" s="163" t="s">
        <v>2384</v>
      </c>
      <c r="H178" s="164">
        <v>5.44</v>
      </c>
      <c r="I178" s="165"/>
      <c r="L178" s="161"/>
      <c r="M178" s="166"/>
      <c r="N178" s="167"/>
      <c r="O178" s="167"/>
      <c r="P178" s="167"/>
      <c r="Q178" s="167"/>
      <c r="R178" s="167"/>
      <c r="S178" s="167"/>
      <c r="T178" s="168"/>
      <c r="AT178" s="162" t="s">
        <v>193</v>
      </c>
      <c r="AU178" s="162" t="s">
        <v>198</v>
      </c>
      <c r="AV178" s="13" t="s">
        <v>87</v>
      </c>
      <c r="AW178" s="13" t="s">
        <v>36</v>
      </c>
      <c r="AX178" s="13" t="s">
        <v>85</v>
      </c>
      <c r="AY178" s="162" t="s">
        <v>177</v>
      </c>
    </row>
    <row r="179" spans="1:65" s="2" customFormat="1" ht="16.5" customHeight="1">
      <c r="A179" s="34"/>
      <c r="B179" s="139"/>
      <c r="C179" s="140" t="s">
        <v>237</v>
      </c>
      <c r="D179" s="140" t="s">
        <v>180</v>
      </c>
      <c r="E179" s="141" t="s">
        <v>2007</v>
      </c>
      <c r="F179" s="142" t="s">
        <v>2008</v>
      </c>
      <c r="G179" s="143" t="s">
        <v>332</v>
      </c>
      <c r="H179" s="144">
        <v>5.44</v>
      </c>
      <c r="I179" s="145"/>
      <c r="J179" s="146">
        <f>ROUND(I179*H179,2)</f>
        <v>0</v>
      </c>
      <c r="K179" s="142" t="s">
        <v>184</v>
      </c>
      <c r="L179" s="35"/>
      <c r="M179" s="147" t="s">
        <v>3</v>
      </c>
      <c r="N179" s="148" t="s">
        <v>48</v>
      </c>
      <c r="O179" s="55"/>
      <c r="P179" s="149">
        <f>O179*H179</f>
        <v>0</v>
      </c>
      <c r="Q179" s="149">
        <v>0</v>
      </c>
      <c r="R179" s="149">
        <f>Q179*H179</f>
        <v>0</v>
      </c>
      <c r="S179" s="149">
        <v>0</v>
      </c>
      <c r="T179" s="150">
        <f>S179*H179</f>
        <v>0</v>
      </c>
      <c r="U179" s="34"/>
      <c r="V179" s="34"/>
      <c r="W179" s="34"/>
      <c r="X179" s="34"/>
      <c r="Y179" s="34"/>
      <c r="Z179" s="34"/>
      <c r="AA179" s="34"/>
      <c r="AB179" s="34"/>
      <c r="AC179" s="34"/>
      <c r="AD179" s="34"/>
      <c r="AE179" s="34"/>
      <c r="AR179" s="151" t="s">
        <v>185</v>
      </c>
      <c r="AT179" s="151" t="s">
        <v>180</v>
      </c>
      <c r="AU179" s="151" t="s">
        <v>198</v>
      </c>
      <c r="AY179" s="19" t="s">
        <v>177</v>
      </c>
      <c r="BE179" s="152">
        <f>IF(N179="základní",J179,0)</f>
        <v>0</v>
      </c>
      <c r="BF179" s="152">
        <f>IF(N179="snížená",J179,0)</f>
        <v>0</v>
      </c>
      <c r="BG179" s="152">
        <f>IF(N179="zákl. přenesená",J179,0)</f>
        <v>0</v>
      </c>
      <c r="BH179" s="152">
        <f>IF(N179="sníž. přenesená",J179,0)</f>
        <v>0</v>
      </c>
      <c r="BI179" s="152">
        <f>IF(N179="nulová",J179,0)</f>
        <v>0</v>
      </c>
      <c r="BJ179" s="19" t="s">
        <v>85</v>
      </c>
      <c r="BK179" s="152">
        <f>ROUND(I179*H179,2)</f>
        <v>0</v>
      </c>
      <c r="BL179" s="19" t="s">
        <v>185</v>
      </c>
      <c r="BM179" s="151" t="s">
        <v>2385</v>
      </c>
    </row>
    <row r="180" spans="1:65" s="2" customFormat="1">
      <c r="A180" s="34"/>
      <c r="B180" s="35"/>
      <c r="C180" s="34"/>
      <c r="D180" s="153" t="s">
        <v>187</v>
      </c>
      <c r="E180" s="34"/>
      <c r="F180" s="154" t="s">
        <v>2010</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187</v>
      </c>
      <c r="AU180" s="19" t="s">
        <v>198</v>
      </c>
    </row>
    <row r="181" spans="1:65" s="2" customFormat="1">
      <c r="A181" s="34"/>
      <c r="B181" s="35"/>
      <c r="C181" s="34"/>
      <c r="D181" s="158" t="s">
        <v>189</v>
      </c>
      <c r="E181" s="34"/>
      <c r="F181" s="159" t="s">
        <v>2011</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189</v>
      </c>
      <c r="AU181" s="19" t="s">
        <v>198</v>
      </c>
    </row>
    <row r="182" spans="1:65" s="2" customFormat="1" ht="29.25">
      <c r="A182" s="34"/>
      <c r="B182" s="35"/>
      <c r="C182" s="34"/>
      <c r="D182" s="153" t="s">
        <v>191</v>
      </c>
      <c r="E182" s="34"/>
      <c r="F182" s="160" t="s">
        <v>2005</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191</v>
      </c>
      <c r="AU182" s="19" t="s">
        <v>198</v>
      </c>
    </row>
    <row r="183" spans="1:65" s="12" customFormat="1" ht="22.9" customHeight="1">
      <c r="B183" s="126"/>
      <c r="D183" s="127" t="s">
        <v>76</v>
      </c>
      <c r="E183" s="137" t="s">
        <v>233</v>
      </c>
      <c r="F183" s="137" t="s">
        <v>626</v>
      </c>
      <c r="I183" s="129"/>
      <c r="J183" s="138">
        <f>BK183</f>
        <v>0</v>
      </c>
      <c r="L183" s="126"/>
      <c r="M183" s="131"/>
      <c r="N183" s="132"/>
      <c r="O183" s="132"/>
      <c r="P183" s="133">
        <f>SUM(P184:P373)</f>
        <v>0</v>
      </c>
      <c r="Q183" s="132"/>
      <c r="R183" s="133">
        <f>SUM(R184:R373)</f>
        <v>28.342973295440004</v>
      </c>
      <c r="S183" s="132"/>
      <c r="T183" s="134">
        <f>SUM(T184:T373)</f>
        <v>0</v>
      </c>
      <c r="AR183" s="127" t="s">
        <v>85</v>
      </c>
      <c r="AT183" s="135" t="s">
        <v>76</v>
      </c>
      <c r="AU183" s="135" t="s">
        <v>85</v>
      </c>
      <c r="AY183" s="127" t="s">
        <v>177</v>
      </c>
      <c r="BK183" s="136">
        <f>SUM(BK184:BK373)</f>
        <v>0</v>
      </c>
    </row>
    <row r="184" spans="1:65" s="2" customFormat="1" ht="24.2" customHeight="1">
      <c r="A184" s="34"/>
      <c r="B184" s="139"/>
      <c r="C184" s="140" t="s">
        <v>302</v>
      </c>
      <c r="D184" s="140" t="s">
        <v>180</v>
      </c>
      <c r="E184" s="141" t="s">
        <v>2386</v>
      </c>
      <c r="F184" s="142" t="s">
        <v>2387</v>
      </c>
      <c r="G184" s="143" t="s">
        <v>332</v>
      </c>
      <c r="H184" s="144">
        <v>310.72000000000003</v>
      </c>
      <c r="I184" s="145"/>
      <c r="J184" s="146">
        <f>ROUND(I184*H184,2)</f>
        <v>0</v>
      </c>
      <c r="K184" s="142" t="s">
        <v>184</v>
      </c>
      <c r="L184" s="35"/>
      <c r="M184" s="147" t="s">
        <v>3</v>
      </c>
      <c r="N184" s="148" t="s">
        <v>48</v>
      </c>
      <c r="O184" s="55"/>
      <c r="P184" s="149">
        <f>O184*H184</f>
        <v>0</v>
      </c>
      <c r="Q184" s="149">
        <v>8.7974400000000001E-3</v>
      </c>
      <c r="R184" s="149">
        <f>Q184*H184</f>
        <v>2.7335405568000004</v>
      </c>
      <c r="S184" s="149">
        <v>0</v>
      </c>
      <c r="T184" s="150">
        <f>S184*H184</f>
        <v>0</v>
      </c>
      <c r="U184" s="34"/>
      <c r="V184" s="34"/>
      <c r="W184" s="34"/>
      <c r="X184" s="34"/>
      <c r="Y184" s="34"/>
      <c r="Z184" s="34"/>
      <c r="AA184" s="34"/>
      <c r="AB184" s="34"/>
      <c r="AC184" s="34"/>
      <c r="AD184" s="34"/>
      <c r="AE184" s="34"/>
      <c r="AR184" s="151" t="s">
        <v>185</v>
      </c>
      <c r="AT184" s="151" t="s">
        <v>180</v>
      </c>
      <c r="AU184" s="151" t="s">
        <v>87</v>
      </c>
      <c r="AY184" s="19" t="s">
        <v>177</v>
      </c>
      <c r="BE184" s="152">
        <f>IF(N184="základní",J184,0)</f>
        <v>0</v>
      </c>
      <c r="BF184" s="152">
        <f>IF(N184="snížená",J184,0)</f>
        <v>0</v>
      </c>
      <c r="BG184" s="152">
        <f>IF(N184="zákl. přenesená",J184,0)</f>
        <v>0</v>
      </c>
      <c r="BH184" s="152">
        <f>IF(N184="sníž. přenesená",J184,0)</f>
        <v>0</v>
      </c>
      <c r="BI184" s="152">
        <f>IF(N184="nulová",J184,0)</f>
        <v>0</v>
      </c>
      <c r="BJ184" s="19" t="s">
        <v>85</v>
      </c>
      <c r="BK184" s="152">
        <f>ROUND(I184*H184,2)</f>
        <v>0</v>
      </c>
      <c r="BL184" s="19" t="s">
        <v>185</v>
      </c>
      <c r="BM184" s="151" t="s">
        <v>2388</v>
      </c>
    </row>
    <row r="185" spans="1:65" s="2" customFormat="1" ht="19.5">
      <c r="A185" s="34"/>
      <c r="B185" s="35"/>
      <c r="C185" s="34"/>
      <c r="D185" s="153" t="s">
        <v>187</v>
      </c>
      <c r="E185" s="34"/>
      <c r="F185" s="154" t="s">
        <v>2389</v>
      </c>
      <c r="G185" s="34"/>
      <c r="H185" s="34"/>
      <c r="I185" s="155"/>
      <c r="J185" s="34"/>
      <c r="K185" s="34"/>
      <c r="L185" s="35"/>
      <c r="M185" s="156"/>
      <c r="N185" s="157"/>
      <c r="O185" s="55"/>
      <c r="P185" s="55"/>
      <c r="Q185" s="55"/>
      <c r="R185" s="55"/>
      <c r="S185" s="55"/>
      <c r="T185" s="56"/>
      <c r="U185" s="34"/>
      <c r="V185" s="34"/>
      <c r="W185" s="34"/>
      <c r="X185" s="34"/>
      <c r="Y185" s="34"/>
      <c r="Z185" s="34"/>
      <c r="AA185" s="34"/>
      <c r="AB185" s="34"/>
      <c r="AC185" s="34"/>
      <c r="AD185" s="34"/>
      <c r="AE185" s="34"/>
      <c r="AT185" s="19" t="s">
        <v>187</v>
      </c>
      <c r="AU185" s="19" t="s">
        <v>87</v>
      </c>
    </row>
    <row r="186" spans="1:65" s="2" customFormat="1">
      <c r="A186" s="34"/>
      <c r="B186" s="35"/>
      <c r="C186" s="34"/>
      <c r="D186" s="158" t="s">
        <v>189</v>
      </c>
      <c r="E186" s="34"/>
      <c r="F186" s="159" t="s">
        <v>2390</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189</v>
      </c>
      <c r="AU186" s="19" t="s">
        <v>87</v>
      </c>
    </row>
    <row r="187" spans="1:65" s="2" customFormat="1" ht="175.5">
      <c r="A187" s="34"/>
      <c r="B187" s="35"/>
      <c r="C187" s="34"/>
      <c r="D187" s="153" t="s">
        <v>191</v>
      </c>
      <c r="E187" s="34"/>
      <c r="F187" s="160" t="s">
        <v>2391</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191</v>
      </c>
      <c r="AU187" s="19" t="s">
        <v>87</v>
      </c>
    </row>
    <row r="188" spans="1:65" s="14" customFormat="1">
      <c r="B188" s="169"/>
      <c r="D188" s="153" t="s">
        <v>193</v>
      </c>
      <c r="E188" s="170" t="s">
        <v>3</v>
      </c>
      <c r="F188" s="171" t="s">
        <v>779</v>
      </c>
      <c r="H188" s="170" t="s">
        <v>3</v>
      </c>
      <c r="I188" s="172"/>
      <c r="L188" s="169"/>
      <c r="M188" s="173"/>
      <c r="N188" s="174"/>
      <c r="O188" s="174"/>
      <c r="P188" s="174"/>
      <c r="Q188" s="174"/>
      <c r="R188" s="174"/>
      <c r="S188" s="174"/>
      <c r="T188" s="175"/>
      <c r="AT188" s="170" t="s">
        <v>193</v>
      </c>
      <c r="AU188" s="170" t="s">
        <v>87</v>
      </c>
      <c r="AV188" s="14" t="s">
        <v>85</v>
      </c>
      <c r="AW188" s="14" t="s">
        <v>36</v>
      </c>
      <c r="AX188" s="14" t="s">
        <v>77</v>
      </c>
      <c r="AY188" s="170" t="s">
        <v>177</v>
      </c>
    </row>
    <row r="189" spans="1:65" s="13" customFormat="1">
      <c r="B189" s="161"/>
      <c r="D189" s="153" t="s">
        <v>193</v>
      </c>
      <c r="E189" s="162" t="s">
        <v>3</v>
      </c>
      <c r="F189" s="163" t="s">
        <v>2392</v>
      </c>
      <c r="H189" s="164">
        <v>314.8</v>
      </c>
      <c r="I189" s="165"/>
      <c r="L189" s="161"/>
      <c r="M189" s="166"/>
      <c r="N189" s="167"/>
      <c r="O189" s="167"/>
      <c r="P189" s="167"/>
      <c r="Q189" s="167"/>
      <c r="R189" s="167"/>
      <c r="S189" s="167"/>
      <c r="T189" s="168"/>
      <c r="AT189" s="162" t="s">
        <v>193</v>
      </c>
      <c r="AU189" s="162" t="s">
        <v>87</v>
      </c>
      <c r="AV189" s="13" t="s">
        <v>87</v>
      </c>
      <c r="AW189" s="13" t="s">
        <v>36</v>
      </c>
      <c r="AX189" s="13" t="s">
        <v>77</v>
      </c>
      <c r="AY189" s="162" t="s">
        <v>177</v>
      </c>
    </row>
    <row r="190" spans="1:65" s="13" customFormat="1">
      <c r="B190" s="161"/>
      <c r="D190" s="153" t="s">
        <v>193</v>
      </c>
      <c r="E190" s="162" t="s">
        <v>3</v>
      </c>
      <c r="F190" s="163" t="s">
        <v>2393</v>
      </c>
      <c r="H190" s="164">
        <v>-4.08</v>
      </c>
      <c r="I190" s="165"/>
      <c r="L190" s="161"/>
      <c r="M190" s="166"/>
      <c r="N190" s="167"/>
      <c r="O190" s="167"/>
      <c r="P190" s="167"/>
      <c r="Q190" s="167"/>
      <c r="R190" s="167"/>
      <c r="S190" s="167"/>
      <c r="T190" s="168"/>
      <c r="AT190" s="162" t="s">
        <v>193</v>
      </c>
      <c r="AU190" s="162" t="s">
        <v>87</v>
      </c>
      <c r="AV190" s="13" t="s">
        <v>87</v>
      </c>
      <c r="AW190" s="13" t="s">
        <v>36</v>
      </c>
      <c r="AX190" s="13" t="s">
        <v>77</v>
      </c>
      <c r="AY190" s="162" t="s">
        <v>177</v>
      </c>
    </row>
    <row r="191" spans="1:65" s="16" customFormat="1">
      <c r="B191" s="184"/>
      <c r="D191" s="153" t="s">
        <v>193</v>
      </c>
      <c r="E191" s="185" t="s">
        <v>3</v>
      </c>
      <c r="F191" s="186" t="s">
        <v>201</v>
      </c>
      <c r="H191" s="187">
        <v>310.72000000000003</v>
      </c>
      <c r="I191" s="188"/>
      <c r="L191" s="184"/>
      <c r="M191" s="189"/>
      <c r="N191" s="190"/>
      <c r="O191" s="190"/>
      <c r="P191" s="190"/>
      <c r="Q191" s="190"/>
      <c r="R191" s="190"/>
      <c r="S191" s="190"/>
      <c r="T191" s="191"/>
      <c r="AT191" s="185" t="s">
        <v>193</v>
      </c>
      <c r="AU191" s="185" t="s">
        <v>87</v>
      </c>
      <c r="AV191" s="16" t="s">
        <v>185</v>
      </c>
      <c r="AW191" s="16" t="s">
        <v>36</v>
      </c>
      <c r="AX191" s="16" t="s">
        <v>85</v>
      </c>
      <c r="AY191" s="185" t="s">
        <v>177</v>
      </c>
    </row>
    <row r="192" spans="1:65" s="2" customFormat="1" ht="16.5" customHeight="1">
      <c r="A192" s="34"/>
      <c r="B192" s="139"/>
      <c r="C192" s="195" t="s">
        <v>315</v>
      </c>
      <c r="D192" s="195" t="s">
        <v>484</v>
      </c>
      <c r="E192" s="196" t="s">
        <v>2394</v>
      </c>
      <c r="F192" s="197" t="s">
        <v>2395</v>
      </c>
      <c r="G192" s="198" t="s">
        <v>332</v>
      </c>
      <c r="H192" s="199">
        <v>341.79199999999997</v>
      </c>
      <c r="I192" s="200"/>
      <c r="J192" s="201">
        <f>ROUND(I192*H192,2)</f>
        <v>0</v>
      </c>
      <c r="K192" s="197" t="s">
        <v>184</v>
      </c>
      <c r="L192" s="202"/>
      <c r="M192" s="203" t="s">
        <v>3</v>
      </c>
      <c r="N192" s="204" t="s">
        <v>48</v>
      </c>
      <c r="O192" s="55"/>
      <c r="P192" s="149">
        <f>O192*H192</f>
        <v>0</v>
      </c>
      <c r="Q192" s="149">
        <v>3.3999999999999998E-3</v>
      </c>
      <c r="R192" s="149">
        <f>Q192*H192</f>
        <v>1.1620927999999999</v>
      </c>
      <c r="S192" s="149">
        <v>0</v>
      </c>
      <c r="T192" s="150">
        <f>S192*H192</f>
        <v>0</v>
      </c>
      <c r="U192" s="34"/>
      <c r="V192" s="34"/>
      <c r="W192" s="34"/>
      <c r="X192" s="34"/>
      <c r="Y192" s="34"/>
      <c r="Z192" s="34"/>
      <c r="AA192" s="34"/>
      <c r="AB192" s="34"/>
      <c r="AC192" s="34"/>
      <c r="AD192" s="34"/>
      <c r="AE192" s="34"/>
      <c r="AR192" s="151" t="s">
        <v>248</v>
      </c>
      <c r="AT192" s="151" t="s">
        <v>484</v>
      </c>
      <c r="AU192" s="151" t="s">
        <v>87</v>
      </c>
      <c r="AY192" s="19" t="s">
        <v>177</v>
      </c>
      <c r="BE192" s="152">
        <f>IF(N192="základní",J192,0)</f>
        <v>0</v>
      </c>
      <c r="BF192" s="152">
        <f>IF(N192="snížená",J192,0)</f>
        <v>0</v>
      </c>
      <c r="BG192" s="152">
        <f>IF(N192="zákl. přenesená",J192,0)</f>
        <v>0</v>
      </c>
      <c r="BH192" s="152">
        <f>IF(N192="sníž. přenesená",J192,0)</f>
        <v>0</v>
      </c>
      <c r="BI192" s="152">
        <f>IF(N192="nulová",J192,0)</f>
        <v>0</v>
      </c>
      <c r="BJ192" s="19" t="s">
        <v>85</v>
      </c>
      <c r="BK192" s="152">
        <f>ROUND(I192*H192,2)</f>
        <v>0</v>
      </c>
      <c r="BL192" s="19" t="s">
        <v>185</v>
      </c>
      <c r="BM192" s="151" t="s">
        <v>2396</v>
      </c>
    </row>
    <row r="193" spans="1:65" s="2" customFormat="1">
      <c r="A193" s="34"/>
      <c r="B193" s="35"/>
      <c r="C193" s="34"/>
      <c r="D193" s="153" t="s">
        <v>187</v>
      </c>
      <c r="E193" s="34"/>
      <c r="F193" s="154" t="s">
        <v>2395</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187</v>
      </c>
      <c r="AU193" s="19" t="s">
        <v>87</v>
      </c>
    </row>
    <row r="194" spans="1:65" s="13" customFormat="1">
      <c r="B194" s="161"/>
      <c r="D194" s="153" t="s">
        <v>193</v>
      </c>
      <c r="F194" s="163" t="s">
        <v>2397</v>
      </c>
      <c r="H194" s="164">
        <v>341.79199999999997</v>
      </c>
      <c r="I194" s="165"/>
      <c r="L194" s="161"/>
      <c r="M194" s="166"/>
      <c r="N194" s="167"/>
      <c r="O194" s="167"/>
      <c r="P194" s="167"/>
      <c r="Q194" s="167"/>
      <c r="R194" s="167"/>
      <c r="S194" s="167"/>
      <c r="T194" s="168"/>
      <c r="AT194" s="162" t="s">
        <v>193</v>
      </c>
      <c r="AU194" s="162" t="s">
        <v>87</v>
      </c>
      <c r="AV194" s="13" t="s">
        <v>87</v>
      </c>
      <c r="AW194" s="13" t="s">
        <v>4</v>
      </c>
      <c r="AX194" s="13" t="s">
        <v>85</v>
      </c>
      <c r="AY194" s="162" t="s">
        <v>177</v>
      </c>
    </row>
    <row r="195" spans="1:65" s="2" customFormat="1" ht="16.5" customHeight="1">
      <c r="A195" s="34"/>
      <c r="B195" s="139"/>
      <c r="C195" s="140" t="s">
        <v>461</v>
      </c>
      <c r="D195" s="140" t="s">
        <v>180</v>
      </c>
      <c r="E195" s="141" t="s">
        <v>2398</v>
      </c>
      <c r="F195" s="142" t="s">
        <v>2399</v>
      </c>
      <c r="G195" s="143" t="s">
        <v>332</v>
      </c>
      <c r="H195" s="144">
        <v>472.43099999999998</v>
      </c>
      <c r="I195" s="145"/>
      <c r="J195" s="146">
        <f>ROUND(I195*H195,2)</f>
        <v>0</v>
      </c>
      <c r="K195" s="142" t="s">
        <v>184</v>
      </c>
      <c r="L195" s="35"/>
      <c r="M195" s="147" t="s">
        <v>3</v>
      </c>
      <c r="N195" s="148" t="s">
        <v>48</v>
      </c>
      <c r="O195" s="55"/>
      <c r="P195" s="149">
        <f>O195*H195</f>
        <v>0</v>
      </c>
      <c r="Q195" s="149">
        <v>2.5000000000000001E-4</v>
      </c>
      <c r="R195" s="149">
        <f>Q195*H195</f>
        <v>0.11810775</v>
      </c>
      <c r="S195" s="149">
        <v>0</v>
      </c>
      <c r="T195" s="150">
        <f>S195*H195</f>
        <v>0</v>
      </c>
      <c r="U195" s="34"/>
      <c r="V195" s="34"/>
      <c r="W195" s="34"/>
      <c r="X195" s="34"/>
      <c r="Y195" s="34"/>
      <c r="Z195" s="34"/>
      <c r="AA195" s="34"/>
      <c r="AB195" s="34"/>
      <c r="AC195" s="34"/>
      <c r="AD195" s="34"/>
      <c r="AE195" s="34"/>
      <c r="AR195" s="151" t="s">
        <v>185</v>
      </c>
      <c r="AT195" s="151" t="s">
        <v>180</v>
      </c>
      <c r="AU195" s="151" t="s">
        <v>87</v>
      </c>
      <c r="AY195" s="19" t="s">
        <v>177</v>
      </c>
      <c r="BE195" s="152">
        <f>IF(N195="základní",J195,0)</f>
        <v>0</v>
      </c>
      <c r="BF195" s="152">
        <f>IF(N195="snížená",J195,0)</f>
        <v>0</v>
      </c>
      <c r="BG195" s="152">
        <f>IF(N195="zákl. přenesená",J195,0)</f>
        <v>0</v>
      </c>
      <c r="BH195" s="152">
        <f>IF(N195="sníž. přenesená",J195,0)</f>
        <v>0</v>
      </c>
      <c r="BI195" s="152">
        <f>IF(N195="nulová",J195,0)</f>
        <v>0</v>
      </c>
      <c r="BJ195" s="19" t="s">
        <v>85</v>
      </c>
      <c r="BK195" s="152">
        <f>ROUND(I195*H195,2)</f>
        <v>0</v>
      </c>
      <c r="BL195" s="19" t="s">
        <v>185</v>
      </c>
      <c r="BM195" s="151" t="s">
        <v>2400</v>
      </c>
    </row>
    <row r="196" spans="1:65" s="2" customFormat="1">
      <c r="A196" s="34"/>
      <c r="B196" s="35"/>
      <c r="C196" s="34"/>
      <c r="D196" s="153" t="s">
        <v>187</v>
      </c>
      <c r="E196" s="34"/>
      <c r="F196" s="154" t="s">
        <v>2401</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187</v>
      </c>
      <c r="AU196" s="19" t="s">
        <v>87</v>
      </c>
    </row>
    <row r="197" spans="1:65" s="2" customFormat="1">
      <c r="A197" s="34"/>
      <c r="B197" s="35"/>
      <c r="C197" s="34"/>
      <c r="D197" s="158" t="s">
        <v>189</v>
      </c>
      <c r="E197" s="34"/>
      <c r="F197" s="159" t="s">
        <v>2402</v>
      </c>
      <c r="G197" s="34"/>
      <c r="H197" s="34"/>
      <c r="I197" s="155"/>
      <c r="J197" s="34"/>
      <c r="K197" s="34"/>
      <c r="L197" s="35"/>
      <c r="M197" s="156"/>
      <c r="N197" s="157"/>
      <c r="O197" s="55"/>
      <c r="P197" s="55"/>
      <c r="Q197" s="55"/>
      <c r="R197" s="55"/>
      <c r="S197" s="55"/>
      <c r="T197" s="56"/>
      <c r="U197" s="34"/>
      <c r="V197" s="34"/>
      <c r="W197" s="34"/>
      <c r="X197" s="34"/>
      <c r="Y197" s="34"/>
      <c r="Z197" s="34"/>
      <c r="AA197" s="34"/>
      <c r="AB197" s="34"/>
      <c r="AC197" s="34"/>
      <c r="AD197" s="34"/>
      <c r="AE197" s="34"/>
      <c r="AT197" s="19" t="s">
        <v>189</v>
      </c>
      <c r="AU197" s="19" t="s">
        <v>87</v>
      </c>
    </row>
    <row r="198" spans="1:65" s="13" customFormat="1">
      <c r="B198" s="161"/>
      <c r="D198" s="153" t="s">
        <v>193</v>
      </c>
      <c r="E198" s="162" t="s">
        <v>3</v>
      </c>
      <c r="F198" s="163" t="s">
        <v>2403</v>
      </c>
      <c r="H198" s="164">
        <v>472.43099999999998</v>
      </c>
      <c r="I198" s="165"/>
      <c r="L198" s="161"/>
      <c r="M198" s="166"/>
      <c r="N198" s="167"/>
      <c r="O198" s="167"/>
      <c r="P198" s="167"/>
      <c r="Q198" s="167"/>
      <c r="R198" s="167"/>
      <c r="S198" s="167"/>
      <c r="T198" s="168"/>
      <c r="AT198" s="162" t="s">
        <v>193</v>
      </c>
      <c r="AU198" s="162" t="s">
        <v>87</v>
      </c>
      <c r="AV198" s="13" t="s">
        <v>87</v>
      </c>
      <c r="AW198" s="13" t="s">
        <v>36</v>
      </c>
      <c r="AX198" s="13" t="s">
        <v>85</v>
      </c>
      <c r="AY198" s="162" t="s">
        <v>177</v>
      </c>
    </row>
    <row r="199" spans="1:65" s="2" customFormat="1" ht="16.5" customHeight="1">
      <c r="A199" s="34"/>
      <c r="B199" s="139"/>
      <c r="C199" s="140" t="s">
        <v>467</v>
      </c>
      <c r="D199" s="140" t="s">
        <v>180</v>
      </c>
      <c r="E199" s="141" t="s">
        <v>2404</v>
      </c>
      <c r="F199" s="142" t="s">
        <v>2405</v>
      </c>
      <c r="G199" s="143" t="s">
        <v>332</v>
      </c>
      <c r="H199" s="144">
        <v>54.902999999999999</v>
      </c>
      <c r="I199" s="145"/>
      <c r="J199" s="146">
        <f>ROUND(I199*H199,2)</f>
        <v>0</v>
      </c>
      <c r="K199" s="142" t="s">
        <v>184</v>
      </c>
      <c r="L199" s="35"/>
      <c r="M199" s="147" t="s">
        <v>3</v>
      </c>
      <c r="N199" s="148" t="s">
        <v>48</v>
      </c>
      <c r="O199" s="55"/>
      <c r="P199" s="149">
        <f>O199*H199</f>
        <v>0</v>
      </c>
      <c r="Q199" s="149">
        <v>2.0000000000000001E-4</v>
      </c>
      <c r="R199" s="149">
        <f>Q199*H199</f>
        <v>1.09806E-2</v>
      </c>
      <c r="S199" s="149">
        <v>0</v>
      </c>
      <c r="T199" s="150">
        <f>S199*H199</f>
        <v>0</v>
      </c>
      <c r="U199" s="34"/>
      <c r="V199" s="34"/>
      <c r="W199" s="34"/>
      <c r="X199" s="34"/>
      <c r="Y199" s="34"/>
      <c r="Z199" s="34"/>
      <c r="AA199" s="34"/>
      <c r="AB199" s="34"/>
      <c r="AC199" s="34"/>
      <c r="AD199" s="34"/>
      <c r="AE199" s="34"/>
      <c r="AR199" s="151" t="s">
        <v>185</v>
      </c>
      <c r="AT199" s="151" t="s">
        <v>180</v>
      </c>
      <c r="AU199" s="151" t="s">
        <v>87</v>
      </c>
      <c r="AY199" s="19" t="s">
        <v>177</v>
      </c>
      <c r="BE199" s="152">
        <f>IF(N199="základní",J199,0)</f>
        <v>0</v>
      </c>
      <c r="BF199" s="152">
        <f>IF(N199="snížená",J199,0)</f>
        <v>0</v>
      </c>
      <c r="BG199" s="152">
        <f>IF(N199="zákl. přenesená",J199,0)</f>
        <v>0</v>
      </c>
      <c r="BH199" s="152">
        <f>IF(N199="sníž. přenesená",J199,0)</f>
        <v>0</v>
      </c>
      <c r="BI199" s="152">
        <f>IF(N199="nulová",J199,0)</f>
        <v>0</v>
      </c>
      <c r="BJ199" s="19" t="s">
        <v>85</v>
      </c>
      <c r="BK199" s="152">
        <f>ROUND(I199*H199,2)</f>
        <v>0</v>
      </c>
      <c r="BL199" s="19" t="s">
        <v>185</v>
      </c>
      <c r="BM199" s="151" t="s">
        <v>2406</v>
      </c>
    </row>
    <row r="200" spans="1:65" s="2" customFormat="1">
      <c r="A200" s="34"/>
      <c r="B200" s="35"/>
      <c r="C200" s="34"/>
      <c r="D200" s="153" t="s">
        <v>187</v>
      </c>
      <c r="E200" s="34"/>
      <c r="F200" s="154" t="s">
        <v>2407</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187</v>
      </c>
      <c r="AU200" s="19" t="s">
        <v>87</v>
      </c>
    </row>
    <row r="201" spans="1:65" s="2" customFormat="1">
      <c r="A201" s="34"/>
      <c r="B201" s="35"/>
      <c r="C201" s="34"/>
      <c r="D201" s="158" t="s">
        <v>189</v>
      </c>
      <c r="E201" s="34"/>
      <c r="F201" s="159" t="s">
        <v>2408</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189</v>
      </c>
      <c r="AU201" s="19" t="s">
        <v>87</v>
      </c>
    </row>
    <row r="202" spans="1:65" s="13" customFormat="1">
      <c r="B202" s="161"/>
      <c r="D202" s="153" t="s">
        <v>193</v>
      </c>
      <c r="E202" s="162" t="s">
        <v>3</v>
      </c>
      <c r="F202" s="163" t="s">
        <v>2409</v>
      </c>
      <c r="H202" s="164">
        <v>47.517000000000003</v>
      </c>
      <c r="I202" s="165"/>
      <c r="L202" s="161"/>
      <c r="M202" s="166"/>
      <c r="N202" s="167"/>
      <c r="O202" s="167"/>
      <c r="P202" s="167"/>
      <c r="Q202" s="167"/>
      <c r="R202" s="167"/>
      <c r="S202" s="167"/>
      <c r="T202" s="168"/>
      <c r="AT202" s="162" t="s">
        <v>193</v>
      </c>
      <c r="AU202" s="162" t="s">
        <v>87</v>
      </c>
      <c r="AV202" s="13" t="s">
        <v>87</v>
      </c>
      <c r="AW202" s="13" t="s">
        <v>36</v>
      </c>
      <c r="AX202" s="13" t="s">
        <v>77</v>
      </c>
      <c r="AY202" s="162" t="s">
        <v>177</v>
      </c>
    </row>
    <row r="203" spans="1:65" s="13" customFormat="1">
      <c r="B203" s="161"/>
      <c r="D203" s="153" t="s">
        <v>193</v>
      </c>
      <c r="E203" s="162" t="s">
        <v>3</v>
      </c>
      <c r="F203" s="163" t="s">
        <v>2410</v>
      </c>
      <c r="H203" s="164">
        <v>7.3860000000000001</v>
      </c>
      <c r="I203" s="165"/>
      <c r="L203" s="161"/>
      <c r="M203" s="166"/>
      <c r="N203" s="167"/>
      <c r="O203" s="167"/>
      <c r="P203" s="167"/>
      <c r="Q203" s="167"/>
      <c r="R203" s="167"/>
      <c r="S203" s="167"/>
      <c r="T203" s="168"/>
      <c r="AT203" s="162" t="s">
        <v>193</v>
      </c>
      <c r="AU203" s="162" t="s">
        <v>87</v>
      </c>
      <c r="AV203" s="13" t="s">
        <v>87</v>
      </c>
      <c r="AW203" s="13" t="s">
        <v>36</v>
      </c>
      <c r="AX203" s="13" t="s">
        <v>77</v>
      </c>
      <c r="AY203" s="162" t="s">
        <v>177</v>
      </c>
    </row>
    <row r="204" spans="1:65" s="16" customFormat="1">
      <c r="B204" s="184"/>
      <c r="D204" s="153" t="s">
        <v>193</v>
      </c>
      <c r="E204" s="185" t="s">
        <v>3</v>
      </c>
      <c r="F204" s="186" t="s">
        <v>201</v>
      </c>
      <c r="H204" s="187">
        <v>54.903000000000006</v>
      </c>
      <c r="I204" s="188"/>
      <c r="L204" s="184"/>
      <c r="M204" s="189"/>
      <c r="N204" s="190"/>
      <c r="O204" s="190"/>
      <c r="P204" s="190"/>
      <c r="Q204" s="190"/>
      <c r="R204" s="190"/>
      <c r="S204" s="190"/>
      <c r="T204" s="191"/>
      <c r="AT204" s="185" t="s">
        <v>193</v>
      </c>
      <c r="AU204" s="185" t="s">
        <v>87</v>
      </c>
      <c r="AV204" s="16" t="s">
        <v>185</v>
      </c>
      <c r="AW204" s="16" t="s">
        <v>36</v>
      </c>
      <c r="AX204" s="16" t="s">
        <v>85</v>
      </c>
      <c r="AY204" s="185" t="s">
        <v>177</v>
      </c>
    </row>
    <row r="205" spans="1:65" s="2" customFormat="1" ht="24.2" customHeight="1">
      <c r="A205" s="34"/>
      <c r="B205" s="139"/>
      <c r="C205" s="140" t="s">
        <v>8</v>
      </c>
      <c r="D205" s="140" t="s">
        <v>180</v>
      </c>
      <c r="E205" s="141" t="s">
        <v>2411</v>
      </c>
      <c r="F205" s="142" t="s">
        <v>2412</v>
      </c>
      <c r="G205" s="143" t="s">
        <v>332</v>
      </c>
      <c r="H205" s="144">
        <v>14.7</v>
      </c>
      <c r="I205" s="145"/>
      <c r="J205" s="146">
        <f>ROUND(I205*H205,2)</f>
        <v>0</v>
      </c>
      <c r="K205" s="142" t="s">
        <v>184</v>
      </c>
      <c r="L205" s="35"/>
      <c r="M205" s="147" t="s">
        <v>3</v>
      </c>
      <c r="N205" s="148" t="s">
        <v>48</v>
      </c>
      <c r="O205" s="55"/>
      <c r="P205" s="149">
        <f>O205*H205</f>
        <v>0</v>
      </c>
      <c r="Q205" s="149">
        <v>8.6761600000000005E-3</v>
      </c>
      <c r="R205" s="149">
        <f>Q205*H205</f>
        <v>0.127539552</v>
      </c>
      <c r="S205" s="149">
        <v>0</v>
      </c>
      <c r="T205" s="150">
        <f>S205*H205</f>
        <v>0</v>
      </c>
      <c r="U205" s="34"/>
      <c r="V205" s="34"/>
      <c r="W205" s="34"/>
      <c r="X205" s="34"/>
      <c r="Y205" s="34"/>
      <c r="Z205" s="34"/>
      <c r="AA205" s="34"/>
      <c r="AB205" s="34"/>
      <c r="AC205" s="34"/>
      <c r="AD205" s="34"/>
      <c r="AE205" s="34"/>
      <c r="AR205" s="151" t="s">
        <v>185</v>
      </c>
      <c r="AT205" s="151" t="s">
        <v>180</v>
      </c>
      <c r="AU205" s="151" t="s">
        <v>87</v>
      </c>
      <c r="AY205" s="19" t="s">
        <v>177</v>
      </c>
      <c r="BE205" s="152">
        <f>IF(N205="základní",J205,0)</f>
        <v>0</v>
      </c>
      <c r="BF205" s="152">
        <f>IF(N205="snížená",J205,0)</f>
        <v>0</v>
      </c>
      <c r="BG205" s="152">
        <f>IF(N205="zákl. přenesená",J205,0)</f>
        <v>0</v>
      </c>
      <c r="BH205" s="152">
        <f>IF(N205="sníž. přenesená",J205,0)</f>
        <v>0</v>
      </c>
      <c r="BI205" s="152">
        <f>IF(N205="nulová",J205,0)</f>
        <v>0</v>
      </c>
      <c r="BJ205" s="19" t="s">
        <v>85</v>
      </c>
      <c r="BK205" s="152">
        <f>ROUND(I205*H205,2)</f>
        <v>0</v>
      </c>
      <c r="BL205" s="19" t="s">
        <v>185</v>
      </c>
      <c r="BM205" s="151" t="s">
        <v>2413</v>
      </c>
    </row>
    <row r="206" spans="1:65" s="2" customFormat="1" ht="19.5">
      <c r="A206" s="34"/>
      <c r="B206" s="35"/>
      <c r="C206" s="34"/>
      <c r="D206" s="153" t="s">
        <v>187</v>
      </c>
      <c r="E206" s="34"/>
      <c r="F206" s="154" t="s">
        <v>2414</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187</v>
      </c>
      <c r="AU206" s="19" t="s">
        <v>87</v>
      </c>
    </row>
    <row r="207" spans="1:65" s="2" customFormat="1">
      <c r="A207" s="34"/>
      <c r="B207" s="35"/>
      <c r="C207" s="34"/>
      <c r="D207" s="158" t="s">
        <v>189</v>
      </c>
      <c r="E207" s="34"/>
      <c r="F207" s="159" t="s">
        <v>2415</v>
      </c>
      <c r="G207" s="34"/>
      <c r="H207" s="34"/>
      <c r="I207" s="155"/>
      <c r="J207" s="34"/>
      <c r="K207" s="34"/>
      <c r="L207" s="35"/>
      <c r="M207" s="156"/>
      <c r="N207" s="157"/>
      <c r="O207" s="55"/>
      <c r="P207" s="55"/>
      <c r="Q207" s="55"/>
      <c r="R207" s="55"/>
      <c r="S207" s="55"/>
      <c r="T207" s="56"/>
      <c r="U207" s="34"/>
      <c r="V207" s="34"/>
      <c r="W207" s="34"/>
      <c r="X207" s="34"/>
      <c r="Y207" s="34"/>
      <c r="Z207" s="34"/>
      <c r="AA207" s="34"/>
      <c r="AB207" s="34"/>
      <c r="AC207" s="34"/>
      <c r="AD207" s="34"/>
      <c r="AE207" s="34"/>
      <c r="AT207" s="19" t="s">
        <v>189</v>
      </c>
      <c r="AU207" s="19" t="s">
        <v>87</v>
      </c>
    </row>
    <row r="208" spans="1:65" s="2" customFormat="1" ht="175.5">
      <c r="A208" s="34"/>
      <c r="B208" s="35"/>
      <c r="C208" s="34"/>
      <c r="D208" s="153" t="s">
        <v>191</v>
      </c>
      <c r="E208" s="34"/>
      <c r="F208" s="160" t="s">
        <v>2391</v>
      </c>
      <c r="G208" s="34"/>
      <c r="H208" s="34"/>
      <c r="I208" s="155"/>
      <c r="J208" s="34"/>
      <c r="K208" s="34"/>
      <c r="L208" s="35"/>
      <c r="M208" s="156"/>
      <c r="N208" s="157"/>
      <c r="O208" s="55"/>
      <c r="P208" s="55"/>
      <c r="Q208" s="55"/>
      <c r="R208" s="55"/>
      <c r="S208" s="55"/>
      <c r="T208" s="56"/>
      <c r="U208" s="34"/>
      <c r="V208" s="34"/>
      <c r="W208" s="34"/>
      <c r="X208" s="34"/>
      <c r="Y208" s="34"/>
      <c r="Z208" s="34"/>
      <c r="AA208" s="34"/>
      <c r="AB208" s="34"/>
      <c r="AC208" s="34"/>
      <c r="AD208" s="34"/>
      <c r="AE208" s="34"/>
      <c r="AT208" s="19" t="s">
        <v>191</v>
      </c>
      <c r="AU208" s="19" t="s">
        <v>87</v>
      </c>
    </row>
    <row r="209" spans="1:65" s="14" customFormat="1">
      <c r="B209" s="169"/>
      <c r="D209" s="153" t="s">
        <v>193</v>
      </c>
      <c r="E209" s="170" t="s">
        <v>3</v>
      </c>
      <c r="F209" s="171" t="s">
        <v>2416</v>
      </c>
      <c r="H209" s="170" t="s">
        <v>3</v>
      </c>
      <c r="I209" s="172"/>
      <c r="L209" s="169"/>
      <c r="M209" s="173"/>
      <c r="N209" s="174"/>
      <c r="O209" s="174"/>
      <c r="P209" s="174"/>
      <c r="Q209" s="174"/>
      <c r="R209" s="174"/>
      <c r="S209" s="174"/>
      <c r="T209" s="175"/>
      <c r="AT209" s="170" t="s">
        <v>193</v>
      </c>
      <c r="AU209" s="170" t="s">
        <v>87</v>
      </c>
      <c r="AV209" s="14" t="s">
        <v>85</v>
      </c>
      <c r="AW209" s="14" t="s">
        <v>36</v>
      </c>
      <c r="AX209" s="14" t="s">
        <v>77</v>
      </c>
      <c r="AY209" s="170" t="s">
        <v>177</v>
      </c>
    </row>
    <row r="210" spans="1:65" s="13" customFormat="1">
      <c r="B210" s="161"/>
      <c r="D210" s="153" t="s">
        <v>193</v>
      </c>
      <c r="E210" s="162" t="s">
        <v>3</v>
      </c>
      <c r="F210" s="163" t="s">
        <v>2417</v>
      </c>
      <c r="H210" s="164">
        <v>14.7</v>
      </c>
      <c r="I210" s="165"/>
      <c r="L210" s="161"/>
      <c r="M210" s="166"/>
      <c r="N210" s="167"/>
      <c r="O210" s="167"/>
      <c r="P210" s="167"/>
      <c r="Q210" s="167"/>
      <c r="R210" s="167"/>
      <c r="S210" s="167"/>
      <c r="T210" s="168"/>
      <c r="AT210" s="162" t="s">
        <v>193</v>
      </c>
      <c r="AU210" s="162" t="s">
        <v>87</v>
      </c>
      <c r="AV210" s="13" t="s">
        <v>87</v>
      </c>
      <c r="AW210" s="13" t="s">
        <v>36</v>
      </c>
      <c r="AX210" s="13" t="s">
        <v>85</v>
      </c>
      <c r="AY210" s="162" t="s">
        <v>177</v>
      </c>
    </row>
    <row r="211" spans="1:65" s="2" customFormat="1" ht="16.5" customHeight="1">
      <c r="A211" s="34"/>
      <c r="B211" s="139"/>
      <c r="C211" s="195" t="s">
        <v>483</v>
      </c>
      <c r="D211" s="195" t="s">
        <v>484</v>
      </c>
      <c r="E211" s="196" t="s">
        <v>2394</v>
      </c>
      <c r="F211" s="197" t="s">
        <v>2395</v>
      </c>
      <c r="G211" s="198" t="s">
        <v>332</v>
      </c>
      <c r="H211" s="199">
        <v>16.170000000000002</v>
      </c>
      <c r="I211" s="200"/>
      <c r="J211" s="201">
        <f>ROUND(I211*H211,2)</f>
        <v>0</v>
      </c>
      <c r="K211" s="197" t="s">
        <v>184</v>
      </c>
      <c r="L211" s="202"/>
      <c r="M211" s="203" t="s">
        <v>3</v>
      </c>
      <c r="N211" s="204" t="s">
        <v>48</v>
      </c>
      <c r="O211" s="55"/>
      <c r="P211" s="149">
        <f>O211*H211</f>
        <v>0</v>
      </c>
      <c r="Q211" s="149">
        <v>3.3999999999999998E-3</v>
      </c>
      <c r="R211" s="149">
        <f>Q211*H211</f>
        <v>5.4978000000000006E-2</v>
      </c>
      <c r="S211" s="149">
        <v>0</v>
      </c>
      <c r="T211" s="150">
        <f>S211*H211</f>
        <v>0</v>
      </c>
      <c r="U211" s="34"/>
      <c r="V211" s="34"/>
      <c r="W211" s="34"/>
      <c r="X211" s="34"/>
      <c r="Y211" s="34"/>
      <c r="Z211" s="34"/>
      <c r="AA211" s="34"/>
      <c r="AB211" s="34"/>
      <c r="AC211" s="34"/>
      <c r="AD211" s="34"/>
      <c r="AE211" s="34"/>
      <c r="AR211" s="151" t="s">
        <v>248</v>
      </c>
      <c r="AT211" s="151" t="s">
        <v>484</v>
      </c>
      <c r="AU211" s="151" t="s">
        <v>87</v>
      </c>
      <c r="AY211" s="19" t="s">
        <v>177</v>
      </c>
      <c r="BE211" s="152">
        <f>IF(N211="základní",J211,0)</f>
        <v>0</v>
      </c>
      <c r="BF211" s="152">
        <f>IF(N211="snížená",J211,0)</f>
        <v>0</v>
      </c>
      <c r="BG211" s="152">
        <f>IF(N211="zákl. přenesená",J211,0)</f>
        <v>0</v>
      </c>
      <c r="BH211" s="152">
        <f>IF(N211="sníž. přenesená",J211,0)</f>
        <v>0</v>
      </c>
      <c r="BI211" s="152">
        <f>IF(N211="nulová",J211,0)</f>
        <v>0</v>
      </c>
      <c r="BJ211" s="19" t="s">
        <v>85</v>
      </c>
      <c r="BK211" s="152">
        <f>ROUND(I211*H211,2)</f>
        <v>0</v>
      </c>
      <c r="BL211" s="19" t="s">
        <v>185</v>
      </c>
      <c r="BM211" s="151" t="s">
        <v>2418</v>
      </c>
    </row>
    <row r="212" spans="1:65" s="2" customFormat="1">
      <c r="A212" s="34"/>
      <c r="B212" s="35"/>
      <c r="C212" s="34"/>
      <c r="D212" s="153" t="s">
        <v>187</v>
      </c>
      <c r="E212" s="34"/>
      <c r="F212" s="154" t="s">
        <v>2395</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187</v>
      </c>
      <c r="AU212" s="19" t="s">
        <v>87</v>
      </c>
    </row>
    <row r="213" spans="1:65" s="13" customFormat="1">
      <c r="B213" s="161"/>
      <c r="D213" s="153" t="s">
        <v>193</v>
      </c>
      <c r="F213" s="163" t="s">
        <v>2419</v>
      </c>
      <c r="H213" s="164">
        <v>16.170000000000002</v>
      </c>
      <c r="I213" s="165"/>
      <c r="L213" s="161"/>
      <c r="M213" s="166"/>
      <c r="N213" s="167"/>
      <c r="O213" s="167"/>
      <c r="P213" s="167"/>
      <c r="Q213" s="167"/>
      <c r="R213" s="167"/>
      <c r="S213" s="167"/>
      <c r="T213" s="168"/>
      <c r="AT213" s="162" t="s">
        <v>193</v>
      </c>
      <c r="AU213" s="162" t="s">
        <v>87</v>
      </c>
      <c r="AV213" s="13" t="s">
        <v>87</v>
      </c>
      <c r="AW213" s="13" t="s">
        <v>4</v>
      </c>
      <c r="AX213" s="13" t="s">
        <v>85</v>
      </c>
      <c r="AY213" s="162" t="s">
        <v>177</v>
      </c>
    </row>
    <row r="214" spans="1:65" s="2" customFormat="1" ht="24.2" customHeight="1">
      <c r="A214" s="34"/>
      <c r="B214" s="139"/>
      <c r="C214" s="140" t="s">
        <v>490</v>
      </c>
      <c r="D214" s="140" t="s">
        <v>180</v>
      </c>
      <c r="E214" s="141" t="s">
        <v>2411</v>
      </c>
      <c r="F214" s="142" t="s">
        <v>2412</v>
      </c>
      <c r="G214" s="143" t="s">
        <v>332</v>
      </c>
      <c r="H214" s="144">
        <v>47.517000000000003</v>
      </c>
      <c r="I214" s="145"/>
      <c r="J214" s="146">
        <f>ROUND(I214*H214,2)</f>
        <v>0</v>
      </c>
      <c r="K214" s="142" t="s">
        <v>184</v>
      </c>
      <c r="L214" s="35"/>
      <c r="M214" s="147" t="s">
        <v>3</v>
      </c>
      <c r="N214" s="148" t="s">
        <v>48</v>
      </c>
      <c r="O214" s="55"/>
      <c r="P214" s="149">
        <f>O214*H214</f>
        <v>0</v>
      </c>
      <c r="Q214" s="149">
        <v>8.6761600000000005E-3</v>
      </c>
      <c r="R214" s="149">
        <f>Q214*H214</f>
        <v>0.41226509472000006</v>
      </c>
      <c r="S214" s="149">
        <v>0</v>
      </c>
      <c r="T214" s="150">
        <f>S214*H214</f>
        <v>0</v>
      </c>
      <c r="U214" s="34"/>
      <c r="V214" s="34"/>
      <c r="W214" s="34"/>
      <c r="X214" s="34"/>
      <c r="Y214" s="34"/>
      <c r="Z214" s="34"/>
      <c r="AA214" s="34"/>
      <c r="AB214" s="34"/>
      <c r="AC214" s="34"/>
      <c r="AD214" s="34"/>
      <c r="AE214" s="34"/>
      <c r="AR214" s="151" t="s">
        <v>185</v>
      </c>
      <c r="AT214" s="151" t="s">
        <v>180</v>
      </c>
      <c r="AU214" s="151" t="s">
        <v>87</v>
      </c>
      <c r="AY214" s="19" t="s">
        <v>177</v>
      </c>
      <c r="BE214" s="152">
        <f>IF(N214="základní",J214,0)</f>
        <v>0</v>
      </c>
      <c r="BF214" s="152">
        <f>IF(N214="snížená",J214,0)</f>
        <v>0</v>
      </c>
      <c r="BG214" s="152">
        <f>IF(N214="zákl. přenesená",J214,0)</f>
        <v>0</v>
      </c>
      <c r="BH214" s="152">
        <f>IF(N214="sníž. přenesená",J214,0)</f>
        <v>0</v>
      </c>
      <c r="BI214" s="152">
        <f>IF(N214="nulová",J214,0)</f>
        <v>0</v>
      </c>
      <c r="BJ214" s="19" t="s">
        <v>85</v>
      </c>
      <c r="BK214" s="152">
        <f>ROUND(I214*H214,2)</f>
        <v>0</v>
      </c>
      <c r="BL214" s="19" t="s">
        <v>185</v>
      </c>
      <c r="BM214" s="151" t="s">
        <v>2420</v>
      </c>
    </row>
    <row r="215" spans="1:65" s="2" customFormat="1" ht="19.5">
      <c r="A215" s="34"/>
      <c r="B215" s="35"/>
      <c r="C215" s="34"/>
      <c r="D215" s="153" t="s">
        <v>187</v>
      </c>
      <c r="E215" s="34"/>
      <c r="F215" s="154" t="s">
        <v>2414</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187</v>
      </c>
      <c r="AU215" s="19" t="s">
        <v>87</v>
      </c>
    </row>
    <row r="216" spans="1:65" s="2" customFormat="1">
      <c r="A216" s="34"/>
      <c r="B216" s="35"/>
      <c r="C216" s="34"/>
      <c r="D216" s="158" t="s">
        <v>189</v>
      </c>
      <c r="E216" s="34"/>
      <c r="F216" s="159" t="s">
        <v>2415</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189</v>
      </c>
      <c r="AU216" s="19" t="s">
        <v>87</v>
      </c>
    </row>
    <row r="217" spans="1:65" s="2" customFormat="1" ht="175.5">
      <c r="A217" s="34"/>
      <c r="B217" s="35"/>
      <c r="C217" s="34"/>
      <c r="D217" s="153" t="s">
        <v>191</v>
      </c>
      <c r="E217" s="34"/>
      <c r="F217" s="160" t="s">
        <v>2391</v>
      </c>
      <c r="G217" s="34"/>
      <c r="H217" s="34"/>
      <c r="I217" s="155"/>
      <c r="J217" s="34"/>
      <c r="K217" s="34"/>
      <c r="L217" s="35"/>
      <c r="M217" s="156"/>
      <c r="N217" s="157"/>
      <c r="O217" s="55"/>
      <c r="P217" s="55"/>
      <c r="Q217" s="55"/>
      <c r="R217" s="55"/>
      <c r="S217" s="55"/>
      <c r="T217" s="56"/>
      <c r="U217" s="34"/>
      <c r="V217" s="34"/>
      <c r="W217" s="34"/>
      <c r="X217" s="34"/>
      <c r="Y217" s="34"/>
      <c r="Z217" s="34"/>
      <c r="AA217" s="34"/>
      <c r="AB217" s="34"/>
      <c r="AC217" s="34"/>
      <c r="AD217" s="34"/>
      <c r="AE217" s="34"/>
      <c r="AT217" s="19" t="s">
        <v>191</v>
      </c>
      <c r="AU217" s="19" t="s">
        <v>87</v>
      </c>
    </row>
    <row r="218" spans="1:65" s="14" customFormat="1">
      <c r="B218" s="169"/>
      <c r="D218" s="153" t="s">
        <v>193</v>
      </c>
      <c r="E218" s="170" t="s">
        <v>3</v>
      </c>
      <c r="F218" s="171" t="s">
        <v>574</v>
      </c>
      <c r="H218" s="170" t="s">
        <v>3</v>
      </c>
      <c r="I218" s="172"/>
      <c r="L218" s="169"/>
      <c r="M218" s="173"/>
      <c r="N218" s="174"/>
      <c r="O218" s="174"/>
      <c r="P218" s="174"/>
      <c r="Q218" s="174"/>
      <c r="R218" s="174"/>
      <c r="S218" s="174"/>
      <c r="T218" s="175"/>
      <c r="AT218" s="170" t="s">
        <v>193</v>
      </c>
      <c r="AU218" s="170" t="s">
        <v>87</v>
      </c>
      <c r="AV218" s="14" t="s">
        <v>85</v>
      </c>
      <c r="AW218" s="14" t="s">
        <v>36</v>
      </c>
      <c r="AX218" s="14" t="s">
        <v>77</v>
      </c>
      <c r="AY218" s="170" t="s">
        <v>177</v>
      </c>
    </row>
    <row r="219" spans="1:65" s="13" customFormat="1">
      <c r="B219" s="161"/>
      <c r="D219" s="153" t="s">
        <v>193</v>
      </c>
      <c r="E219" s="162" t="s">
        <v>3</v>
      </c>
      <c r="F219" s="163" t="s">
        <v>2421</v>
      </c>
      <c r="H219" s="164">
        <v>8.4</v>
      </c>
      <c r="I219" s="165"/>
      <c r="L219" s="161"/>
      <c r="M219" s="166"/>
      <c r="N219" s="167"/>
      <c r="O219" s="167"/>
      <c r="P219" s="167"/>
      <c r="Q219" s="167"/>
      <c r="R219" s="167"/>
      <c r="S219" s="167"/>
      <c r="T219" s="168"/>
      <c r="AT219" s="162" t="s">
        <v>193</v>
      </c>
      <c r="AU219" s="162" t="s">
        <v>87</v>
      </c>
      <c r="AV219" s="13" t="s">
        <v>87</v>
      </c>
      <c r="AW219" s="13" t="s">
        <v>36</v>
      </c>
      <c r="AX219" s="13" t="s">
        <v>77</v>
      </c>
      <c r="AY219" s="162" t="s">
        <v>177</v>
      </c>
    </row>
    <row r="220" spans="1:65" s="14" customFormat="1">
      <c r="B220" s="169"/>
      <c r="D220" s="153" t="s">
        <v>193</v>
      </c>
      <c r="E220" s="170" t="s">
        <v>3</v>
      </c>
      <c r="F220" s="171" t="s">
        <v>2422</v>
      </c>
      <c r="H220" s="170" t="s">
        <v>3</v>
      </c>
      <c r="I220" s="172"/>
      <c r="L220" s="169"/>
      <c r="M220" s="173"/>
      <c r="N220" s="174"/>
      <c r="O220" s="174"/>
      <c r="P220" s="174"/>
      <c r="Q220" s="174"/>
      <c r="R220" s="174"/>
      <c r="S220" s="174"/>
      <c r="T220" s="175"/>
      <c r="AT220" s="170" t="s">
        <v>193</v>
      </c>
      <c r="AU220" s="170" t="s">
        <v>87</v>
      </c>
      <c r="AV220" s="14" t="s">
        <v>85</v>
      </c>
      <c r="AW220" s="14" t="s">
        <v>36</v>
      </c>
      <c r="AX220" s="14" t="s">
        <v>77</v>
      </c>
      <c r="AY220" s="170" t="s">
        <v>177</v>
      </c>
    </row>
    <row r="221" spans="1:65" s="13" customFormat="1">
      <c r="B221" s="161"/>
      <c r="D221" s="153" t="s">
        <v>193</v>
      </c>
      <c r="E221" s="162" t="s">
        <v>3</v>
      </c>
      <c r="F221" s="163" t="s">
        <v>2423</v>
      </c>
      <c r="H221" s="164">
        <v>39.116999999999997</v>
      </c>
      <c r="I221" s="165"/>
      <c r="L221" s="161"/>
      <c r="M221" s="166"/>
      <c r="N221" s="167"/>
      <c r="O221" s="167"/>
      <c r="P221" s="167"/>
      <c r="Q221" s="167"/>
      <c r="R221" s="167"/>
      <c r="S221" s="167"/>
      <c r="T221" s="168"/>
      <c r="AT221" s="162" t="s">
        <v>193</v>
      </c>
      <c r="AU221" s="162" t="s">
        <v>87</v>
      </c>
      <c r="AV221" s="13" t="s">
        <v>87</v>
      </c>
      <c r="AW221" s="13" t="s">
        <v>36</v>
      </c>
      <c r="AX221" s="13" t="s">
        <v>77</v>
      </c>
      <c r="AY221" s="162" t="s">
        <v>177</v>
      </c>
    </row>
    <row r="222" spans="1:65" s="16" customFormat="1">
      <c r="B222" s="184"/>
      <c r="D222" s="153" t="s">
        <v>193</v>
      </c>
      <c r="E222" s="185" t="s">
        <v>3</v>
      </c>
      <c r="F222" s="186" t="s">
        <v>201</v>
      </c>
      <c r="H222" s="187">
        <v>47.517000000000003</v>
      </c>
      <c r="I222" s="188"/>
      <c r="L222" s="184"/>
      <c r="M222" s="189"/>
      <c r="N222" s="190"/>
      <c r="O222" s="190"/>
      <c r="P222" s="190"/>
      <c r="Q222" s="190"/>
      <c r="R222" s="190"/>
      <c r="S222" s="190"/>
      <c r="T222" s="191"/>
      <c r="AT222" s="185" t="s">
        <v>193</v>
      </c>
      <c r="AU222" s="185" t="s">
        <v>87</v>
      </c>
      <c r="AV222" s="16" t="s">
        <v>185</v>
      </c>
      <c r="AW222" s="16" t="s">
        <v>36</v>
      </c>
      <c r="AX222" s="16" t="s">
        <v>85</v>
      </c>
      <c r="AY222" s="185" t="s">
        <v>177</v>
      </c>
    </row>
    <row r="223" spans="1:65" s="2" customFormat="1" ht="16.5" customHeight="1">
      <c r="A223" s="34"/>
      <c r="B223" s="139"/>
      <c r="C223" s="195" t="s">
        <v>496</v>
      </c>
      <c r="D223" s="195" t="s">
        <v>484</v>
      </c>
      <c r="E223" s="196" t="s">
        <v>2424</v>
      </c>
      <c r="F223" s="197" t="s">
        <v>2425</v>
      </c>
      <c r="G223" s="198" t="s">
        <v>332</v>
      </c>
      <c r="H223" s="199">
        <v>48.466999999999999</v>
      </c>
      <c r="I223" s="200"/>
      <c r="J223" s="201">
        <f>ROUND(I223*H223,2)</f>
        <v>0</v>
      </c>
      <c r="K223" s="197" t="s">
        <v>184</v>
      </c>
      <c r="L223" s="202"/>
      <c r="M223" s="203" t="s">
        <v>3</v>
      </c>
      <c r="N223" s="204" t="s">
        <v>48</v>
      </c>
      <c r="O223" s="55"/>
      <c r="P223" s="149">
        <f>O223*H223</f>
        <v>0</v>
      </c>
      <c r="Q223" s="149">
        <v>5.4000000000000003E-3</v>
      </c>
      <c r="R223" s="149">
        <f>Q223*H223</f>
        <v>0.2617218</v>
      </c>
      <c r="S223" s="149">
        <v>0</v>
      </c>
      <c r="T223" s="150">
        <f>S223*H223</f>
        <v>0</v>
      </c>
      <c r="U223" s="34"/>
      <c r="V223" s="34"/>
      <c r="W223" s="34"/>
      <c r="X223" s="34"/>
      <c r="Y223" s="34"/>
      <c r="Z223" s="34"/>
      <c r="AA223" s="34"/>
      <c r="AB223" s="34"/>
      <c r="AC223" s="34"/>
      <c r="AD223" s="34"/>
      <c r="AE223" s="34"/>
      <c r="AR223" s="151" t="s">
        <v>248</v>
      </c>
      <c r="AT223" s="151" t="s">
        <v>484</v>
      </c>
      <c r="AU223" s="151" t="s">
        <v>87</v>
      </c>
      <c r="AY223" s="19" t="s">
        <v>177</v>
      </c>
      <c r="BE223" s="152">
        <f>IF(N223="základní",J223,0)</f>
        <v>0</v>
      </c>
      <c r="BF223" s="152">
        <f>IF(N223="snížená",J223,0)</f>
        <v>0</v>
      </c>
      <c r="BG223" s="152">
        <f>IF(N223="zákl. přenesená",J223,0)</f>
        <v>0</v>
      </c>
      <c r="BH223" s="152">
        <f>IF(N223="sníž. přenesená",J223,0)</f>
        <v>0</v>
      </c>
      <c r="BI223" s="152">
        <f>IF(N223="nulová",J223,0)</f>
        <v>0</v>
      </c>
      <c r="BJ223" s="19" t="s">
        <v>85</v>
      </c>
      <c r="BK223" s="152">
        <f>ROUND(I223*H223,2)</f>
        <v>0</v>
      </c>
      <c r="BL223" s="19" t="s">
        <v>185</v>
      </c>
      <c r="BM223" s="151" t="s">
        <v>2426</v>
      </c>
    </row>
    <row r="224" spans="1:65" s="2" customFormat="1">
      <c r="A224" s="34"/>
      <c r="B224" s="35"/>
      <c r="C224" s="34"/>
      <c r="D224" s="153" t="s">
        <v>187</v>
      </c>
      <c r="E224" s="34"/>
      <c r="F224" s="154" t="s">
        <v>2427</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187</v>
      </c>
      <c r="AU224" s="19" t="s">
        <v>87</v>
      </c>
    </row>
    <row r="225" spans="1:65" s="13" customFormat="1">
      <c r="B225" s="161"/>
      <c r="D225" s="153" t="s">
        <v>193</v>
      </c>
      <c r="F225" s="163" t="s">
        <v>2428</v>
      </c>
      <c r="H225" s="164">
        <v>48.466999999999999</v>
      </c>
      <c r="I225" s="165"/>
      <c r="L225" s="161"/>
      <c r="M225" s="166"/>
      <c r="N225" s="167"/>
      <c r="O225" s="167"/>
      <c r="P225" s="167"/>
      <c r="Q225" s="167"/>
      <c r="R225" s="167"/>
      <c r="S225" s="167"/>
      <c r="T225" s="168"/>
      <c r="AT225" s="162" t="s">
        <v>193</v>
      </c>
      <c r="AU225" s="162" t="s">
        <v>87</v>
      </c>
      <c r="AV225" s="13" t="s">
        <v>87</v>
      </c>
      <c r="AW225" s="13" t="s">
        <v>4</v>
      </c>
      <c r="AX225" s="13" t="s">
        <v>85</v>
      </c>
      <c r="AY225" s="162" t="s">
        <v>177</v>
      </c>
    </row>
    <row r="226" spans="1:65" s="2" customFormat="1" ht="24.2" customHeight="1">
      <c r="A226" s="34"/>
      <c r="B226" s="139"/>
      <c r="C226" s="140" t="s">
        <v>502</v>
      </c>
      <c r="D226" s="140" t="s">
        <v>180</v>
      </c>
      <c r="E226" s="141" t="s">
        <v>2429</v>
      </c>
      <c r="F226" s="142" t="s">
        <v>2430</v>
      </c>
      <c r="G226" s="143" t="s">
        <v>332</v>
      </c>
      <c r="H226" s="144">
        <v>11.066000000000001</v>
      </c>
      <c r="I226" s="145"/>
      <c r="J226" s="146">
        <f>ROUND(I226*H226,2)</f>
        <v>0</v>
      </c>
      <c r="K226" s="142" t="s">
        <v>184</v>
      </c>
      <c r="L226" s="35"/>
      <c r="M226" s="147" t="s">
        <v>3</v>
      </c>
      <c r="N226" s="148" t="s">
        <v>48</v>
      </c>
      <c r="O226" s="55"/>
      <c r="P226" s="149">
        <f>O226*H226</f>
        <v>0</v>
      </c>
      <c r="Q226" s="149">
        <v>1.2676959999999999E-2</v>
      </c>
      <c r="R226" s="149">
        <f>Q226*H226</f>
        <v>0.14028323936000001</v>
      </c>
      <c r="S226" s="149">
        <v>0</v>
      </c>
      <c r="T226" s="150">
        <f>S226*H226</f>
        <v>0</v>
      </c>
      <c r="U226" s="34"/>
      <c r="V226" s="34"/>
      <c r="W226" s="34"/>
      <c r="X226" s="34"/>
      <c r="Y226" s="34"/>
      <c r="Z226" s="34"/>
      <c r="AA226" s="34"/>
      <c r="AB226" s="34"/>
      <c r="AC226" s="34"/>
      <c r="AD226" s="34"/>
      <c r="AE226" s="34"/>
      <c r="AR226" s="151" t="s">
        <v>185</v>
      </c>
      <c r="AT226" s="151" t="s">
        <v>180</v>
      </c>
      <c r="AU226" s="151" t="s">
        <v>87</v>
      </c>
      <c r="AY226" s="19" t="s">
        <v>177</v>
      </c>
      <c r="BE226" s="152">
        <f>IF(N226="základní",J226,0)</f>
        <v>0</v>
      </c>
      <c r="BF226" s="152">
        <f>IF(N226="snížená",J226,0)</f>
        <v>0</v>
      </c>
      <c r="BG226" s="152">
        <f>IF(N226="zákl. přenesená",J226,0)</f>
        <v>0</v>
      </c>
      <c r="BH226" s="152">
        <f>IF(N226="sníž. přenesená",J226,0)</f>
        <v>0</v>
      </c>
      <c r="BI226" s="152">
        <f>IF(N226="nulová",J226,0)</f>
        <v>0</v>
      </c>
      <c r="BJ226" s="19" t="s">
        <v>85</v>
      </c>
      <c r="BK226" s="152">
        <f>ROUND(I226*H226,2)</f>
        <v>0</v>
      </c>
      <c r="BL226" s="19" t="s">
        <v>185</v>
      </c>
      <c r="BM226" s="151" t="s">
        <v>2431</v>
      </c>
    </row>
    <row r="227" spans="1:65" s="2" customFormat="1" ht="19.5">
      <c r="A227" s="34"/>
      <c r="B227" s="35"/>
      <c r="C227" s="34"/>
      <c r="D227" s="153" t="s">
        <v>187</v>
      </c>
      <c r="E227" s="34"/>
      <c r="F227" s="154" t="s">
        <v>2432</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187</v>
      </c>
      <c r="AU227" s="19" t="s">
        <v>87</v>
      </c>
    </row>
    <row r="228" spans="1:65" s="2" customFormat="1">
      <c r="A228" s="34"/>
      <c r="B228" s="35"/>
      <c r="C228" s="34"/>
      <c r="D228" s="158" t="s">
        <v>189</v>
      </c>
      <c r="E228" s="34"/>
      <c r="F228" s="159" t="s">
        <v>2433</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189</v>
      </c>
      <c r="AU228" s="19" t="s">
        <v>87</v>
      </c>
    </row>
    <row r="229" spans="1:65" s="2" customFormat="1" ht="175.5">
      <c r="A229" s="34"/>
      <c r="B229" s="35"/>
      <c r="C229" s="34"/>
      <c r="D229" s="153" t="s">
        <v>191</v>
      </c>
      <c r="E229" s="34"/>
      <c r="F229" s="160" t="s">
        <v>2391</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191</v>
      </c>
      <c r="AU229" s="19" t="s">
        <v>87</v>
      </c>
    </row>
    <row r="230" spans="1:65" s="14" customFormat="1">
      <c r="B230" s="169"/>
      <c r="D230" s="153" t="s">
        <v>193</v>
      </c>
      <c r="E230" s="170" t="s">
        <v>3</v>
      </c>
      <c r="F230" s="171" t="s">
        <v>2434</v>
      </c>
      <c r="H230" s="170" t="s">
        <v>3</v>
      </c>
      <c r="I230" s="172"/>
      <c r="L230" s="169"/>
      <c r="M230" s="173"/>
      <c r="N230" s="174"/>
      <c r="O230" s="174"/>
      <c r="P230" s="174"/>
      <c r="Q230" s="174"/>
      <c r="R230" s="174"/>
      <c r="S230" s="174"/>
      <c r="T230" s="175"/>
      <c r="AT230" s="170" t="s">
        <v>193</v>
      </c>
      <c r="AU230" s="170" t="s">
        <v>87</v>
      </c>
      <c r="AV230" s="14" t="s">
        <v>85</v>
      </c>
      <c r="AW230" s="14" t="s">
        <v>36</v>
      </c>
      <c r="AX230" s="14" t="s">
        <v>77</v>
      </c>
      <c r="AY230" s="170" t="s">
        <v>177</v>
      </c>
    </row>
    <row r="231" spans="1:65" s="13" customFormat="1">
      <c r="B231" s="161"/>
      <c r="D231" s="153" t="s">
        <v>193</v>
      </c>
      <c r="E231" s="162" t="s">
        <v>3</v>
      </c>
      <c r="F231" s="163" t="s">
        <v>2435</v>
      </c>
      <c r="H231" s="164">
        <v>11.066000000000001</v>
      </c>
      <c r="I231" s="165"/>
      <c r="L231" s="161"/>
      <c r="M231" s="166"/>
      <c r="N231" s="167"/>
      <c r="O231" s="167"/>
      <c r="P231" s="167"/>
      <c r="Q231" s="167"/>
      <c r="R231" s="167"/>
      <c r="S231" s="167"/>
      <c r="T231" s="168"/>
      <c r="AT231" s="162" t="s">
        <v>193</v>
      </c>
      <c r="AU231" s="162" t="s">
        <v>87</v>
      </c>
      <c r="AV231" s="13" t="s">
        <v>87</v>
      </c>
      <c r="AW231" s="13" t="s">
        <v>36</v>
      </c>
      <c r="AX231" s="13" t="s">
        <v>85</v>
      </c>
      <c r="AY231" s="162" t="s">
        <v>177</v>
      </c>
    </row>
    <row r="232" spans="1:65" s="2" customFormat="1" ht="16.5" customHeight="1">
      <c r="A232" s="34"/>
      <c r="B232" s="139"/>
      <c r="C232" s="195" t="s">
        <v>504</v>
      </c>
      <c r="D232" s="195" t="s">
        <v>484</v>
      </c>
      <c r="E232" s="196" t="s">
        <v>2436</v>
      </c>
      <c r="F232" s="197" t="s">
        <v>2437</v>
      </c>
      <c r="G232" s="198" t="s">
        <v>332</v>
      </c>
      <c r="H232" s="199">
        <v>12.173</v>
      </c>
      <c r="I232" s="200"/>
      <c r="J232" s="201">
        <f>ROUND(I232*H232,2)</f>
        <v>0</v>
      </c>
      <c r="K232" s="197" t="s">
        <v>184</v>
      </c>
      <c r="L232" s="202"/>
      <c r="M232" s="203" t="s">
        <v>3</v>
      </c>
      <c r="N232" s="204" t="s">
        <v>48</v>
      </c>
      <c r="O232" s="55"/>
      <c r="P232" s="149">
        <f>O232*H232</f>
        <v>0</v>
      </c>
      <c r="Q232" s="149">
        <v>1.4E-2</v>
      </c>
      <c r="R232" s="149">
        <f>Q232*H232</f>
        <v>0.17042200000000002</v>
      </c>
      <c r="S232" s="149">
        <v>0</v>
      </c>
      <c r="T232" s="150">
        <f>S232*H232</f>
        <v>0</v>
      </c>
      <c r="U232" s="34"/>
      <c r="V232" s="34"/>
      <c r="W232" s="34"/>
      <c r="X232" s="34"/>
      <c r="Y232" s="34"/>
      <c r="Z232" s="34"/>
      <c r="AA232" s="34"/>
      <c r="AB232" s="34"/>
      <c r="AC232" s="34"/>
      <c r="AD232" s="34"/>
      <c r="AE232" s="34"/>
      <c r="AR232" s="151" t="s">
        <v>248</v>
      </c>
      <c r="AT232" s="151" t="s">
        <v>484</v>
      </c>
      <c r="AU232" s="151" t="s">
        <v>87</v>
      </c>
      <c r="AY232" s="19" t="s">
        <v>177</v>
      </c>
      <c r="BE232" s="152">
        <f>IF(N232="základní",J232,0)</f>
        <v>0</v>
      </c>
      <c r="BF232" s="152">
        <f>IF(N232="snížená",J232,0)</f>
        <v>0</v>
      </c>
      <c r="BG232" s="152">
        <f>IF(N232="zákl. přenesená",J232,0)</f>
        <v>0</v>
      </c>
      <c r="BH232" s="152">
        <f>IF(N232="sníž. přenesená",J232,0)</f>
        <v>0</v>
      </c>
      <c r="BI232" s="152">
        <f>IF(N232="nulová",J232,0)</f>
        <v>0</v>
      </c>
      <c r="BJ232" s="19" t="s">
        <v>85</v>
      </c>
      <c r="BK232" s="152">
        <f>ROUND(I232*H232,2)</f>
        <v>0</v>
      </c>
      <c r="BL232" s="19" t="s">
        <v>185</v>
      </c>
      <c r="BM232" s="151" t="s">
        <v>2438</v>
      </c>
    </row>
    <row r="233" spans="1:65" s="2" customFormat="1">
      <c r="A233" s="34"/>
      <c r="B233" s="35"/>
      <c r="C233" s="34"/>
      <c r="D233" s="153" t="s">
        <v>187</v>
      </c>
      <c r="E233" s="34"/>
      <c r="F233" s="154" t="s">
        <v>2439</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187</v>
      </c>
      <c r="AU233" s="19" t="s">
        <v>87</v>
      </c>
    </row>
    <row r="234" spans="1:65" s="13" customFormat="1">
      <c r="B234" s="161"/>
      <c r="D234" s="153" t="s">
        <v>193</v>
      </c>
      <c r="F234" s="163" t="s">
        <v>2440</v>
      </c>
      <c r="H234" s="164">
        <v>12.173</v>
      </c>
      <c r="I234" s="165"/>
      <c r="L234" s="161"/>
      <c r="M234" s="166"/>
      <c r="N234" s="167"/>
      <c r="O234" s="167"/>
      <c r="P234" s="167"/>
      <c r="Q234" s="167"/>
      <c r="R234" s="167"/>
      <c r="S234" s="167"/>
      <c r="T234" s="168"/>
      <c r="AT234" s="162" t="s">
        <v>193</v>
      </c>
      <c r="AU234" s="162" t="s">
        <v>87</v>
      </c>
      <c r="AV234" s="13" t="s">
        <v>87</v>
      </c>
      <c r="AW234" s="13" t="s">
        <v>4</v>
      </c>
      <c r="AX234" s="13" t="s">
        <v>85</v>
      </c>
      <c r="AY234" s="162" t="s">
        <v>177</v>
      </c>
    </row>
    <row r="235" spans="1:65" s="2" customFormat="1" ht="24.2" customHeight="1">
      <c r="A235" s="34"/>
      <c r="B235" s="139"/>
      <c r="C235" s="140" t="s">
        <v>507</v>
      </c>
      <c r="D235" s="140" t="s">
        <v>180</v>
      </c>
      <c r="E235" s="141" t="s">
        <v>2441</v>
      </c>
      <c r="F235" s="142" t="s">
        <v>2442</v>
      </c>
      <c r="G235" s="143" t="s">
        <v>332</v>
      </c>
      <c r="H235" s="144">
        <v>413.33100000000002</v>
      </c>
      <c r="I235" s="145"/>
      <c r="J235" s="146">
        <f>ROUND(I235*H235,2)</f>
        <v>0</v>
      </c>
      <c r="K235" s="142" t="s">
        <v>184</v>
      </c>
      <c r="L235" s="35"/>
      <c r="M235" s="147" t="s">
        <v>3</v>
      </c>
      <c r="N235" s="148" t="s">
        <v>48</v>
      </c>
      <c r="O235" s="55"/>
      <c r="P235" s="149">
        <f>O235*H235</f>
        <v>0</v>
      </c>
      <c r="Q235" s="149">
        <v>1.2756959999999999E-2</v>
      </c>
      <c r="R235" s="149">
        <f>Q235*H235</f>
        <v>5.2728470337599997</v>
      </c>
      <c r="S235" s="149">
        <v>0</v>
      </c>
      <c r="T235" s="150">
        <f>S235*H235</f>
        <v>0</v>
      </c>
      <c r="U235" s="34"/>
      <c r="V235" s="34"/>
      <c r="W235" s="34"/>
      <c r="X235" s="34"/>
      <c r="Y235" s="34"/>
      <c r="Z235" s="34"/>
      <c r="AA235" s="34"/>
      <c r="AB235" s="34"/>
      <c r="AC235" s="34"/>
      <c r="AD235" s="34"/>
      <c r="AE235" s="34"/>
      <c r="AR235" s="151" t="s">
        <v>185</v>
      </c>
      <c r="AT235" s="151" t="s">
        <v>180</v>
      </c>
      <c r="AU235" s="151" t="s">
        <v>87</v>
      </c>
      <c r="AY235" s="19" t="s">
        <v>177</v>
      </c>
      <c r="BE235" s="152">
        <f>IF(N235="základní",J235,0)</f>
        <v>0</v>
      </c>
      <c r="BF235" s="152">
        <f>IF(N235="snížená",J235,0)</f>
        <v>0</v>
      </c>
      <c r="BG235" s="152">
        <f>IF(N235="zákl. přenesená",J235,0)</f>
        <v>0</v>
      </c>
      <c r="BH235" s="152">
        <f>IF(N235="sníž. přenesená",J235,0)</f>
        <v>0</v>
      </c>
      <c r="BI235" s="152">
        <f>IF(N235="nulová",J235,0)</f>
        <v>0</v>
      </c>
      <c r="BJ235" s="19" t="s">
        <v>85</v>
      </c>
      <c r="BK235" s="152">
        <f>ROUND(I235*H235,2)</f>
        <v>0</v>
      </c>
      <c r="BL235" s="19" t="s">
        <v>185</v>
      </c>
      <c r="BM235" s="151" t="s">
        <v>2443</v>
      </c>
    </row>
    <row r="236" spans="1:65" s="2" customFormat="1" ht="19.5">
      <c r="A236" s="34"/>
      <c r="B236" s="35"/>
      <c r="C236" s="34"/>
      <c r="D236" s="153" t="s">
        <v>187</v>
      </c>
      <c r="E236" s="34"/>
      <c r="F236" s="154" t="s">
        <v>2444</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187</v>
      </c>
      <c r="AU236" s="19" t="s">
        <v>87</v>
      </c>
    </row>
    <row r="237" spans="1:65" s="2" customFormat="1">
      <c r="A237" s="34"/>
      <c r="B237" s="35"/>
      <c r="C237" s="34"/>
      <c r="D237" s="158" t="s">
        <v>189</v>
      </c>
      <c r="E237" s="34"/>
      <c r="F237" s="159" t="s">
        <v>2445</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189</v>
      </c>
      <c r="AU237" s="19" t="s">
        <v>87</v>
      </c>
    </row>
    <row r="238" spans="1:65" s="2" customFormat="1" ht="175.5">
      <c r="A238" s="34"/>
      <c r="B238" s="35"/>
      <c r="C238" s="34"/>
      <c r="D238" s="153" t="s">
        <v>191</v>
      </c>
      <c r="E238" s="34"/>
      <c r="F238" s="160" t="s">
        <v>2391</v>
      </c>
      <c r="G238" s="34"/>
      <c r="H238" s="34"/>
      <c r="I238" s="155"/>
      <c r="J238" s="34"/>
      <c r="K238" s="34"/>
      <c r="L238" s="35"/>
      <c r="M238" s="156"/>
      <c r="N238" s="157"/>
      <c r="O238" s="55"/>
      <c r="P238" s="55"/>
      <c r="Q238" s="55"/>
      <c r="R238" s="55"/>
      <c r="S238" s="55"/>
      <c r="T238" s="56"/>
      <c r="U238" s="34"/>
      <c r="V238" s="34"/>
      <c r="W238" s="34"/>
      <c r="X238" s="34"/>
      <c r="Y238" s="34"/>
      <c r="Z238" s="34"/>
      <c r="AA238" s="34"/>
      <c r="AB238" s="34"/>
      <c r="AC238" s="34"/>
      <c r="AD238" s="34"/>
      <c r="AE238" s="34"/>
      <c r="AT238" s="19" t="s">
        <v>191</v>
      </c>
      <c r="AU238" s="19" t="s">
        <v>87</v>
      </c>
    </row>
    <row r="239" spans="1:65" s="13" customFormat="1">
      <c r="B239" s="161"/>
      <c r="D239" s="153" t="s">
        <v>193</v>
      </c>
      <c r="E239" s="162" t="s">
        <v>3</v>
      </c>
      <c r="F239" s="163" t="s">
        <v>2446</v>
      </c>
      <c r="H239" s="164">
        <v>245</v>
      </c>
      <c r="I239" s="165"/>
      <c r="L239" s="161"/>
      <c r="M239" s="166"/>
      <c r="N239" s="167"/>
      <c r="O239" s="167"/>
      <c r="P239" s="167"/>
      <c r="Q239" s="167"/>
      <c r="R239" s="167"/>
      <c r="S239" s="167"/>
      <c r="T239" s="168"/>
      <c r="AT239" s="162" t="s">
        <v>193</v>
      </c>
      <c r="AU239" s="162" t="s">
        <v>87</v>
      </c>
      <c r="AV239" s="13" t="s">
        <v>87</v>
      </c>
      <c r="AW239" s="13" t="s">
        <v>36</v>
      </c>
      <c r="AX239" s="13" t="s">
        <v>77</v>
      </c>
      <c r="AY239" s="162" t="s">
        <v>177</v>
      </c>
    </row>
    <row r="240" spans="1:65" s="13" customFormat="1">
      <c r="B240" s="161"/>
      <c r="D240" s="153" t="s">
        <v>193</v>
      </c>
      <c r="E240" s="162" t="s">
        <v>3</v>
      </c>
      <c r="F240" s="163" t="s">
        <v>2447</v>
      </c>
      <c r="H240" s="164">
        <v>136.791</v>
      </c>
      <c r="I240" s="165"/>
      <c r="L240" s="161"/>
      <c r="M240" s="166"/>
      <c r="N240" s="167"/>
      <c r="O240" s="167"/>
      <c r="P240" s="167"/>
      <c r="Q240" s="167"/>
      <c r="R240" s="167"/>
      <c r="S240" s="167"/>
      <c r="T240" s="168"/>
      <c r="AT240" s="162" t="s">
        <v>193</v>
      </c>
      <c r="AU240" s="162" t="s">
        <v>87</v>
      </c>
      <c r="AV240" s="13" t="s">
        <v>87</v>
      </c>
      <c r="AW240" s="13" t="s">
        <v>36</v>
      </c>
      <c r="AX240" s="13" t="s">
        <v>77</v>
      </c>
      <c r="AY240" s="162" t="s">
        <v>177</v>
      </c>
    </row>
    <row r="241" spans="1:65" s="13" customFormat="1">
      <c r="B241" s="161"/>
      <c r="D241" s="153" t="s">
        <v>193</v>
      </c>
      <c r="E241" s="162" t="s">
        <v>3</v>
      </c>
      <c r="F241" s="163" t="s">
        <v>2448</v>
      </c>
      <c r="H241" s="164">
        <v>95</v>
      </c>
      <c r="I241" s="165"/>
      <c r="L241" s="161"/>
      <c r="M241" s="166"/>
      <c r="N241" s="167"/>
      <c r="O241" s="167"/>
      <c r="P241" s="167"/>
      <c r="Q241" s="167"/>
      <c r="R241" s="167"/>
      <c r="S241" s="167"/>
      <c r="T241" s="168"/>
      <c r="AT241" s="162" t="s">
        <v>193</v>
      </c>
      <c r="AU241" s="162" t="s">
        <v>87</v>
      </c>
      <c r="AV241" s="13" t="s">
        <v>87</v>
      </c>
      <c r="AW241" s="13" t="s">
        <v>36</v>
      </c>
      <c r="AX241" s="13" t="s">
        <v>77</v>
      </c>
      <c r="AY241" s="162" t="s">
        <v>177</v>
      </c>
    </row>
    <row r="242" spans="1:65" s="13" customFormat="1">
      <c r="B242" s="161"/>
      <c r="D242" s="153" t="s">
        <v>193</v>
      </c>
      <c r="E242" s="162" t="s">
        <v>3</v>
      </c>
      <c r="F242" s="163" t="s">
        <v>2449</v>
      </c>
      <c r="H242" s="164">
        <v>70.58</v>
      </c>
      <c r="I242" s="165"/>
      <c r="L242" s="161"/>
      <c r="M242" s="166"/>
      <c r="N242" s="167"/>
      <c r="O242" s="167"/>
      <c r="P242" s="167"/>
      <c r="Q242" s="167"/>
      <c r="R242" s="167"/>
      <c r="S242" s="167"/>
      <c r="T242" s="168"/>
      <c r="AT242" s="162" t="s">
        <v>193</v>
      </c>
      <c r="AU242" s="162" t="s">
        <v>87</v>
      </c>
      <c r="AV242" s="13" t="s">
        <v>87</v>
      </c>
      <c r="AW242" s="13" t="s">
        <v>36</v>
      </c>
      <c r="AX242" s="13" t="s">
        <v>77</v>
      </c>
      <c r="AY242" s="162" t="s">
        <v>177</v>
      </c>
    </row>
    <row r="243" spans="1:65" s="15" customFormat="1">
      <c r="B243" s="176"/>
      <c r="D243" s="153" t="s">
        <v>193</v>
      </c>
      <c r="E243" s="177" t="s">
        <v>3</v>
      </c>
      <c r="F243" s="178" t="s">
        <v>197</v>
      </c>
      <c r="H243" s="179">
        <v>547.37099999999998</v>
      </c>
      <c r="I243" s="180"/>
      <c r="L243" s="176"/>
      <c r="M243" s="181"/>
      <c r="N243" s="182"/>
      <c r="O243" s="182"/>
      <c r="P243" s="182"/>
      <c r="Q243" s="182"/>
      <c r="R243" s="182"/>
      <c r="S243" s="182"/>
      <c r="T243" s="183"/>
      <c r="AT243" s="177" t="s">
        <v>193</v>
      </c>
      <c r="AU243" s="177" t="s">
        <v>87</v>
      </c>
      <c r="AV243" s="15" t="s">
        <v>198</v>
      </c>
      <c r="AW243" s="15" t="s">
        <v>36</v>
      </c>
      <c r="AX243" s="15" t="s">
        <v>77</v>
      </c>
      <c r="AY243" s="177" t="s">
        <v>177</v>
      </c>
    </row>
    <row r="244" spans="1:65" s="13" customFormat="1">
      <c r="B244" s="161"/>
      <c r="D244" s="153" t="s">
        <v>193</v>
      </c>
      <c r="E244" s="162" t="s">
        <v>3</v>
      </c>
      <c r="F244" s="163" t="s">
        <v>2450</v>
      </c>
      <c r="H244" s="164">
        <v>-60.6</v>
      </c>
      <c r="I244" s="165"/>
      <c r="L244" s="161"/>
      <c r="M244" s="166"/>
      <c r="N244" s="167"/>
      <c r="O244" s="167"/>
      <c r="P244" s="167"/>
      <c r="Q244" s="167"/>
      <c r="R244" s="167"/>
      <c r="S244" s="167"/>
      <c r="T244" s="168"/>
      <c r="AT244" s="162" t="s">
        <v>193</v>
      </c>
      <c r="AU244" s="162" t="s">
        <v>87</v>
      </c>
      <c r="AV244" s="13" t="s">
        <v>87</v>
      </c>
      <c r="AW244" s="13" t="s">
        <v>36</v>
      </c>
      <c r="AX244" s="13" t="s">
        <v>77</v>
      </c>
      <c r="AY244" s="162" t="s">
        <v>177</v>
      </c>
    </row>
    <row r="245" spans="1:65" s="13" customFormat="1">
      <c r="B245" s="161"/>
      <c r="D245" s="153" t="s">
        <v>193</v>
      </c>
      <c r="E245" s="162" t="s">
        <v>3</v>
      </c>
      <c r="F245" s="163" t="s">
        <v>2451</v>
      </c>
      <c r="H245" s="164">
        <v>-73.44</v>
      </c>
      <c r="I245" s="165"/>
      <c r="L245" s="161"/>
      <c r="M245" s="166"/>
      <c r="N245" s="167"/>
      <c r="O245" s="167"/>
      <c r="P245" s="167"/>
      <c r="Q245" s="167"/>
      <c r="R245" s="167"/>
      <c r="S245" s="167"/>
      <c r="T245" s="168"/>
      <c r="AT245" s="162" t="s">
        <v>193</v>
      </c>
      <c r="AU245" s="162" t="s">
        <v>87</v>
      </c>
      <c r="AV245" s="13" t="s">
        <v>87</v>
      </c>
      <c r="AW245" s="13" t="s">
        <v>36</v>
      </c>
      <c r="AX245" s="13" t="s">
        <v>77</v>
      </c>
      <c r="AY245" s="162" t="s">
        <v>177</v>
      </c>
    </row>
    <row r="246" spans="1:65" s="15" customFormat="1">
      <c r="B246" s="176"/>
      <c r="D246" s="153" t="s">
        <v>193</v>
      </c>
      <c r="E246" s="177" t="s">
        <v>3</v>
      </c>
      <c r="F246" s="178" t="s">
        <v>197</v>
      </c>
      <c r="H246" s="179">
        <v>-134.04</v>
      </c>
      <c r="I246" s="180"/>
      <c r="L246" s="176"/>
      <c r="M246" s="181"/>
      <c r="N246" s="182"/>
      <c r="O246" s="182"/>
      <c r="P246" s="182"/>
      <c r="Q246" s="182"/>
      <c r="R246" s="182"/>
      <c r="S246" s="182"/>
      <c r="T246" s="183"/>
      <c r="AT246" s="177" t="s">
        <v>193</v>
      </c>
      <c r="AU246" s="177" t="s">
        <v>87</v>
      </c>
      <c r="AV246" s="15" t="s">
        <v>198</v>
      </c>
      <c r="AW246" s="15" t="s">
        <v>36</v>
      </c>
      <c r="AX246" s="15" t="s">
        <v>77</v>
      </c>
      <c r="AY246" s="177" t="s">
        <v>177</v>
      </c>
    </row>
    <row r="247" spans="1:65" s="16" customFormat="1">
      <c r="B247" s="184"/>
      <c r="D247" s="153" t="s">
        <v>193</v>
      </c>
      <c r="E247" s="185" t="s">
        <v>3</v>
      </c>
      <c r="F247" s="186" t="s">
        <v>201</v>
      </c>
      <c r="H247" s="187">
        <v>413.33100000000002</v>
      </c>
      <c r="I247" s="188"/>
      <c r="L247" s="184"/>
      <c r="M247" s="189"/>
      <c r="N247" s="190"/>
      <c r="O247" s="190"/>
      <c r="P247" s="190"/>
      <c r="Q247" s="190"/>
      <c r="R247" s="190"/>
      <c r="S247" s="190"/>
      <c r="T247" s="191"/>
      <c r="AT247" s="185" t="s">
        <v>193</v>
      </c>
      <c r="AU247" s="185" t="s">
        <v>87</v>
      </c>
      <c r="AV247" s="16" t="s">
        <v>185</v>
      </c>
      <c r="AW247" s="16" t="s">
        <v>36</v>
      </c>
      <c r="AX247" s="16" t="s">
        <v>85</v>
      </c>
      <c r="AY247" s="185" t="s">
        <v>177</v>
      </c>
    </row>
    <row r="248" spans="1:65" s="2" customFormat="1" ht="16.5" customHeight="1">
      <c r="A248" s="34"/>
      <c r="B248" s="139"/>
      <c r="C248" s="195" t="s">
        <v>509</v>
      </c>
      <c r="D248" s="195" t="s">
        <v>484</v>
      </c>
      <c r="E248" s="196" t="s">
        <v>2452</v>
      </c>
      <c r="F248" s="197" t="s">
        <v>2453</v>
      </c>
      <c r="G248" s="198" t="s">
        <v>332</v>
      </c>
      <c r="H248" s="199">
        <v>454.66399999999999</v>
      </c>
      <c r="I248" s="200"/>
      <c r="J248" s="201">
        <f>ROUND(I248*H248,2)</f>
        <v>0</v>
      </c>
      <c r="K248" s="197" t="s">
        <v>184</v>
      </c>
      <c r="L248" s="202"/>
      <c r="M248" s="203" t="s">
        <v>3</v>
      </c>
      <c r="N248" s="204" t="s">
        <v>48</v>
      </c>
      <c r="O248" s="55"/>
      <c r="P248" s="149">
        <f>O248*H248</f>
        <v>0</v>
      </c>
      <c r="Q248" s="149">
        <v>0.02</v>
      </c>
      <c r="R248" s="149">
        <f>Q248*H248</f>
        <v>9.09328</v>
      </c>
      <c r="S248" s="149">
        <v>0</v>
      </c>
      <c r="T248" s="150">
        <f>S248*H248</f>
        <v>0</v>
      </c>
      <c r="U248" s="34"/>
      <c r="V248" s="34"/>
      <c r="W248" s="34"/>
      <c r="X248" s="34"/>
      <c r="Y248" s="34"/>
      <c r="Z248" s="34"/>
      <c r="AA248" s="34"/>
      <c r="AB248" s="34"/>
      <c r="AC248" s="34"/>
      <c r="AD248" s="34"/>
      <c r="AE248" s="34"/>
      <c r="AR248" s="151" t="s">
        <v>248</v>
      </c>
      <c r="AT248" s="151" t="s">
        <v>484</v>
      </c>
      <c r="AU248" s="151" t="s">
        <v>87</v>
      </c>
      <c r="AY248" s="19" t="s">
        <v>177</v>
      </c>
      <c r="BE248" s="152">
        <f>IF(N248="základní",J248,0)</f>
        <v>0</v>
      </c>
      <c r="BF248" s="152">
        <f>IF(N248="snížená",J248,0)</f>
        <v>0</v>
      </c>
      <c r="BG248" s="152">
        <f>IF(N248="zákl. přenesená",J248,0)</f>
        <v>0</v>
      </c>
      <c r="BH248" s="152">
        <f>IF(N248="sníž. přenesená",J248,0)</f>
        <v>0</v>
      </c>
      <c r="BI248" s="152">
        <f>IF(N248="nulová",J248,0)</f>
        <v>0</v>
      </c>
      <c r="BJ248" s="19" t="s">
        <v>85</v>
      </c>
      <c r="BK248" s="152">
        <f>ROUND(I248*H248,2)</f>
        <v>0</v>
      </c>
      <c r="BL248" s="19" t="s">
        <v>185</v>
      </c>
      <c r="BM248" s="151" t="s">
        <v>2454</v>
      </c>
    </row>
    <row r="249" spans="1:65" s="2" customFormat="1">
      <c r="A249" s="34"/>
      <c r="B249" s="35"/>
      <c r="C249" s="34"/>
      <c r="D249" s="153" t="s">
        <v>187</v>
      </c>
      <c r="E249" s="34"/>
      <c r="F249" s="154" t="s">
        <v>2455</v>
      </c>
      <c r="G249" s="34"/>
      <c r="H249" s="34"/>
      <c r="I249" s="155"/>
      <c r="J249" s="34"/>
      <c r="K249" s="34"/>
      <c r="L249" s="35"/>
      <c r="M249" s="156"/>
      <c r="N249" s="157"/>
      <c r="O249" s="55"/>
      <c r="P249" s="55"/>
      <c r="Q249" s="55"/>
      <c r="R249" s="55"/>
      <c r="S249" s="55"/>
      <c r="T249" s="56"/>
      <c r="U249" s="34"/>
      <c r="V249" s="34"/>
      <c r="W249" s="34"/>
      <c r="X249" s="34"/>
      <c r="Y249" s="34"/>
      <c r="Z249" s="34"/>
      <c r="AA249" s="34"/>
      <c r="AB249" s="34"/>
      <c r="AC249" s="34"/>
      <c r="AD249" s="34"/>
      <c r="AE249" s="34"/>
      <c r="AT249" s="19" t="s">
        <v>187</v>
      </c>
      <c r="AU249" s="19" t="s">
        <v>87</v>
      </c>
    </row>
    <row r="250" spans="1:65" s="13" customFormat="1">
      <c r="B250" s="161"/>
      <c r="D250" s="153" t="s">
        <v>193</v>
      </c>
      <c r="F250" s="163" t="s">
        <v>2456</v>
      </c>
      <c r="H250" s="164">
        <v>454.66399999999999</v>
      </c>
      <c r="I250" s="165"/>
      <c r="L250" s="161"/>
      <c r="M250" s="166"/>
      <c r="N250" s="167"/>
      <c r="O250" s="167"/>
      <c r="P250" s="167"/>
      <c r="Q250" s="167"/>
      <c r="R250" s="167"/>
      <c r="S250" s="167"/>
      <c r="T250" s="168"/>
      <c r="AT250" s="162" t="s">
        <v>193</v>
      </c>
      <c r="AU250" s="162" t="s">
        <v>87</v>
      </c>
      <c r="AV250" s="13" t="s">
        <v>87</v>
      </c>
      <c r="AW250" s="13" t="s">
        <v>4</v>
      </c>
      <c r="AX250" s="13" t="s">
        <v>85</v>
      </c>
      <c r="AY250" s="162" t="s">
        <v>177</v>
      </c>
    </row>
    <row r="251" spans="1:65" s="2" customFormat="1" ht="24.2" customHeight="1">
      <c r="A251" s="34"/>
      <c r="B251" s="139"/>
      <c r="C251" s="140" t="s">
        <v>512</v>
      </c>
      <c r="D251" s="140" t="s">
        <v>180</v>
      </c>
      <c r="E251" s="141" t="s">
        <v>2457</v>
      </c>
      <c r="F251" s="142" t="s">
        <v>2458</v>
      </c>
      <c r="G251" s="143" t="s">
        <v>476</v>
      </c>
      <c r="H251" s="144">
        <v>236.4</v>
      </c>
      <c r="I251" s="145"/>
      <c r="J251" s="146">
        <f>ROUND(I251*H251,2)</f>
        <v>0</v>
      </c>
      <c r="K251" s="142" t="s">
        <v>184</v>
      </c>
      <c r="L251" s="35"/>
      <c r="M251" s="147" t="s">
        <v>3</v>
      </c>
      <c r="N251" s="148" t="s">
        <v>48</v>
      </c>
      <c r="O251" s="55"/>
      <c r="P251" s="149">
        <f>O251*H251</f>
        <v>0</v>
      </c>
      <c r="Q251" s="149">
        <v>3.3899999999999998E-3</v>
      </c>
      <c r="R251" s="149">
        <f>Q251*H251</f>
        <v>0.801396</v>
      </c>
      <c r="S251" s="149">
        <v>0</v>
      </c>
      <c r="T251" s="150">
        <f>S251*H251</f>
        <v>0</v>
      </c>
      <c r="U251" s="34"/>
      <c r="V251" s="34"/>
      <c r="W251" s="34"/>
      <c r="X251" s="34"/>
      <c r="Y251" s="34"/>
      <c r="Z251" s="34"/>
      <c r="AA251" s="34"/>
      <c r="AB251" s="34"/>
      <c r="AC251" s="34"/>
      <c r="AD251" s="34"/>
      <c r="AE251" s="34"/>
      <c r="AR251" s="151" t="s">
        <v>185</v>
      </c>
      <c r="AT251" s="151" t="s">
        <v>180</v>
      </c>
      <c r="AU251" s="151" t="s">
        <v>87</v>
      </c>
      <c r="AY251" s="19" t="s">
        <v>177</v>
      </c>
      <c r="BE251" s="152">
        <f>IF(N251="základní",J251,0)</f>
        <v>0</v>
      </c>
      <c r="BF251" s="152">
        <f>IF(N251="snížená",J251,0)</f>
        <v>0</v>
      </c>
      <c r="BG251" s="152">
        <f>IF(N251="zákl. přenesená",J251,0)</f>
        <v>0</v>
      </c>
      <c r="BH251" s="152">
        <f>IF(N251="sníž. přenesená",J251,0)</f>
        <v>0</v>
      </c>
      <c r="BI251" s="152">
        <f>IF(N251="nulová",J251,0)</f>
        <v>0</v>
      </c>
      <c r="BJ251" s="19" t="s">
        <v>85</v>
      </c>
      <c r="BK251" s="152">
        <f>ROUND(I251*H251,2)</f>
        <v>0</v>
      </c>
      <c r="BL251" s="19" t="s">
        <v>185</v>
      </c>
      <c r="BM251" s="151" t="s">
        <v>2459</v>
      </c>
    </row>
    <row r="252" spans="1:65" s="2" customFormat="1" ht="19.5">
      <c r="A252" s="34"/>
      <c r="B252" s="35"/>
      <c r="C252" s="34"/>
      <c r="D252" s="153" t="s">
        <v>187</v>
      </c>
      <c r="E252" s="34"/>
      <c r="F252" s="154" t="s">
        <v>2460</v>
      </c>
      <c r="G252" s="34"/>
      <c r="H252" s="34"/>
      <c r="I252" s="155"/>
      <c r="J252" s="34"/>
      <c r="K252" s="34"/>
      <c r="L252" s="35"/>
      <c r="M252" s="156"/>
      <c r="N252" s="157"/>
      <c r="O252" s="55"/>
      <c r="P252" s="55"/>
      <c r="Q252" s="55"/>
      <c r="R252" s="55"/>
      <c r="S252" s="55"/>
      <c r="T252" s="56"/>
      <c r="U252" s="34"/>
      <c r="V252" s="34"/>
      <c r="W252" s="34"/>
      <c r="X252" s="34"/>
      <c r="Y252" s="34"/>
      <c r="Z252" s="34"/>
      <c r="AA252" s="34"/>
      <c r="AB252" s="34"/>
      <c r="AC252" s="34"/>
      <c r="AD252" s="34"/>
      <c r="AE252" s="34"/>
      <c r="AT252" s="19" t="s">
        <v>187</v>
      </c>
      <c r="AU252" s="19" t="s">
        <v>87</v>
      </c>
    </row>
    <row r="253" spans="1:65" s="2" customFormat="1">
      <c r="A253" s="34"/>
      <c r="B253" s="35"/>
      <c r="C253" s="34"/>
      <c r="D253" s="158" t="s">
        <v>189</v>
      </c>
      <c r="E253" s="34"/>
      <c r="F253" s="159" t="s">
        <v>2461</v>
      </c>
      <c r="G253" s="34"/>
      <c r="H253" s="34"/>
      <c r="I253" s="155"/>
      <c r="J253" s="34"/>
      <c r="K253" s="34"/>
      <c r="L253" s="35"/>
      <c r="M253" s="156"/>
      <c r="N253" s="157"/>
      <c r="O253" s="55"/>
      <c r="P253" s="55"/>
      <c r="Q253" s="55"/>
      <c r="R253" s="55"/>
      <c r="S253" s="55"/>
      <c r="T253" s="56"/>
      <c r="U253" s="34"/>
      <c r="V253" s="34"/>
      <c r="W253" s="34"/>
      <c r="X253" s="34"/>
      <c r="Y253" s="34"/>
      <c r="Z253" s="34"/>
      <c r="AA253" s="34"/>
      <c r="AB253" s="34"/>
      <c r="AC253" s="34"/>
      <c r="AD253" s="34"/>
      <c r="AE253" s="34"/>
      <c r="AT253" s="19" t="s">
        <v>189</v>
      </c>
      <c r="AU253" s="19" t="s">
        <v>87</v>
      </c>
    </row>
    <row r="254" spans="1:65" s="2" customFormat="1" ht="136.5">
      <c r="A254" s="34"/>
      <c r="B254" s="35"/>
      <c r="C254" s="34"/>
      <c r="D254" s="153" t="s">
        <v>191</v>
      </c>
      <c r="E254" s="34"/>
      <c r="F254" s="160" t="s">
        <v>2462</v>
      </c>
      <c r="G254" s="34"/>
      <c r="H254" s="34"/>
      <c r="I254" s="155"/>
      <c r="J254" s="34"/>
      <c r="K254" s="34"/>
      <c r="L254" s="35"/>
      <c r="M254" s="156"/>
      <c r="N254" s="157"/>
      <c r="O254" s="55"/>
      <c r="P254" s="55"/>
      <c r="Q254" s="55"/>
      <c r="R254" s="55"/>
      <c r="S254" s="55"/>
      <c r="T254" s="56"/>
      <c r="U254" s="34"/>
      <c r="V254" s="34"/>
      <c r="W254" s="34"/>
      <c r="X254" s="34"/>
      <c r="Y254" s="34"/>
      <c r="Z254" s="34"/>
      <c r="AA254" s="34"/>
      <c r="AB254" s="34"/>
      <c r="AC254" s="34"/>
      <c r="AD254" s="34"/>
      <c r="AE254" s="34"/>
      <c r="AT254" s="19" t="s">
        <v>191</v>
      </c>
      <c r="AU254" s="19" t="s">
        <v>87</v>
      </c>
    </row>
    <row r="255" spans="1:65" s="14" customFormat="1">
      <c r="B255" s="169"/>
      <c r="D255" s="153" t="s">
        <v>193</v>
      </c>
      <c r="E255" s="170" t="s">
        <v>3</v>
      </c>
      <c r="F255" s="171" t="s">
        <v>583</v>
      </c>
      <c r="H255" s="170" t="s">
        <v>3</v>
      </c>
      <c r="I255" s="172"/>
      <c r="L255" s="169"/>
      <c r="M255" s="173"/>
      <c r="N255" s="174"/>
      <c r="O255" s="174"/>
      <c r="P255" s="174"/>
      <c r="Q255" s="174"/>
      <c r="R255" s="174"/>
      <c r="S255" s="174"/>
      <c r="T255" s="175"/>
      <c r="AT255" s="170" t="s">
        <v>193</v>
      </c>
      <c r="AU255" s="170" t="s">
        <v>87</v>
      </c>
      <c r="AV255" s="14" t="s">
        <v>85</v>
      </c>
      <c r="AW255" s="14" t="s">
        <v>36</v>
      </c>
      <c r="AX255" s="14" t="s">
        <v>77</v>
      </c>
      <c r="AY255" s="170" t="s">
        <v>177</v>
      </c>
    </row>
    <row r="256" spans="1:65" s="13" customFormat="1">
      <c r="B256" s="161"/>
      <c r="D256" s="153" t="s">
        <v>193</v>
      </c>
      <c r="E256" s="162" t="s">
        <v>3</v>
      </c>
      <c r="F256" s="163" t="s">
        <v>2463</v>
      </c>
      <c r="H256" s="164">
        <v>76.8</v>
      </c>
      <c r="I256" s="165"/>
      <c r="L256" s="161"/>
      <c r="M256" s="166"/>
      <c r="N256" s="167"/>
      <c r="O256" s="167"/>
      <c r="P256" s="167"/>
      <c r="Q256" s="167"/>
      <c r="R256" s="167"/>
      <c r="S256" s="167"/>
      <c r="T256" s="168"/>
      <c r="AT256" s="162" t="s">
        <v>193</v>
      </c>
      <c r="AU256" s="162" t="s">
        <v>87</v>
      </c>
      <c r="AV256" s="13" t="s">
        <v>87</v>
      </c>
      <c r="AW256" s="13" t="s">
        <v>36</v>
      </c>
      <c r="AX256" s="13" t="s">
        <v>77</v>
      </c>
      <c r="AY256" s="162" t="s">
        <v>177</v>
      </c>
    </row>
    <row r="257" spans="1:65" s="13" customFormat="1">
      <c r="B257" s="161"/>
      <c r="D257" s="153" t="s">
        <v>193</v>
      </c>
      <c r="E257" s="162" t="s">
        <v>3</v>
      </c>
      <c r="F257" s="163" t="s">
        <v>2464</v>
      </c>
      <c r="H257" s="164">
        <v>28.2</v>
      </c>
      <c r="I257" s="165"/>
      <c r="L257" s="161"/>
      <c r="M257" s="166"/>
      <c r="N257" s="167"/>
      <c r="O257" s="167"/>
      <c r="P257" s="167"/>
      <c r="Q257" s="167"/>
      <c r="R257" s="167"/>
      <c r="S257" s="167"/>
      <c r="T257" s="168"/>
      <c r="AT257" s="162" t="s">
        <v>193</v>
      </c>
      <c r="AU257" s="162" t="s">
        <v>87</v>
      </c>
      <c r="AV257" s="13" t="s">
        <v>87</v>
      </c>
      <c r="AW257" s="13" t="s">
        <v>36</v>
      </c>
      <c r="AX257" s="13" t="s">
        <v>77</v>
      </c>
      <c r="AY257" s="162" t="s">
        <v>177</v>
      </c>
    </row>
    <row r="258" spans="1:65" s="13" customFormat="1">
      <c r="B258" s="161"/>
      <c r="D258" s="153" t="s">
        <v>193</v>
      </c>
      <c r="E258" s="162" t="s">
        <v>3</v>
      </c>
      <c r="F258" s="163" t="s">
        <v>2465</v>
      </c>
      <c r="H258" s="164">
        <v>86.4</v>
      </c>
      <c r="I258" s="165"/>
      <c r="L258" s="161"/>
      <c r="M258" s="166"/>
      <c r="N258" s="167"/>
      <c r="O258" s="167"/>
      <c r="P258" s="167"/>
      <c r="Q258" s="167"/>
      <c r="R258" s="167"/>
      <c r="S258" s="167"/>
      <c r="T258" s="168"/>
      <c r="AT258" s="162" t="s">
        <v>193</v>
      </c>
      <c r="AU258" s="162" t="s">
        <v>87</v>
      </c>
      <c r="AV258" s="13" t="s">
        <v>87</v>
      </c>
      <c r="AW258" s="13" t="s">
        <v>36</v>
      </c>
      <c r="AX258" s="13" t="s">
        <v>77</v>
      </c>
      <c r="AY258" s="162" t="s">
        <v>177</v>
      </c>
    </row>
    <row r="259" spans="1:65" s="13" customFormat="1">
      <c r="B259" s="161"/>
      <c r="D259" s="153" t="s">
        <v>193</v>
      </c>
      <c r="E259" s="162" t="s">
        <v>3</v>
      </c>
      <c r="F259" s="163" t="s">
        <v>2466</v>
      </c>
      <c r="H259" s="164">
        <v>24</v>
      </c>
      <c r="I259" s="165"/>
      <c r="L259" s="161"/>
      <c r="M259" s="166"/>
      <c r="N259" s="167"/>
      <c r="O259" s="167"/>
      <c r="P259" s="167"/>
      <c r="Q259" s="167"/>
      <c r="R259" s="167"/>
      <c r="S259" s="167"/>
      <c r="T259" s="168"/>
      <c r="AT259" s="162" t="s">
        <v>193</v>
      </c>
      <c r="AU259" s="162" t="s">
        <v>87</v>
      </c>
      <c r="AV259" s="13" t="s">
        <v>87</v>
      </c>
      <c r="AW259" s="13" t="s">
        <v>36</v>
      </c>
      <c r="AX259" s="13" t="s">
        <v>77</v>
      </c>
      <c r="AY259" s="162" t="s">
        <v>177</v>
      </c>
    </row>
    <row r="260" spans="1:65" s="13" customFormat="1">
      <c r="B260" s="161"/>
      <c r="D260" s="153" t="s">
        <v>193</v>
      </c>
      <c r="E260" s="162" t="s">
        <v>3</v>
      </c>
      <c r="F260" s="163" t="s">
        <v>2467</v>
      </c>
      <c r="H260" s="164">
        <v>8.4</v>
      </c>
      <c r="I260" s="165"/>
      <c r="L260" s="161"/>
      <c r="M260" s="166"/>
      <c r="N260" s="167"/>
      <c r="O260" s="167"/>
      <c r="P260" s="167"/>
      <c r="Q260" s="167"/>
      <c r="R260" s="167"/>
      <c r="S260" s="167"/>
      <c r="T260" s="168"/>
      <c r="AT260" s="162" t="s">
        <v>193</v>
      </c>
      <c r="AU260" s="162" t="s">
        <v>87</v>
      </c>
      <c r="AV260" s="13" t="s">
        <v>87</v>
      </c>
      <c r="AW260" s="13" t="s">
        <v>36</v>
      </c>
      <c r="AX260" s="13" t="s">
        <v>77</v>
      </c>
      <c r="AY260" s="162" t="s">
        <v>177</v>
      </c>
    </row>
    <row r="261" spans="1:65" s="14" customFormat="1">
      <c r="B261" s="169"/>
      <c r="D261" s="153" t="s">
        <v>193</v>
      </c>
      <c r="E261" s="170" t="s">
        <v>3</v>
      </c>
      <c r="F261" s="171" t="s">
        <v>1487</v>
      </c>
      <c r="H261" s="170" t="s">
        <v>3</v>
      </c>
      <c r="I261" s="172"/>
      <c r="L261" s="169"/>
      <c r="M261" s="173"/>
      <c r="N261" s="174"/>
      <c r="O261" s="174"/>
      <c r="P261" s="174"/>
      <c r="Q261" s="174"/>
      <c r="R261" s="174"/>
      <c r="S261" s="174"/>
      <c r="T261" s="175"/>
      <c r="AT261" s="170" t="s">
        <v>193</v>
      </c>
      <c r="AU261" s="170" t="s">
        <v>87</v>
      </c>
      <c r="AV261" s="14" t="s">
        <v>85</v>
      </c>
      <c r="AW261" s="14" t="s">
        <v>36</v>
      </c>
      <c r="AX261" s="14" t="s">
        <v>77</v>
      </c>
      <c r="AY261" s="170" t="s">
        <v>177</v>
      </c>
    </row>
    <row r="262" spans="1:65" s="13" customFormat="1">
      <c r="B262" s="161"/>
      <c r="D262" s="153" t="s">
        <v>193</v>
      </c>
      <c r="E262" s="162" t="s">
        <v>3</v>
      </c>
      <c r="F262" s="163" t="s">
        <v>2468</v>
      </c>
      <c r="H262" s="164">
        <v>5.3</v>
      </c>
      <c r="I262" s="165"/>
      <c r="L262" s="161"/>
      <c r="M262" s="166"/>
      <c r="N262" s="167"/>
      <c r="O262" s="167"/>
      <c r="P262" s="167"/>
      <c r="Q262" s="167"/>
      <c r="R262" s="167"/>
      <c r="S262" s="167"/>
      <c r="T262" s="168"/>
      <c r="AT262" s="162" t="s">
        <v>193</v>
      </c>
      <c r="AU262" s="162" t="s">
        <v>87</v>
      </c>
      <c r="AV262" s="13" t="s">
        <v>87</v>
      </c>
      <c r="AW262" s="13" t="s">
        <v>36</v>
      </c>
      <c r="AX262" s="13" t="s">
        <v>77</v>
      </c>
      <c r="AY262" s="162" t="s">
        <v>177</v>
      </c>
    </row>
    <row r="263" spans="1:65" s="13" customFormat="1">
      <c r="B263" s="161"/>
      <c r="D263" s="153" t="s">
        <v>193</v>
      </c>
      <c r="E263" s="162" t="s">
        <v>3</v>
      </c>
      <c r="F263" s="163" t="s">
        <v>2469</v>
      </c>
      <c r="H263" s="164">
        <v>7.3</v>
      </c>
      <c r="I263" s="165"/>
      <c r="L263" s="161"/>
      <c r="M263" s="166"/>
      <c r="N263" s="167"/>
      <c r="O263" s="167"/>
      <c r="P263" s="167"/>
      <c r="Q263" s="167"/>
      <c r="R263" s="167"/>
      <c r="S263" s="167"/>
      <c r="T263" s="168"/>
      <c r="AT263" s="162" t="s">
        <v>193</v>
      </c>
      <c r="AU263" s="162" t="s">
        <v>87</v>
      </c>
      <c r="AV263" s="13" t="s">
        <v>87</v>
      </c>
      <c r="AW263" s="13" t="s">
        <v>36</v>
      </c>
      <c r="AX263" s="13" t="s">
        <v>77</v>
      </c>
      <c r="AY263" s="162" t="s">
        <v>177</v>
      </c>
    </row>
    <row r="264" spans="1:65" s="16" customFormat="1">
      <c r="B264" s="184"/>
      <c r="D264" s="153" t="s">
        <v>193</v>
      </c>
      <c r="E264" s="185" t="s">
        <v>3</v>
      </c>
      <c r="F264" s="186" t="s">
        <v>201</v>
      </c>
      <c r="H264" s="187">
        <v>236.4</v>
      </c>
      <c r="I264" s="188"/>
      <c r="L264" s="184"/>
      <c r="M264" s="189"/>
      <c r="N264" s="190"/>
      <c r="O264" s="190"/>
      <c r="P264" s="190"/>
      <c r="Q264" s="190"/>
      <c r="R264" s="190"/>
      <c r="S264" s="190"/>
      <c r="T264" s="191"/>
      <c r="AT264" s="185" t="s">
        <v>193</v>
      </c>
      <c r="AU264" s="185" t="s">
        <v>87</v>
      </c>
      <c r="AV264" s="16" t="s">
        <v>185</v>
      </c>
      <c r="AW264" s="16" t="s">
        <v>36</v>
      </c>
      <c r="AX264" s="16" t="s">
        <v>85</v>
      </c>
      <c r="AY264" s="185" t="s">
        <v>177</v>
      </c>
    </row>
    <row r="265" spans="1:65" s="2" customFormat="1" ht="16.5" customHeight="1">
      <c r="A265" s="34"/>
      <c r="B265" s="139"/>
      <c r="C265" s="195" t="s">
        <v>520</v>
      </c>
      <c r="D265" s="195" t="s">
        <v>484</v>
      </c>
      <c r="E265" s="196" t="s">
        <v>2470</v>
      </c>
      <c r="F265" s="197" t="s">
        <v>2471</v>
      </c>
      <c r="G265" s="198" t="s">
        <v>332</v>
      </c>
      <c r="H265" s="199">
        <v>65.010000000000005</v>
      </c>
      <c r="I265" s="200"/>
      <c r="J265" s="201">
        <f>ROUND(I265*H265,2)</f>
        <v>0</v>
      </c>
      <c r="K265" s="197" t="s">
        <v>184</v>
      </c>
      <c r="L265" s="202"/>
      <c r="M265" s="203" t="s">
        <v>3</v>
      </c>
      <c r="N265" s="204" t="s">
        <v>48</v>
      </c>
      <c r="O265" s="55"/>
      <c r="P265" s="149">
        <f>O265*H265</f>
        <v>0</v>
      </c>
      <c r="Q265" s="149">
        <v>4.0000000000000001E-3</v>
      </c>
      <c r="R265" s="149">
        <f>Q265*H265</f>
        <v>0.26004000000000005</v>
      </c>
      <c r="S265" s="149">
        <v>0</v>
      </c>
      <c r="T265" s="150">
        <f>S265*H265</f>
        <v>0</v>
      </c>
      <c r="U265" s="34"/>
      <c r="V265" s="34"/>
      <c r="W265" s="34"/>
      <c r="X265" s="34"/>
      <c r="Y265" s="34"/>
      <c r="Z265" s="34"/>
      <c r="AA265" s="34"/>
      <c r="AB265" s="34"/>
      <c r="AC265" s="34"/>
      <c r="AD265" s="34"/>
      <c r="AE265" s="34"/>
      <c r="AR265" s="151" t="s">
        <v>248</v>
      </c>
      <c r="AT265" s="151" t="s">
        <v>484</v>
      </c>
      <c r="AU265" s="151" t="s">
        <v>87</v>
      </c>
      <c r="AY265" s="19" t="s">
        <v>177</v>
      </c>
      <c r="BE265" s="152">
        <f>IF(N265="základní",J265,0)</f>
        <v>0</v>
      </c>
      <c r="BF265" s="152">
        <f>IF(N265="snížená",J265,0)</f>
        <v>0</v>
      </c>
      <c r="BG265" s="152">
        <f>IF(N265="zákl. přenesená",J265,0)</f>
        <v>0</v>
      </c>
      <c r="BH265" s="152">
        <f>IF(N265="sníž. přenesená",J265,0)</f>
        <v>0</v>
      </c>
      <c r="BI265" s="152">
        <f>IF(N265="nulová",J265,0)</f>
        <v>0</v>
      </c>
      <c r="BJ265" s="19" t="s">
        <v>85</v>
      </c>
      <c r="BK265" s="152">
        <f>ROUND(I265*H265,2)</f>
        <v>0</v>
      </c>
      <c r="BL265" s="19" t="s">
        <v>185</v>
      </c>
      <c r="BM265" s="151" t="s">
        <v>2472</v>
      </c>
    </row>
    <row r="266" spans="1:65" s="2" customFormat="1">
      <c r="A266" s="34"/>
      <c r="B266" s="35"/>
      <c r="C266" s="34"/>
      <c r="D266" s="153" t="s">
        <v>187</v>
      </c>
      <c r="E266" s="34"/>
      <c r="F266" s="154" t="s">
        <v>2473</v>
      </c>
      <c r="G266" s="34"/>
      <c r="H266" s="34"/>
      <c r="I266" s="155"/>
      <c r="J266" s="34"/>
      <c r="K266" s="34"/>
      <c r="L266" s="35"/>
      <c r="M266" s="156"/>
      <c r="N266" s="157"/>
      <c r="O266" s="55"/>
      <c r="P266" s="55"/>
      <c r="Q266" s="55"/>
      <c r="R266" s="55"/>
      <c r="S266" s="55"/>
      <c r="T266" s="56"/>
      <c r="U266" s="34"/>
      <c r="V266" s="34"/>
      <c r="W266" s="34"/>
      <c r="X266" s="34"/>
      <c r="Y266" s="34"/>
      <c r="Z266" s="34"/>
      <c r="AA266" s="34"/>
      <c r="AB266" s="34"/>
      <c r="AC266" s="34"/>
      <c r="AD266" s="34"/>
      <c r="AE266" s="34"/>
      <c r="AT266" s="19" t="s">
        <v>187</v>
      </c>
      <c r="AU266" s="19" t="s">
        <v>87</v>
      </c>
    </row>
    <row r="267" spans="1:65" s="13" customFormat="1">
      <c r="B267" s="161"/>
      <c r="D267" s="153" t="s">
        <v>193</v>
      </c>
      <c r="E267" s="162" t="s">
        <v>3</v>
      </c>
      <c r="F267" s="163" t="s">
        <v>2474</v>
      </c>
      <c r="H267" s="164">
        <v>59.1</v>
      </c>
      <c r="I267" s="165"/>
      <c r="L267" s="161"/>
      <c r="M267" s="166"/>
      <c r="N267" s="167"/>
      <c r="O267" s="167"/>
      <c r="P267" s="167"/>
      <c r="Q267" s="167"/>
      <c r="R267" s="167"/>
      <c r="S267" s="167"/>
      <c r="T267" s="168"/>
      <c r="AT267" s="162" t="s">
        <v>193</v>
      </c>
      <c r="AU267" s="162" t="s">
        <v>87</v>
      </c>
      <c r="AV267" s="13" t="s">
        <v>87</v>
      </c>
      <c r="AW267" s="13" t="s">
        <v>36</v>
      </c>
      <c r="AX267" s="13" t="s">
        <v>85</v>
      </c>
      <c r="AY267" s="162" t="s">
        <v>177</v>
      </c>
    </row>
    <row r="268" spans="1:65" s="13" customFormat="1">
      <c r="B268" s="161"/>
      <c r="D268" s="153" t="s">
        <v>193</v>
      </c>
      <c r="F268" s="163" t="s">
        <v>2475</v>
      </c>
      <c r="H268" s="164">
        <v>65.010000000000005</v>
      </c>
      <c r="I268" s="165"/>
      <c r="L268" s="161"/>
      <c r="M268" s="166"/>
      <c r="N268" s="167"/>
      <c r="O268" s="167"/>
      <c r="P268" s="167"/>
      <c r="Q268" s="167"/>
      <c r="R268" s="167"/>
      <c r="S268" s="167"/>
      <c r="T268" s="168"/>
      <c r="AT268" s="162" t="s">
        <v>193</v>
      </c>
      <c r="AU268" s="162" t="s">
        <v>87</v>
      </c>
      <c r="AV268" s="13" t="s">
        <v>87</v>
      </c>
      <c r="AW268" s="13" t="s">
        <v>4</v>
      </c>
      <c r="AX268" s="13" t="s">
        <v>85</v>
      </c>
      <c r="AY268" s="162" t="s">
        <v>177</v>
      </c>
    </row>
    <row r="269" spans="1:65" s="2" customFormat="1" ht="24.2" customHeight="1">
      <c r="A269" s="34"/>
      <c r="B269" s="139"/>
      <c r="C269" s="140" t="s">
        <v>527</v>
      </c>
      <c r="D269" s="140" t="s">
        <v>180</v>
      </c>
      <c r="E269" s="141" t="s">
        <v>2476</v>
      </c>
      <c r="F269" s="142" t="s">
        <v>2477</v>
      </c>
      <c r="G269" s="143" t="s">
        <v>332</v>
      </c>
      <c r="H269" s="144">
        <v>47.517000000000003</v>
      </c>
      <c r="I269" s="145"/>
      <c r="J269" s="146">
        <f>ROUND(I269*H269,2)</f>
        <v>0</v>
      </c>
      <c r="K269" s="142" t="s">
        <v>184</v>
      </c>
      <c r="L269" s="35"/>
      <c r="M269" s="147" t="s">
        <v>3</v>
      </c>
      <c r="N269" s="148" t="s">
        <v>48</v>
      </c>
      <c r="O269" s="55"/>
      <c r="P269" s="149">
        <f>O269*H269</f>
        <v>0</v>
      </c>
      <c r="Q269" s="149">
        <v>8.0599999999999994E-5</v>
      </c>
      <c r="R269" s="149">
        <f>Q269*H269</f>
        <v>3.8298702E-3</v>
      </c>
      <c r="S269" s="149">
        <v>0</v>
      </c>
      <c r="T269" s="150">
        <f>S269*H269</f>
        <v>0</v>
      </c>
      <c r="U269" s="34"/>
      <c r="V269" s="34"/>
      <c r="W269" s="34"/>
      <c r="X269" s="34"/>
      <c r="Y269" s="34"/>
      <c r="Z269" s="34"/>
      <c r="AA269" s="34"/>
      <c r="AB269" s="34"/>
      <c r="AC269" s="34"/>
      <c r="AD269" s="34"/>
      <c r="AE269" s="34"/>
      <c r="AR269" s="151" t="s">
        <v>185</v>
      </c>
      <c r="AT269" s="151" t="s">
        <v>180</v>
      </c>
      <c r="AU269" s="151" t="s">
        <v>87</v>
      </c>
      <c r="AY269" s="19" t="s">
        <v>177</v>
      </c>
      <c r="BE269" s="152">
        <f>IF(N269="základní",J269,0)</f>
        <v>0</v>
      </c>
      <c r="BF269" s="152">
        <f>IF(N269="snížená",J269,0)</f>
        <v>0</v>
      </c>
      <c r="BG269" s="152">
        <f>IF(N269="zákl. přenesená",J269,0)</f>
        <v>0</v>
      </c>
      <c r="BH269" s="152">
        <f>IF(N269="sníž. přenesená",J269,0)</f>
        <v>0</v>
      </c>
      <c r="BI269" s="152">
        <f>IF(N269="nulová",J269,0)</f>
        <v>0</v>
      </c>
      <c r="BJ269" s="19" t="s">
        <v>85</v>
      </c>
      <c r="BK269" s="152">
        <f>ROUND(I269*H269,2)</f>
        <v>0</v>
      </c>
      <c r="BL269" s="19" t="s">
        <v>185</v>
      </c>
      <c r="BM269" s="151" t="s">
        <v>2478</v>
      </c>
    </row>
    <row r="270" spans="1:65" s="2" customFormat="1" ht="19.5">
      <c r="A270" s="34"/>
      <c r="B270" s="35"/>
      <c r="C270" s="34"/>
      <c r="D270" s="153" t="s">
        <v>187</v>
      </c>
      <c r="E270" s="34"/>
      <c r="F270" s="154" t="s">
        <v>2479</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187</v>
      </c>
      <c r="AU270" s="19" t="s">
        <v>87</v>
      </c>
    </row>
    <row r="271" spans="1:65" s="2" customFormat="1">
      <c r="A271" s="34"/>
      <c r="B271" s="35"/>
      <c r="C271" s="34"/>
      <c r="D271" s="158" t="s">
        <v>189</v>
      </c>
      <c r="E271" s="34"/>
      <c r="F271" s="159" t="s">
        <v>2480</v>
      </c>
      <c r="G271" s="34"/>
      <c r="H271" s="34"/>
      <c r="I271" s="155"/>
      <c r="J271" s="34"/>
      <c r="K271" s="34"/>
      <c r="L271" s="35"/>
      <c r="M271" s="156"/>
      <c r="N271" s="157"/>
      <c r="O271" s="55"/>
      <c r="P271" s="55"/>
      <c r="Q271" s="55"/>
      <c r="R271" s="55"/>
      <c r="S271" s="55"/>
      <c r="T271" s="56"/>
      <c r="U271" s="34"/>
      <c r="V271" s="34"/>
      <c r="W271" s="34"/>
      <c r="X271" s="34"/>
      <c r="Y271" s="34"/>
      <c r="Z271" s="34"/>
      <c r="AA271" s="34"/>
      <c r="AB271" s="34"/>
      <c r="AC271" s="34"/>
      <c r="AD271" s="34"/>
      <c r="AE271" s="34"/>
      <c r="AT271" s="19" t="s">
        <v>189</v>
      </c>
      <c r="AU271" s="19" t="s">
        <v>87</v>
      </c>
    </row>
    <row r="272" spans="1:65" s="2" customFormat="1" ht="175.5">
      <c r="A272" s="34"/>
      <c r="B272" s="35"/>
      <c r="C272" s="34"/>
      <c r="D272" s="153" t="s">
        <v>191</v>
      </c>
      <c r="E272" s="34"/>
      <c r="F272" s="160" t="s">
        <v>2391</v>
      </c>
      <c r="G272" s="34"/>
      <c r="H272" s="34"/>
      <c r="I272" s="155"/>
      <c r="J272" s="34"/>
      <c r="K272" s="34"/>
      <c r="L272" s="35"/>
      <c r="M272" s="156"/>
      <c r="N272" s="157"/>
      <c r="O272" s="55"/>
      <c r="P272" s="55"/>
      <c r="Q272" s="55"/>
      <c r="R272" s="55"/>
      <c r="S272" s="55"/>
      <c r="T272" s="56"/>
      <c r="U272" s="34"/>
      <c r="V272" s="34"/>
      <c r="W272" s="34"/>
      <c r="X272" s="34"/>
      <c r="Y272" s="34"/>
      <c r="Z272" s="34"/>
      <c r="AA272" s="34"/>
      <c r="AB272" s="34"/>
      <c r="AC272" s="34"/>
      <c r="AD272" s="34"/>
      <c r="AE272" s="34"/>
      <c r="AT272" s="19" t="s">
        <v>191</v>
      </c>
      <c r="AU272" s="19" t="s">
        <v>87</v>
      </c>
    </row>
    <row r="273" spans="1:65" s="2" customFormat="1" ht="24.2" customHeight="1">
      <c r="A273" s="34"/>
      <c r="B273" s="139"/>
      <c r="C273" s="140" t="s">
        <v>537</v>
      </c>
      <c r="D273" s="140" t="s">
        <v>180</v>
      </c>
      <c r="E273" s="141" t="s">
        <v>2481</v>
      </c>
      <c r="F273" s="142" t="s">
        <v>2482</v>
      </c>
      <c r="G273" s="143" t="s">
        <v>332</v>
      </c>
      <c r="H273" s="144">
        <v>472.43099999999998</v>
      </c>
      <c r="I273" s="145"/>
      <c r="J273" s="146">
        <f>ROUND(I273*H273,2)</f>
        <v>0</v>
      </c>
      <c r="K273" s="142" t="s">
        <v>184</v>
      </c>
      <c r="L273" s="35"/>
      <c r="M273" s="147" t="s">
        <v>3</v>
      </c>
      <c r="N273" s="148" t="s">
        <v>48</v>
      </c>
      <c r="O273" s="55"/>
      <c r="P273" s="149">
        <f>O273*H273</f>
        <v>0</v>
      </c>
      <c r="Q273" s="149">
        <v>8.0599999999999994E-5</v>
      </c>
      <c r="R273" s="149">
        <f>Q273*H273</f>
        <v>3.8077938599999993E-2</v>
      </c>
      <c r="S273" s="149">
        <v>0</v>
      </c>
      <c r="T273" s="150">
        <f>S273*H273</f>
        <v>0</v>
      </c>
      <c r="U273" s="34"/>
      <c r="V273" s="34"/>
      <c r="W273" s="34"/>
      <c r="X273" s="34"/>
      <c r="Y273" s="34"/>
      <c r="Z273" s="34"/>
      <c r="AA273" s="34"/>
      <c r="AB273" s="34"/>
      <c r="AC273" s="34"/>
      <c r="AD273" s="34"/>
      <c r="AE273" s="34"/>
      <c r="AR273" s="151" t="s">
        <v>185</v>
      </c>
      <c r="AT273" s="151" t="s">
        <v>180</v>
      </c>
      <c r="AU273" s="151" t="s">
        <v>87</v>
      </c>
      <c r="AY273" s="19" t="s">
        <v>177</v>
      </c>
      <c r="BE273" s="152">
        <f>IF(N273="základní",J273,0)</f>
        <v>0</v>
      </c>
      <c r="BF273" s="152">
        <f>IF(N273="snížená",J273,0)</f>
        <v>0</v>
      </c>
      <c r="BG273" s="152">
        <f>IF(N273="zákl. přenesená",J273,0)</f>
        <v>0</v>
      </c>
      <c r="BH273" s="152">
        <f>IF(N273="sníž. přenesená",J273,0)</f>
        <v>0</v>
      </c>
      <c r="BI273" s="152">
        <f>IF(N273="nulová",J273,0)</f>
        <v>0</v>
      </c>
      <c r="BJ273" s="19" t="s">
        <v>85</v>
      </c>
      <c r="BK273" s="152">
        <f>ROUND(I273*H273,2)</f>
        <v>0</v>
      </c>
      <c r="BL273" s="19" t="s">
        <v>185</v>
      </c>
      <c r="BM273" s="151" t="s">
        <v>2483</v>
      </c>
    </row>
    <row r="274" spans="1:65" s="2" customFormat="1" ht="19.5">
      <c r="A274" s="34"/>
      <c r="B274" s="35"/>
      <c r="C274" s="34"/>
      <c r="D274" s="153" t="s">
        <v>187</v>
      </c>
      <c r="E274" s="34"/>
      <c r="F274" s="154" t="s">
        <v>2484</v>
      </c>
      <c r="G274" s="34"/>
      <c r="H274" s="34"/>
      <c r="I274" s="155"/>
      <c r="J274" s="34"/>
      <c r="K274" s="34"/>
      <c r="L274" s="35"/>
      <c r="M274" s="156"/>
      <c r="N274" s="157"/>
      <c r="O274" s="55"/>
      <c r="P274" s="55"/>
      <c r="Q274" s="55"/>
      <c r="R274" s="55"/>
      <c r="S274" s="55"/>
      <c r="T274" s="56"/>
      <c r="U274" s="34"/>
      <c r="V274" s="34"/>
      <c r="W274" s="34"/>
      <c r="X274" s="34"/>
      <c r="Y274" s="34"/>
      <c r="Z274" s="34"/>
      <c r="AA274" s="34"/>
      <c r="AB274" s="34"/>
      <c r="AC274" s="34"/>
      <c r="AD274" s="34"/>
      <c r="AE274" s="34"/>
      <c r="AT274" s="19" t="s">
        <v>187</v>
      </c>
      <c r="AU274" s="19" t="s">
        <v>87</v>
      </c>
    </row>
    <row r="275" spans="1:65" s="2" customFormat="1">
      <c r="A275" s="34"/>
      <c r="B275" s="35"/>
      <c r="C275" s="34"/>
      <c r="D275" s="158" t="s">
        <v>189</v>
      </c>
      <c r="E275" s="34"/>
      <c r="F275" s="159" t="s">
        <v>2485</v>
      </c>
      <c r="G275" s="34"/>
      <c r="H275" s="34"/>
      <c r="I275" s="155"/>
      <c r="J275" s="34"/>
      <c r="K275" s="34"/>
      <c r="L275" s="35"/>
      <c r="M275" s="156"/>
      <c r="N275" s="157"/>
      <c r="O275" s="55"/>
      <c r="P275" s="55"/>
      <c r="Q275" s="55"/>
      <c r="R275" s="55"/>
      <c r="S275" s="55"/>
      <c r="T275" s="56"/>
      <c r="U275" s="34"/>
      <c r="V275" s="34"/>
      <c r="W275" s="34"/>
      <c r="X275" s="34"/>
      <c r="Y275" s="34"/>
      <c r="Z275" s="34"/>
      <c r="AA275" s="34"/>
      <c r="AB275" s="34"/>
      <c r="AC275" s="34"/>
      <c r="AD275" s="34"/>
      <c r="AE275" s="34"/>
      <c r="AT275" s="19" t="s">
        <v>189</v>
      </c>
      <c r="AU275" s="19" t="s">
        <v>87</v>
      </c>
    </row>
    <row r="276" spans="1:65" s="2" customFormat="1" ht="175.5">
      <c r="A276" s="34"/>
      <c r="B276" s="35"/>
      <c r="C276" s="34"/>
      <c r="D276" s="153" t="s">
        <v>191</v>
      </c>
      <c r="E276" s="34"/>
      <c r="F276" s="160" t="s">
        <v>2391</v>
      </c>
      <c r="G276" s="34"/>
      <c r="H276" s="34"/>
      <c r="I276" s="155"/>
      <c r="J276" s="34"/>
      <c r="K276" s="34"/>
      <c r="L276" s="35"/>
      <c r="M276" s="156"/>
      <c r="N276" s="157"/>
      <c r="O276" s="55"/>
      <c r="P276" s="55"/>
      <c r="Q276" s="55"/>
      <c r="R276" s="55"/>
      <c r="S276" s="55"/>
      <c r="T276" s="56"/>
      <c r="U276" s="34"/>
      <c r="V276" s="34"/>
      <c r="W276" s="34"/>
      <c r="X276" s="34"/>
      <c r="Y276" s="34"/>
      <c r="Z276" s="34"/>
      <c r="AA276" s="34"/>
      <c r="AB276" s="34"/>
      <c r="AC276" s="34"/>
      <c r="AD276" s="34"/>
      <c r="AE276" s="34"/>
      <c r="AT276" s="19" t="s">
        <v>191</v>
      </c>
      <c r="AU276" s="19" t="s">
        <v>87</v>
      </c>
    </row>
    <row r="277" spans="1:65" s="13" customFormat="1">
      <c r="B277" s="161"/>
      <c r="D277" s="153" t="s">
        <v>193</v>
      </c>
      <c r="E277" s="162" t="s">
        <v>3</v>
      </c>
      <c r="F277" s="163" t="s">
        <v>2486</v>
      </c>
      <c r="H277" s="164">
        <v>472.43099999999998</v>
      </c>
      <c r="I277" s="165"/>
      <c r="L277" s="161"/>
      <c r="M277" s="166"/>
      <c r="N277" s="167"/>
      <c r="O277" s="167"/>
      <c r="P277" s="167"/>
      <c r="Q277" s="167"/>
      <c r="R277" s="167"/>
      <c r="S277" s="167"/>
      <c r="T277" s="168"/>
      <c r="AT277" s="162" t="s">
        <v>193</v>
      </c>
      <c r="AU277" s="162" t="s">
        <v>87</v>
      </c>
      <c r="AV277" s="13" t="s">
        <v>87</v>
      </c>
      <c r="AW277" s="13" t="s">
        <v>36</v>
      </c>
      <c r="AX277" s="13" t="s">
        <v>85</v>
      </c>
      <c r="AY277" s="162" t="s">
        <v>177</v>
      </c>
    </row>
    <row r="278" spans="1:65" s="2" customFormat="1" ht="16.5" customHeight="1">
      <c r="A278" s="34"/>
      <c r="B278" s="139"/>
      <c r="C278" s="140" t="s">
        <v>757</v>
      </c>
      <c r="D278" s="140" t="s">
        <v>180</v>
      </c>
      <c r="E278" s="141" t="s">
        <v>2487</v>
      </c>
      <c r="F278" s="142" t="s">
        <v>2488</v>
      </c>
      <c r="G278" s="143" t="s">
        <v>476</v>
      </c>
      <c r="H278" s="144">
        <v>62.16</v>
      </c>
      <c r="I278" s="145"/>
      <c r="J278" s="146">
        <f>ROUND(I278*H278,2)</f>
        <v>0</v>
      </c>
      <c r="K278" s="142" t="s">
        <v>184</v>
      </c>
      <c r="L278" s="35"/>
      <c r="M278" s="147" t="s">
        <v>3</v>
      </c>
      <c r="N278" s="148" t="s">
        <v>48</v>
      </c>
      <c r="O278" s="55"/>
      <c r="P278" s="149">
        <f>O278*H278</f>
        <v>0</v>
      </c>
      <c r="Q278" s="149">
        <v>3.0000000000000001E-5</v>
      </c>
      <c r="R278" s="149">
        <f>Q278*H278</f>
        <v>1.8648E-3</v>
      </c>
      <c r="S278" s="149">
        <v>0</v>
      </c>
      <c r="T278" s="150">
        <f>S278*H278</f>
        <v>0</v>
      </c>
      <c r="U278" s="34"/>
      <c r="V278" s="34"/>
      <c r="W278" s="34"/>
      <c r="X278" s="34"/>
      <c r="Y278" s="34"/>
      <c r="Z278" s="34"/>
      <c r="AA278" s="34"/>
      <c r="AB278" s="34"/>
      <c r="AC278" s="34"/>
      <c r="AD278" s="34"/>
      <c r="AE278" s="34"/>
      <c r="AR278" s="151" t="s">
        <v>185</v>
      </c>
      <c r="AT278" s="151" t="s">
        <v>180</v>
      </c>
      <c r="AU278" s="151" t="s">
        <v>87</v>
      </c>
      <c r="AY278" s="19" t="s">
        <v>177</v>
      </c>
      <c r="BE278" s="152">
        <f>IF(N278="základní",J278,0)</f>
        <v>0</v>
      </c>
      <c r="BF278" s="152">
        <f>IF(N278="snížená",J278,0)</f>
        <v>0</v>
      </c>
      <c r="BG278" s="152">
        <f>IF(N278="zákl. přenesená",J278,0)</f>
        <v>0</v>
      </c>
      <c r="BH278" s="152">
        <f>IF(N278="sníž. přenesená",J278,0)</f>
        <v>0</v>
      </c>
      <c r="BI278" s="152">
        <f>IF(N278="nulová",J278,0)</f>
        <v>0</v>
      </c>
      <c r="BJ278" s="19" t="s">
        <v>85</v>
      </c>
      <c r="BK278" s="152">
        <f>ROUND(I278*H278,2)</f>
        <v>0</v>
      </c>
      <c r="BL278" s="19" t="s">
        <v>185</v>
      </c>
      <c r="BM278" s="151" t="s">
        <v>2489</v>
      </c>
    </row>
    <row r="279" spans="1:65" s="2" customFormat="1">
      <c r="A279" s="34"/>
      <c r="B279" s="35"/>
      <c r="C279" s="34"/>
      <c r="D279" s="153" t="s">
        <v>187</v>
      </c>
      <c r="E279" s="34"/>
      <c r="F279" s="154" t="s">
        <v>2490</v>
      </c>
      <c r="G279" s="34"/>
      <c r="H279" s="34"/>
      <c r="I279" s="155"/>
      <c r="J279" s="34"/>
      <c r="K279" s="34"/>
      <c r="L279" s="35"/>
      <c r="M279" s="156"/>
      <c r="N279" s="157"/>
      <c r="O279" s="55"/>
      <c r="P279" s="55"/>
      <c r="Q279" s="55"/>
      <c r="R279" s="55"/>
      <c r="S279" s="55"/>
      <c r="T279" s="56"/>
      <c r="U279" s="34"/>
      <c r="V279" s="34"/>
      <c r="W279" s="34"/>
      <c r="X279" s="34"/>
      <c r="Y279" s="34"/>
      <c r="Z279" s="34"/>
      <c r="AA279" s="34"/>
      <c r="AB279" s="34"/>
      <c r="AC279" s="34"/>
      <c r="AD279" s="34"/>
      <c r="AE279" s="34"/>
      <c r="AT279" s="19" t="s">
        <v>187</v>
      </c>
      <c r="AU279" s="19" t="s">
        <v>87</v>
      </c>
    </row>
    <row r="280" spans="1:65" s="2" customFormat="1">
      <c r="A280" s="34"/>
      <c r="B280" s="35"/>
      <c r="C280" s="34"/>
      <c r="D280" s="158" t="s">
        <v>189</v>
      </c>
      <c r="E280" s="34"/>
      <c r="F280" s="159" t="s">
        <v>2491</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189</v>
      </c>
      <c r="AU280" s="19" t="s">
        <v>87</v>
      </c>
    </row>
    <row r="281" spans="1:65" s="2" customFormat="1" ht="39">
      <c r="A281" s="34"/>
      <c r="B281" s="35"/>
      <c r="C281" s="34"/>
      <c r="D281" s="153" t="s">
        <v>191</v>
      </c>
      <c r="E281" s="34"/>
      <c r="F281" s="160" t="s">
        <v>2492</v>
      </c>
      <c r="G281" s="34"/>
      <c r="H281" s="34"/>
      <c r="I281" s="155"/>
      <c r="J281" s="34"/>
      <c r="K281" s="34"/>
      <c r="L281" s="35"/>
      <c r="M281" s="156"/>
      <c r="N281" s="157"/>
      <c r="O281" s="55"/>
      <c r="P281" s="55"/>
      <c r="Q281" s="55"/>
      <c r="R281" s="55"/>
      <c r="S281" s="55"/>
      <c r="T281" s="56"/>
      <c r="U281" s="34"/>
      <c r="V281" s="34"/>
      <c r="W281" s="34"/>
      <c r="X281" s="34"/>
      <c r="Y281" s="34"/>
      <c r="Z281" s="34"/>
      <c r="AA281" s="34"/>
      <c r="AB281" s="34"/>
      <c r="AC281" s="34"/>
      <c r="AD281" s="34"/>
      <c r="AE281" s="34"/>
      <c r="AT281" s="19" t="s">
        <v>191</v>
      </c>
      <c r="AU281" s="19" t="s">
        <v>87</v>
      </c>
    </row>
    <row r="282" spans="1:65" s="13" customFormat="1">
      <c r="B282" s="161"/>
      <c r="D282" s="153" t="s">
        <v>193</v>
      </c>
      <c r="E282" s="162" t="s">
        <v>3</v>
      </c>
      <c r="F282" s="163" t="s">
        <v>2493</v>
      </c>
      <c r="H282" s="164">
        <v>62.16</v>
      </c>
      <c r="I282" s="165"/>
      <c r="L282" s="161"/>
      <c r="M282" s="166"/>
      <c r="N282" s="167"/>
      <c r="O282" s="167"/>
      <c r="P282" s="167"/>
      <c r="Q282" s="167"/>
      <c r="R282" s="167"/>
      <c r="S282" s="167"/>
      <c r="T282" s="168"/>
      <c r="AT282" s="162" t="s">
        <v>193</v>
      </c>
      <c r="AU282" s="162" t="s">
        <v>87</v>
      </c>
      <c r="AV282" s="13" t="s">
        <v>87</v>
      </c>
      <c r="AW282" s="13" t="s">
        <v>36</v>
      </c>
      <c r="AX282" s="13" t="s">
        <v>85</v>
      </c>
      <c r="AY282" s="162" t="s">
        <v>177</v>
      </c>
    </row>
    <row r="283" spans="1:65" s="2" customFormat="1" ht="16.5" customHeight="1">
      <c r="A283" s="34"/>
      <c r="B283" s="139"/>
      <c r="C283" s="195" t="s">
        <v>764</v>
      </c>
      <c r="D283" s="195" t="s">
        <v>484</v>
      </c>
      <c r="E283" s="196" t="s">
        <v>2494</v>
      </c>
      <c r="F283" s="197" t="s">
        <v>2495</v>
      </c>
      <c r="G283" s="198" t="s">
        <v>476</v>
      </c>
      <c r="H283" s="199">
        <v>65.268000000000001</v>
      </c>
      <c r="I283" s="200"/>
      <c r="J283" s="201">
        <f>ROUND(I283*H283,2)</f>
        <v>0</v>
      </c>
      <c r="K283" s="197" t="s">
        <v>184</v>
      </c>
      <c r="L283" s="202"/>
      <c r="M283" s="203" t="s">
        <v>3</v>
      </c>
      <c r="N283" s="204" t="s">
        <v>48</v>
      </c>
      <c r="O283" s="55"/>
      <c r="P283" s="149">
        <f>O283*H283</f>
        <v>0</v>
      </c>
      <c r="Q283" s="149">
        <v>7.2000000000000005E-4</v>
      </c>
      <c r="R283" s="149">
        <f>Q283*H283</f>
        <v>4.699296E-2</v>
      </c>
      <c r="S283" s="149">
        <v>0</v>
      </c>
      <c r="T283" s="150">
        <f>S283*H283</f>
        <v>0</v>
      </c>
      <c r="U283" s="34"/>
      <c r="V283" s="34"/>
      <c r="W283" s="34"/>
      <c r="X283" s="34"/>
      <c r="Y283" s="34"/>
      <c r="Z283" s="34"/>
      <c r="AA283" s="34"/>
      <c r="AB283" s="34"/>
      <c r="AC283" s="34"/>
      <c r="AD283" s="34"/>
      <c r="AE283" s="34"/>
      <c r="AR283" s="151" t="s">
        <v>248</v>
      </c>
      <c r="AT283" s="151" t="s">
        <v>484</v>
      </c>
      <c r="AU283" s="151" t="s">
        <v>87</v>
      </c>
      <c r="AY283" s="19" t="s">
        <v>177</v>
      </c>
      <c r="BE283" s="152">
        <f>IF(N283="základní",J283,0)</f>
        <v>0</v>
      </c>
      <c r="BF283" s="152">
        <f>IF(N283="snížená",J283,0)</f>
        <v>0</v>
      </c>
      <c r="BG283" s="152">
        <f>IF(N283="zákl. přenesená",J283,0)</f>
        <v>0</v>
      </c>
      <c r="BH283" s="152">
        <f>IF(N283="sníž. přenesená",J283,0)</f>
        <v>0</v>
      </c>
      <c r="BI283" s="152">
        <f>IF(N283="nulová",J283,0)</f>
        <v>0</v>
      </c>
      <c r="BJ283" s="19" t="s">
        <v>85</v>
      </c>
      <c r="BK283" s="152">
        <f>ROUND(I283*H283,2)</f>
        <v>0</v>
      </c>
      <c r="BL283" s="19" t="s">
        <v>185</v>
      </c>
      <c r="BM283" s="151" t="s">
        <v>2496</v>
      </c>
    </row>
    <row r="284" spans="1:65" s="2" customFormat="1">
      <c r="A284" s="34"/>
      <c r="B284" s="35"/>
      <c r="C284" s="34"/>
      <c r="D284" s="153" t="s">
        <v>187</v>
      </c>
      <c r="E284" s="34"/>
      <c r="F284" s="154" t="s">
        <v>2495</v>
      </c>
      <c r="G284" s="34"/>
      <c r="H284" s="34"/>
      <c r="I284" s="155"/>
      <c r="J284" s="34"/>
      <c r="K284" s="34"/>
      <c r="L284" s="35"/>
      <c r="M284" s="156"/>
      <c r="N284" s="157"/>
      <c r="O284" s="55"/>
      <c r="P284" s="55"/>
      <c r="Q284" s="55"/>
      <c r="R284" s="55"/>
      <c r="S284" s="55"/>
      <c r="T284" s="56"/>
      <c r="U284" s="34"/>
      <c r="V284" s="34"/>
      <c r="W284" s="34"/>
      <c r="X284" s="34"/>
      <c r="Y284" s="34"/>
      <c r="Z284" s="34"/>
      <c r="AA284" s="34"/>
      <c r="AB284" s="34"/>
      <c r="AC284" s="34"/>
      <c r="AD284" s="34"/>
      <c r="AE284" s="34"/>
      <c r="AT284" s="19" t="s">
        <v>187</v>
      </c>
      <c r="AU284" s="19" t="s">
        <v>87</v>
      </c>
    </row>
    <row r="285" spans="1:65" s="13" customFormat="1">
      <c r="B285" s="161"/>
      <c r="D285" s="153" t="s">
        <v>193</v>
      </c>
      <c r="F285" s="163" t="s">
        <v>2497</v>
      </c>
      <c r="H285" s="164">
        <v>65.268000000000001</v>
      </c>
      <c r="I285" s="165"/>
      <c r="L285" s="161"/>
      <c r="M285" s="166"/>
      <c r="N285" s="167"/>
      <c r="O285" s="167"/>
      <c r="P285" s="167"/>
      <c r="Q285" s="167"/>
      <c r="R285" s="167"/>
      <c r="S285" s="167"/>
      <c r="T285" s="168"/>
      <c r="AT285" s="162" t="s">
        <v>193</v>
      </c>
      <c r="AU285" s="162" t="s">
        <v>87</v>
      </c>
      <c r="AV285" s="13" t="s">
        <v>87</v>
      </c>
      <c r="AW285" s="13" t="s">
        <v>4</v>
      </c>
      <c r="AX285" s="13" t="s">
        <v>85</v>
      </c>
      <c r="AY285" s="162" t="s">
        <v>177</v>
      </c>
    </row>
    <row r="286" spans="1:65" s="2" customFormat="1" ht="16.5" customHeight="1">
      <c r="A286" s="34"/>
      <c r="B286" s="139"/>
      <c r="C286" s="195" t="s">
        <v>772</v>
      </c>
      <c r="D286" s="195" t="s">
        <v>484</v>
      </c>
      <c r="E286" s="196" t="s">
        <v>2498</v>
      </c>
      <c r="F286" s="197" t="s">
        <v>2499</v>
      </c>
      <c r="G286" s="198" t="s">
        <v>236</v>
      </c>
      <c r="H286" s="199">
        <v>35</v>
      </c>
      <c r="I286" s="200"/>
      <c r="J286" s="201">
        <f>ROUND(I286*H286,2)</f>
        <v>0</v>
      </c>
      <c r="K286" s="197" t="s">
        <v>184</v>
      </c>
      <c r="L286" s="202"/>
      <c r="M286" s="203" t="s">
        <v>3</v>
      </c>
      <c r="N286" s="204" t="s">
        <v>48</v>
      </c>
      <c r="O286" s="55"/>
      <c r="P286" s="149">
        <f>O286*H286</f>
        <v>0</v>
      </c>
      <c r="Q286" s="149">
        <v>0</v>
      </c>
      <c r="R286" s="149">
        <f>Q286*H286</f>
        <v>0</v>
      </c>
      <c r="S286" s="149">
        <v>0</v>
      </c>
      <c r="T286" s="150">
        <f>S286*H286</f>
        <v>0</v>
      </c>
      <c r="U286" s="34"/>
      <c r="V286" s="34"/>
      <c r="W286" s="34"/>
      <c r="X286" s="34"/>
      <c r="Y286" s="34"/>
      <c r="Z286" s="34"/>
      <c r="AA286" s="34"/>
      <c r="AB286" s="34"/>
      <c r="AC286" s="34"/>
      <c r="AD286" s="34"/>
      <c r="AE286" s="34"/>
      <c r="AR286" s="151" t="s">
        <v>248</v>
      </c>
      <c r="AT286" s="151" t="s">
        <v>484</v>
      </c>
      <c r="AU286" s="151" t="s">
        <v>87</v>
      </c>
      <c r="AY286" s="19" t="s">
        <v>177</v>
      </c>
      <c r="BE286" s="152">
        <f>IF(N286="základní",J286,0)</f>
        <v>0</v>
      </c>
      <c r="BF286" s="152">
        <f>IF(N286="snížená",J286,0)</f>
        <v>0</v>
      </c>
      <c r="BG286" s="152">
        <f>IF(N286="zákl. přenesená",J286,0)</f>
        <v>0</v>
      </c>
      <c r="BH286" s="152">
        <f>IF(N286="sníž. přenesená",J286,0)</f>
        <v>0</v>
      </c>
      <c r="BI286" s="152">
        <f>IF(N286="nulová",J286,0)</f>
        <v>0</v>
      </c>
      <c r="BJ286" s="19" t="s">
        <v>85</v>
      </c>
      <c r="BK286" s="152">
        <f>ROUND(I286*H286,2)</f>
        <v>0</v>
      </c>
      <c r="BL286" s="19" t="s">
        <v>185</v>
      </c>
      <c r="BM286" s="151" t="s">
        <v>2500</v>
      </c>
    </row>
    <row r="287" spans="1:65" s="2" customFormat="1">
      <c r="A287" s="34"/>
      <c r="B287" s="35"/>
      <c r="C287" s="34"/>
      <c r="D287" s="153" t="s">
        <v>187</v>
      </c>
      <c r="E287" s="34"/>
      <c r="F287" s="154" t="s">
        <v>2499</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187</v>
      </c>
      <c r="AU287" s="19" t="s">
        <v>87</v>
      </c>
    </row>
    <row r="288" spans="1:65" s="2" customFormat="1" ht="16.5" customHeight="1">
      <c r="A288" s="34"/>
      <c r="B288" s="139"/>
      <c r="C288" s="195" t="s">
        <v>781</v>
      </c>
      <c r="D288" s="195" t="s">
        <v>484</v>
      </c>
      <c r="E288" s="196" t="s">
        <v>2501</v>
      </c>
      <c r="F288" s="197" t="s">
        <v>2502</v>
      </c>
      <c r="G288" s="198" t="s">
        <v>236</v>
      </c>
      <c r="H288" s="199">
        <v>60</v>
      </c>
      <c r="I288" s="200"/>
      <c r="J288" s="201">
        <f>ROUND(I288*H288,2)</f>
        <v>0</v>
      </c>
      <c r="K288" s="197" t="s">
        <v>184</v>
      </c>
      <c r="L288" s="202"/>
      <c r="M288" s="203" t="s">
        <v>3</v>
      </c>
      <c r="N288" s="204" t="s">
        <v>48</v>
      </c>
      <c r="O288" s="55"/>
      <c r="P288" s="149">
        <f>O288*H288</f>
        <v>0</v>
      </c>
      <c r="Q288" s="149">
        <v>1.0000000000000001E-5</v>
      </c>
      <c r="R288" s="149">
        <f>Q288*H288</f>
        <v>6.0000000000000006E-4</v>
      </c>
      <c r="S288" s="149">
        <v>0</v>
      </c>
      <c r="T288" s="150">
        <f>S288*H288</f>
        <v>0</v>
      </c>
      <c r="U288" s="34"/>
      <c r="V288" s="34"/>
      <c r="W288" s="34"/>
      <c r="X288" s="34"/>
      <c r="Y288" s="34"/>
      <c r="Z288" s="34"/>
      <c r="AA288" s="34"/>
      <c r="AB288" s="34"/>
      <c r="AC288" s="34"/>
      <c r="AD288" s="34"/>
      <c r="AE288" s="34"/>
      <c r="AR288" s="151" t="s">
        <v>248</v>
      </c>
      <c r="AT288" s="151" t="s">
        <v>484</v>
      </c>
      <c r="AU288" s="151" t="s">
        <v>87</v>
      </c>
      <c r="AY288" s="19" t="s">
        <v>177</v>
      </c>
      <c r="BE288" s="152">
        <f>IF(N288="základní",J288,0)</f>
        <v>0</v>
      </c>
      <c r="BF288" s="152">
        <f>IF(N288="snížená",J288,0)</f>
        <v>0</v>
      </c>
      <c r="BG288" s="152">
        <f>IF(N288="zákl. přenesená",J288,0)</f>
        <v>0</v>
      </c>
      <c r="BH288" s="152">
        <f>IF(N288="sníž. přenesená",J288,0)</f>
        <v>0</v>
      </c>
      <c r="BI288" s="152">
        <f>IF(N288="nulová",J288,0)</f>
        <v>0</v>
      </c>
      <c r="BJ288" s="19" t="s">
        <v>85</v>
      </c>
      <c r="BK288" s="152">
        <f>ROUND(I288*H288,2)</f>
        <v>0</v>
      </c>
      <c r="BL288" s="19" t="s">
        <v>185</v>
      </c>
      <c r="BM288" s="151" t="s">
        <v>2503</v>
      </c>
    </row>
    <row r="289" spans="1:65" s="2" customFormat="1">
      <c r="A289" s="34"/>
      <c r="B289" s="35"/>
      <c r="C289" s="34"/>
      <c r="D289" s="153" t="s">
        <v>187</v>
      </c>
      <c r="E289" s="34"/>
      <c r="F289" s="154" t="s">
        <v>2502</v>
      </c>
      <c r="G289" s="34"/>
      <c r="H289" s="34"/>
      <c r="I289" s="155"/>
      <c r="J289" s="34"/>
      <c r="K289" s="34"/>
      <c r="L289" s="35"/>
      <c r="M289" s="156"/>
      <c r="N289" s="157"/>
      <c r="O289" s="55"/>
      <c r="P289" s="55"/>
      <c r="Q289" s="55"/>
      <c r="R289" s="55"/>
      <c r="S289" s="55"/>
      <c r="T289" s="56"/>
      <c r="U289" s="34"/>
      <c r="V289" s="34"/>
      <c r="W289" s="34"/>
      <c r="X289" s="34"/>
      <c r="Y289" s="34"/>
      <c r="Z289" s="34"/>
      <c r="AA289" s="34"/>
      <c r="AB289" s="34"/>
      <c r="AC289" s="34"/>
      <c r="AD289" s="34"/>
      <c r="AE289" s="34"/>
      <c r="AT289" s="19" t="s">
        <v>187</v>
      </c>
      <c r="AU289" s="19" t="s">
        <v>87</v>
      </c>
    </row>
    <row r="290" spans="1:65" s="2" customFormat="1" ht="16.5" customHeight="1">
      <c r="A290" s="34"/>
      <c r="B290" s="139"/>
      <c r="C290" s="140" t="s">
        <v>787</v>
      </c>
      <c r="D290" s="140" t="s">
        <v>180</v>
      </c>
      <c r="E290" s="141" t="s">
        <v>2504</v>
      </c>
      <c r="F290" s="142" t="s">
        <v>2505</v>
      </c>
      <c r="G290" s="143" t="s">
        <v>476</v>
      </c>
      <c r="H290" s="144">
        <v>554.03</v>
      </c>
      <c r="I290" s="145"/>
      <c r="J290" s="146">
        <f>ROUND(I290*H290,2)</f>
        <v>0</v>
      </c>
      <c r="K290" s="142" t="s">
        <v>184</v>
      </c>
      <c r="L290" s="35"/>
      <c r="M290" s="147" t="s">
        <v>3</v>
      </c>
      <c r="N290" s="148" t="s">
        <v>48</v>
      </c>
      <c r="O290" s="55"/>
      <c r="P290" s="149">
        <f>O290*H290</f>
        <v>0</v>
      </c>
      <c r="Q290" s="149">
        <v>0</v>
      </c>
      <c r="R290" s="149">
        <f>Q290*H290</f>
        <v>0</v>
      </c>
      <c r="S290" s="149">
        <v>0</v>
      </c>
      <c r="T290" s="150">
        <f>S290*H290</f>
        <v>0</v>
      </c>
      <c r="U290" s="34"/>
      <c r="V290" s="34"/>
      <c r="W290" s="34"/>
      <c r="X290" s="34"/>
      <c r="Y290" s="34"/>
      <c r="Z290" s="34"/>
      <c r="AA290" s="34"/>
      <c r="AB290" s="34"/>
      <c r="AC290" s="34"/>
      <c r="AD290" s="34"/>
      <c r="AE290" s="34"/>
      <c r="AR290" s="151" t="s">
        <v>185</v>
      </c>
      <c r="AT290" s="151" t="s">
        <v>180</v>
      </c>
      <c r="AU290" s="151" t="s">
        <v>87</v>
      </c>
      <c r="AY290" s="19" t="s">
        <v>177</v>
      </c>
      <c r="BE290" s="152">
        <f>IF(N290="základní",J290,0)</f>
        <v>0</v>
      </c>
      <c r="BF290" s="152">
        <f>IF(N290="snížená",J290,0)</f>
        <v>0</v>
      </c>
      <c r="BG290" s="152">
        <f>IF(N290="zákl. přenesená",J290,0)</f>
        <v>0</v>
      </c>
      <c r="BH290" s="152">
        <f>IF(N290="sníž. přenesená",J290,0)</f>
        <v>0</v>
      </c>
      <c r="BI290" s="152">
        <f>IF(N290="nulová",J290,0)</f>
        <v>0</v>
      </c>
      <c r="BJ290" s="19" t="s">
        <v>85</v>
      </c>
      <c r="BK290" s="152">
        <f>ROUND(I290*H290,2)</f>
        <v>0</v>
      </c>
      <c r="BL290" s="19" t="s">
        <v>185</v>
      </c>
      <c r="BM290" s="151" t="s">
        <v>2506</v>
      </c>
    </row>
    <row r="291" spans="1:65" s="2" customFormat="1">
      <c r="A291" s="34"/>
      <c r="B291" s="35"/>
      <c r="C291" s="34"/>
      <c r="D291" s="153" t="s">
        <v>187</v>
      </c>
      <c r="E291" s="34"/>
      <c r="F291" s="154" t="s">
        <v>2507</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187</v>
      </c>
      <c r="AU291" s="19" t="s">
        <v>87</v>
      </c>
    </row>
    <row r="292" spans="1:65" s="2" customFormat="1">
      <c r="A292" s="34"/>
      <c r="B292" s="35"/>
      <c r="C292" s="34"/>
      <c r="D292" s="158" t="s">
        <v>189</v>
      </c>
      <c r="E292" s="34"/>
      <c r="F292" s="159" t="s">
        <v>2508</v>
      </c>
      <c r="G292" s="34"/>
      <c r="H292" s="34"/>
      <c r="I292" s="155"/>
      <c r="J292" s="34"/>
      <c r="K292" s="34"/>
      <c r="L292" s="35"/>
      <c r="M292" s="156"/>
      <c r="N292" s="157"/>
      <c r="O292" s="55"/>
      <c r="P292" s="55"/>
      <c r="Q292" s="55"/>
      <c r="R292" s="55"/>
      <c r="S292" s="55"/>
      <c r="T292" s="56"/>
      <c r="U292" s="34"/>
      <c r="V292" s="34"/>
      <c r="W292" s="34"/>
      <c r="X292" s="34"/>
      <c r="Y292" s="34"/>
      <c r="Z292" s="34"/>
      <c r="AA292" s="34"/>
      <c r="AB292" s="34"/>
      <c r="AC292" s="34"/>
      <c r="AD292" s="34"/>
      <c r="AE292" s="34"/>
      <c r="AT292" s="19" t="s">
        <v>189</v>
      </c>
      <c r="AU292" s="19" t="s">
        <v>87</v>
      </c>
    </row>
    <row r="293" spans="1:65" s="2" customFormat="1" ht="39">
      <c r="A293" s="34"/>
      <c r="B293" s="35"/>
      <c r="C293" s="34"/>
      <c r="D293" s="153" t="s">
        <v>191</v>
      </c>
      <c r="E293" s="34"/>
      <c r="F293" s="160" t="s">
        <v>2492</v>
      </c>
      <c r="G293" s="34"/>
      <c r="H293" s="34"/>
      <c r="I293" s="155"/>
      <c r="J293" s="34"/>
      <c r="K293" s="34"/>
      <c r="L293" s="35"/>
      <c r="M293" s="156"/>
      <c r="N293" s="157"/>
      <c r="O293" s="55"/>
      <c r="P293" s="55"/>
      <c r="Q293" s="55"/>
      <c r="R293" s="55"/>
      <c r="S293" s="55"/>
      <c r="T293" s="56"/>
      <c r="U293" s="34"/>
      <c r="V293" s="34"/>
      <c r="W293" s="34"/>
      <c r="X293" s="34"/>
      <c r="Y293" s="34"/>
      <c r="Z293" s="34"/>
      <c r="AA293" s="34"/>
      <c r="AB293" s="34"/>
      <c r="AC293" s="34"/>
      <c r="AD293" s="34"/>
      <c r="AE293" s="34"/>
      <c r="AT293" s="19" t="s">
        <v>191</v>
      </c>
      <c r="AU293" s="19" t="s">
        <v>87</v>
      </c>
    </row>
    <row r="294" spans="1:65" s="2" customFormat="1" ht="16.5" customHeight="1">
      <c r="A294" s="34"/>
      <c r="B294" s="139"/>
      <c r="C294" s="195" t="s">
        <v>794</v>
      </c>
      <c r="D294" s="195" t="s">
        <v>484</v>
      </c>
      <c r="E294" s="196" t="s">
        <v>2509</v>
      </c>
      <c r="F294" s="197" t="s">
        <v>2510</v>
      </c>
      <c r="G294" s="198" t="s">
        <v>476</v>
      </c>
      <c r="H294" s="199">
        <v>161.91</v>
      </c>
      <c r="I294" s="200"/>
      <c r="J294" s="201">
        <f>ROUND(I294*H294,2)</f>
        <v>0</v>
      </c>
      <c r="K294" s="197" t="s">
        <v>184</v>
      </c>
      <c r="L294" s="202"/>
      <c r="M294" s="203" t="s">
        <v>3</v>
      </c>
      <c r="N294" s="204" t="s">
        <v>48</v>
      </c>
      <c r="O294" s="55"/>
      <c r="P294" s="149">
        <f>O294*H294</f>
        <v>0</v>
      </c>
      <c r="Q294" s="149">
        <v>3.0000000000000001E-5</v>
      </c>
      <c r="R294" s="149">
        <f>Q294*H294</f>
        <v>4.8573000000000002E-3</v>
      </c>
      <c r="S294" s="149">
        <v>0</v>
      </c>
      <c r="T294" s="150">
        <f>S294*H294</f>
        <v>0</v>
      </c>
      <c r="U294" s="34"/>
      <c r="V294" s="34"/>
      <c r="W294" s="34"/>
      <c r="X294" s="34"/>
      <c r="Y294" s="34"/>
      <c r="Z294" s="34"/>
      <c r="AA294" s="34"/>
      <c r="AB294" s="34"/>
      <c r="AC294" s="34"/>
      <c r="AD294" s="34"/>
      <c r="AE294" s="34"/>
      <c r="AR294" s="151" t="s">
        <v>248</v>
      </c>
      <c r="AT294" s="151" t="s">
        <v>484</v>
      </c>
      <c r="AU294" s="151" t="s">
        <v>87</v>
      </c>
      <c r="AY294" s="19" t="s">
        <v>177</v>
      </c>
      <c r="BE294" s="152">
        <f>IF(N294="základní",J294,0)</f>
        <v>0</v>
      </c>
      <c r="BF294" s="152">
        <f>IF(N294="snížená",J294,0)</f>
        <v>0</v>
      </c>
      <c r="BG294" s="152">
        <f>IF(N294="zákl. přenesená",J294,0)</f>
        <v>0</v>
      </c>
      <c r="BH294" s="152">
        <f>IF(N294="sníž. přenesená",J294,0)</f>
        <v>0</v>
      </c>
      <c r="BI294" s="152">
        <f>IF(N294="nulová",J294,0)</f>
        <v>0</v>
      </c>
      <c r="BJ294" s="19" t="s">
        <v>85</v>
      </c>
      <c r="BK294" s="152">
        <f>ROUND(I294*H294,2)</f>
        <v>0</v>
      </c>
      <c r="BL294" s="19" t="s">
        <v>185</v>
      </c>
      <c r="BM294" s="151" t="s">
        <v>2511</v>
      </c>
    </row>
    <row r="295" spans="1:65" s="2" customFormat="1">
      <c r="A295" s="34"/>
      <c r="B295" s="35"/>
      <c r="C295" s="34"/>
      <c r="D295" s="153" t="s">
        <v>187</v>
      </c>
      <c r="E295" s="34"/>
      <c r="F295" s="154" t="s">
        <v>2510</v>
      </c>
      <c r="G295" s="34"/>
      <c r="H295" s="34"/>
      <c r="I295" s="155"/>
      <c r="J295" s="34"/>
      <c r="K295" s="34"/>
      <c r="L295" s="35"/>
      <c r="M295" s="156"/>
      <c r="N295" s="157"/>
      <c r="O295" s="55"/>
      <c r="P295" s="55"/>
      <c r="Q295" s="55"/>
      <c r="R295" s="55"/>
      <c r="S295" s="55"/>
      <c r="T295" s="56"/>
      <c r="U295" s="34"/>
      <c r="V295" s="34"/>
      <c r="W295" s="34"/>
      <c r="X295" s="34"/>
      <c r="Y295" s="34"/>
      <c r="Z295" s="34"/>
      <c r="AA295" s="34"/>
      <c r="AB295" s="34"/>
      <c r="AC295" s="34"/>
      <c r="AD295" s="34"/>
      <c r="AE295" s="34"/>
      <c r="AT295" s="19" t="s">
        <v>187</v>
      </c>
      <c r="AU295" s="19" t="s">
        <v>87</v>
      </c>
    </row>
    <row r="296" spans="1:65" s="13" customFormat="1">
      <c r="B296" s="161"/>
      <c r="D296" s="153" t="s">
        <v>193</v>
      </c>
      <c r="E296" s="162" t="s">
        <v>3</v>
      </c>
      <c r="F296" s="163" t="s">
        <v>2512</v>
      </c>
      <c r="H296" s="164">
        <v>236.4</v>
      </c>
      <c r="I296" s="165"/>
      <c r="L296" s="161"/>
      <c r="M296" s="166"/>
      <c r="N296" s="167"/>
      <c r="O296" s="167"/>
      <c r="P296" s="167"/>
      <c r="Q296" s="167"/>
      <c r="R296" s="167"/>
      <c r="S296" s="167"/>
      <c r="T296" s="168"/>
      <c r="AT296" s="162" t="s">
        <v>193</v>
      </c>
      <c r="AU296" s="162" t="s">
        <v>87</v>
      </c>
      <c r="AV296" s="13" t="s">
        <v>87</v>
      </c>
      <c r="AW296" s="13" t="s">
        <v>36</v>
      </c>
      <c r="AX296" s="13" t="s">
        <v>77</v>
      </c>
      <c r="AY296" s="162" t="s">
        <v>177</v>
      </c>
    </row>
    <row r="297" spans="1:65" s="13" customFormat="1">
      <c r="B297" s="161"/>
      <c r="D297" s="153" t="s">
        <v>193</v>
      </c>
      <c r="E297" s="162" t="s">
        <v>3</v>
      </c>
      <c r="F297" s="163" t="s">
        <v>2513</v>
      </c>
      <c r="H297" s="164">
        <v>-117</v>
      </c>
      <c r="I297" s="165"/>
      <c r="L297" s="161"/>
      <c r="M297" s="166"/>
      <c r="N297" s="167"/>
      <c r="O297" s="167"/>
      <c r="P297" s="167"/>
      <c r="Q297" s="167"/>
      <c r="R297" s="167"/>
      <c r="S297" s="167"/>
      <c r="T297" s="168"/>
      <c r="AT297" s="162" t="s">
        <v>193</v>
      </c>
      <c r="AU297" s="162" t="s">
        <v>87</v>
      </c>
      <c r="AV297" s="13" t="s">
        <v>87</v>
      </c>
      <c r="AW297" s="13" t="s">
        <v>36</v>
      </c>
      <c r="AX297" s="13" t="s">
        <v>77</v>
      </c>
      <c r="AY297" s="162" t="s">
        <v>177</v>
      </c>
    </row>
    <row r="298" spans="1:65" s="15" customFormat="1">
      <c r="B298" s="176"/>
      <c r="D298" s="153" t="s">
        <v>193</v>
      </c>
      <c r="E298" s="177" t="s">
        <v>3</v>
      </c>
      <c r="F298" s="178" t="s">
        <v>197</v>
      </c>
      <c r="H298" s="179">
        <v>119.4</v>
      </c>
      <c r="I298" s="180"/>
      <c r="L298" s="176"/>
      <c r="M298" s="181"/>
      <c r="N298" s="182"/>
      <c r="O298" s="182"/>
      <c r="P298" s="182"/>
      <c r="Q298" s="182"/>
      <c r="R298" s="182"/>
      <c r="S298" s="182"/>
      <c r="T298" s="183"/>
      <c r="AT298" s="177" t="s">
        <v>193</v>
      </c>
      <c r="AU298" s="177" t="s">
        <v>87</v>
      </c>
      <c r="AV298" s="15" t="s">
        <v>198</v>
      </c>
      <c r="AW298" s="15" t="s">
        <v>36</v>
      </c>
      <c r="AX298" s="15" t="s">
        <v>77</v>
      </c>
      <c r="AY298" s="177" t="s">
        <v>177</v>
      </c>
    </row>
    <row r="299" spans="1:65" s="13" customFormat="1">
      <c r="B299" s="161"/>
      <c r="D299" s="153" t="s">
        <v>193</v>
      </c>
      <c r="E299" s="162" t="s">
        <v>3</v>
      </c>
      <c r="F299" s="163" t="s">
        <v>2514</v>
      </c>
      <c r="H299" s="164">
        <v>34.799999999999997</v>
      </c>
      <c r="I299" s="165"/>
      <c r="L299" s="161"/>
      <c r="M299" s="166"/>
      <c r="N299" s="167"/>
      <c r="O299" s="167"/>
      <c r="P299" s="167"/>
      <c r="Q299" s="167"/>
      <c r="R299" s="167"/>
      <c r="S299" s="167"/>
      <c r="T299" s="168"/>
      <c r="AT299" s="162" t="s">
        <v>193</v>
      </c>
      <c r="AU299" s="162" t="s">
        <v>87</v>
      </c>
      <c r="AV299" s="13" t="s">
        <v>87</v>
      </c>
      <c r="AW299" s="13" t="s">
        <v>36</v>
      </c>
      <c r="AX299" s="13" t="s">
        <v>77</v>
      </c>
      <c r="AY299" s="162" t="s">
        <v>177</v>
      </c>
    </row>
    <row r="300" spans="1:65" s="16" customFormat="1">
      <c r="B300" s="184"/>
      <c r="D300" s="153" t="s">
        <v>193</v>
      </c>
      <c r="E300" s="185" t="s">
        <v>3</v>
      </c>
      <c r="F300" s="186" t="s">
        <v>201</v>
      </c>
      <c r="H300" s="187">
        <v>154.19999999999999</v>
      </c>
      <c r="I300" s="188"/>
      <c r="L300" s="184"/>
      <c r="M300" s="189"/>
      <c r="N300" s="190"/>
      <c r="O300" s="190"/>
      <c r="P300" s="190"/>
      <c r="Q300" s="190"/>
      <c r="R300" s="190"/>
      <c r="S300" s="190"/>
      <c r="T300" s="191"/>
      <c r="AT300" s="185" t="s">
        <v>193</v>
      </c>
      <c r="AU300" s="185" t="s">
        <v>87</v>
      </c>
      <c r="AV300" s="16" t="s">
        <v>185</v>
      </c>
      <c r="AW300" s="16" t="s">
        <v>36</v>
      </c>
      <c r="AX300" s="16" t="s">
        <v>85</v>
      </c>
      <c r="AY300" s="185" t="s">
        <v>177</v>
      </c>
    </row>
    <row r="301" spans="1:65" s="13" customFormat="1">
      <c r="B301" s="161"/>
      <c r="D301" s="153" t="s">
        <v>193</v>
      </c>
      <c r="F301" s="163" t="s">
        <v>2515</v>
      </c>
      <c r="H301" s="164">
        <v>161.91</v>
      </c>
      <c r="I301" s="165"/>
      <c r="L301" s="161"/>
      <c r="M301" s="166"/>
      <c r="N301" s="167"/>
      <c r="O301" s="167"/>
      <c r="P301" s="167"/>
      <c r="Q301" s="167"/>
      <c r="R301" s="167"/>
      <c r="S301" s="167"/>
      <c r="T301" s="168"/>
      <c r="AT301" s="162" t="s">
        <v>193</v>
      </c>
      <c r="AU301" s="162" t="s">
        <v>87</v>
      </c>
      <c r="AV301" s="13" t="s">
        <v>87</v>
      </c>
      <c r="AW301" s="13" t="s">
        <v>4</v>
      </c>
      <c r="AX301" s="13" t="s">
        <v>85</v>
      </c>
      <c r="AY301" s="162" t="s">
        <v>177</v>
      </c>
    </row>
    <row r="302" spans="1:65" s="2" customFormat="1" ht="16.5" customHeight="1">
      <c r="A302" s="34"/>
      <c r="B302" s="139"/>
      <c r="C302" s="195" t="s">
        <v>800</v>
      </c>
      <c r="D302" s="195" t="s">
        <v>484</v>
      </c>
      <c r="E302" s="196" t="s">
        <v>2516</v>
      </c>
      <c r="F302" s="197" t="s">
        <v>2517</v>
      </c>
      <c r="G302" s="198" t="s">
        <v>476</v>
      </c>
      <c r="H302" s="199">
        <v>188.685</v>
      </c>
      <c r="I302" s="200"/>
      <c r="J302" s="201">
        <f>ROUND(I302*H302,2)</f>
        <v>0</v>
      </c>
      <c r="K302" s="197" t="s">
        <v>184</v>
      </c>
      <c r="L302" s="202"/>
      <c r="M302" s="203" t="s">
        <v>3</v>
      </c>
      <c r="N302" s="204" t="s">
        <v>48</v>
      </c>
      <c r="O302" s="55"/>
      <c r="P302" s="149">
        <f>O302*H302</f>
        <v>0</v>
      </c>
      <c r="Q302" s="149">
        <v>4.0000000000000003E-5</v>
      </c>
      <c r="R302" s="149">
        <f>Q302*H302</f>
        <v>7.547400000000001E-3</v>
      </c>
      <c r="S302" s="149">
        <v>0</v>
      </c>
      <c r="T302" s="150">
        <f>S302*H302</f>
        <v>0</v>
      </c>
      <c r="U302" s="34"/>
      <c r="V302" s="34"/>
      <c r="W302" s="34"/>
      <c r="X302" s="34"/>
      <c r="Y302" s="34"/>
      <c r="Z302" s="34"/>
      <c r="AA302" s="34"/>
      <c r="AB302" s="34"/>
      <c r="AC302" s="34"/>
      <c r="AD302" s="34"/>
      <c r="AE302" s="34"/>
      <c r="AR302" s="151" t="s">
        <v>248</v>
      </c>
      <c r="AT302" s="151" t="s">
        <v>484</v>
      </c>
      <c r="AU302" s="151" t="s">
        <v>87</v>
      </c>
      <c r="AY302" s="19" t="s">
        <v>177</v>
      </c>
      <c r="BE302" s="152">
        <f>IF(N302="základní",J302,0)</f>
        <v>0</v>
      </c>
      <c r="BF302" s="152">
        <f>IF(N302="snížená",J302,0)</f>
        <v>0</v>
      </c>
      <c r="BG302" s="152">
        <f>IF(N302="zákl. přenesená",J302,0)</f>
        <v>0</v>
      </c>
      <c r="BH302" s="152">
        <f>IF(N302="sníž. přenesená",J302,0)</f>
        <v>0</v>
      </c>
      <c r="BI302" s="152">
        <f>IF(N302="nulová",J302,0)</f>
        <v>0</v>
      </c>
      <c r="BJ302" s="19" t="s">
        <v>85</v>
      </c>
      <c r="BK302" s="152">
        <f>ROUND(I302*H302,2)</f>
        <v>0</v>
      </c>
      <c r="BL302" s="19" t="s">
        <v>185</v>
      </c>
      <c r="BM302" s="151" t="s">
        <v>2518</v>
      </c>
    </row>
    <row r="303" spans="1:65" s="2" customFormat="1">
      <c r="A303" s="34"/>
      <c r="B303" s="35"/>
      <c r="C303" s="34"/>
      <c r="D303" s="153" t="s">
        <v>187</v>
      </c>
      <c r="E303" s="34"/>
      <c r="F303" s="154" t="s">
        <v>2517</v>
      </c>
      <c r="G303" s="34"/>
      <c r="H303" s="34"/>
      <c r="I303" s="155"/>
      <c r="J303" s="34"/>
      <c r="K303" s="34"/>
      <c r="L303" s="35"/>
      <c r="M303" s="156"/>
      <c r="N303" s="157"/>
      <c r="O303" s="55"/>
      <c r="P303" s="55"/>
      <c r="Q303" s="55"/>
      <c r="R303" s="55"/>
      <c r="S303" s="55"/>
      <c r="T303" s="56"/>
      <c r="U303" s="34"/>
      <c r="V303" s="34"/>
      <c r="W303" s="34"/>
      <c r="X303" s="34"/>
      <c r="Y303" s="34"/>
      <c r="Z303" s="34"/>
      <c r="AA303" s="34"/>
      <c r="AB303" s="34"/>
      <c r="AC303" s="34"/>
      <c r="AD303" s="34"/>
      <c r="AE303" s="34"/>
      <c r="AT303" s="19" t="s">
        <v>187</v>
      </c>
      <c r="AU303" s="19" t="s">
        <v>87</v>
      </c>
    </row>
    <row r="304" spans="1:65" s="13" customFormat="1">
      <c r="B304" s="161"/>
      <c r="D304" s="153" t="s">
        <v>193</v>
      </c>
      <c r="E304" s="162" t="s">
        <v>3</v>
      </c>
      <c r="F304" s="163" t="s">
        <v>2519</v>
      </c>
      <c r="H304" s="164">
        <v>179.7</v>
      </c>
      <c r="I304" s="165"/>
      <c r="L304" s="161"/>
      <c r="M304" s="166"/>
      <c r="N304" s="167"/>
      <c r="O304" s="167"/>
      <c r="P304" s="167"/>
      <c r="Q304" s="167"/>
      <c r="R304" s="167"/>
      <c r="S304" s="167"/>
      <c r="T304" s="168"/>
      <c r="AT304" s="162" t="s">
        <v>193</v>
      </c>
      <c r="AU304" s="162" t="s">
        <v>87</v>
      </c>
      <c r="AV304" s="13" t="s">
        <v>87</v>
      </c>
      <c r="AW304" s="13" t="s">
        <v>36</v>
      </c>
      <c r="AX304" s="13" t="s">
        <v>85</v>
      </c>
      <c r="AY304" s="162" t="s">
        <v>177</v>
      </c>
    </row>
    <row r="305" spans="1:65" s="13" customFormat="1">
      <c r="B305" s="161"/>
      <c r="D305" s="153" t="s">
        <v>193</v>
      </c>
      <c r="F305" s="163" t="s">
        <v>2520</v>
      </c>
      <c r="H305" s="164">
        <v>188.685</v>
      </c>
      <c r="I305" s="165"/>
      <c r="L305" s="161"/>
      <c r="M305" s="166"/>
      <c r="N305" s="167"/>
      <c r="O305" s="167"/>
      <c r="P305" s="167"/>
      <c r="Q305" s="167"/>
      <c r="R305" s="167"/>
      <c r="S305" s="167"/>
      <c r="T305" s="168"/>
      <c r="AT305" s="162" t="s">
        <v>193</v>
      </c>
      <c r="AU305" s="162" t="s">
        <v>87</v>
      </c>
      <c r="AV305" s="13" t="s">
        <v>87</v>
      </c>
      <c r="AW305" s="13" t="s">
        <v>4</v>
      </c>
      <c r="AX305" s="13" t="s">
        <v>85</v>
      </c>
      <c r="AY305" s="162" t="s">
        <v>177</v>
      </c>
    </row>
    <row r="306" spans="1:65" s="2" customFormat="1" ht="16.5" customHeight="1">
      <c r="A306" s="34"/>
      <c r="B306" s="139"/>
      <c r="C306" s="195" t="s">
        <v>1117</v>
      </c>
      <c r="D306" s="195" t="s">
        <v>484</v>
      </c>
      <c r="E306" s="196" t="s">
        <v>2521</v>
      </c>
      <c r="F306" s="197" t="s">
        <v>2522</v>
      </c>
      <c r="G306" s="198" t="s">
        <v>476</v>
      </c>
      <c r="H306" s="199">
        <v>63.314999999999998</v>
      </c>
      <c r="I306" s="200"/>
      <c r="J306" s="201">
        <f>ROUND(I306*H306,2)</f>
        <v>0</v>
      </c>
      <c r="K306" s="197" t="s">
        <v>184</v>
      </c>
      <c r="L306" s="202"/>
      <c r="M306" s="203" t="s">
        <v>3</v>
      </c>
      <c r="N306" s="204" t="s">
        <v>48</v>
      </c>
      <c r="O306" s="55"/>
      <c r="P306" s="149">
        <f>O306*H306</f>
        <v>0</v>
      </c>
      <c r="Q306" s="149">
        <v>2.9999999999999997E-4</v>
      </c>
      <c r="R306" s="149">
        <f>Q306*H306</f>
        <v>1.8994499999999997E-2</v>
      </c>
      <c r="S306" s="149">
        <v>0</v>
      </c>
      <c r="T306" s="150">
        <f>S306*H306</f>
        <v>0</v>
      </c>
      <c r="U306" s="34"/>
      <c r="V306" s="34"/>
      <c r="W306" s="34"/>
      <c r="X306" s="34"/>
      <c r="Y306" s="34"/>
      <c r="Z306" s="34"/>
      <c r="AA306" s="34"/>
      <c r="AB306" s="34"/>
      <c r="AC306" s="34"/>
      <c r="AD306" s="34"/>
      <c r="AE306" s="34"/>
      <c r="AR306" s="151" t="s">
        <v>248</v>
      </c>
      <c r="AT306" s="151" t="s">
        <v>484</v>
      </c>
      <c r="AU306" s="151" t="s">
        <v>87</v>
      </c>
      <c r="AY306" s="19" t="s">
        <v>177</v>
      </c>
      <c r="BE306" s="152">
        <f>IF(N306="základní",J306,0)</f>
        <v>0</v>
      </c>
      <c r="BF306" s="152">
        <f>IF(N306="snížená",J306,0)</f>
        <v>0</v>
      </c>
      <c r="BG306" s="152">
        <f>IF(N306="zákl. přenesená",J306,0)</f>
        <v>0</v>
      </c>
      <c r="BH306" s="152">
        <f>IF(N306="sníž. přenesená",J306,0)</f>
        <v>0</v>
      </c>
      <c r="BI306" s="152">
        <f>IF(N306="nulová",J306,0)</f>
        <v>0</v>
      </c>
      <c r="BJ306" s="19" t="s">
        <v>85</v>
      </c>
      <c r="BK306" s="152">
        <f>ROUND(I306*H306,2)</f>
        <v>0</v>
      </c>
      <c r="BL306" s="19" t="s">
        <v>185</v>
      </c>
      <c r="BM306" s="151" t="s">
        <v>2523</v>
      </c>
    </row>
    <row r="307" spans="1:65" s="2" customFormat="1">
      <c r="A307" s="34"/>
      <c r="B307" s="35"/>
      <c r="C307" s="34"/>
      <c r="D307" s="153" t="s">
        <v>187</v>
      </c>
      <c r="E307" s="34"/>
      <c r="F307" s="154" t="s">
        <v>2522</v>
      </c>
      <c r="G307" s="34"/>
      <c r="H307" s="34"/>
      <c r="I307" s="155"/>
      <c r="J307" s="34"/>
      <c r="K307" s="34"/>
      <c r="L307" s="35"/>
      <c r="M307" s="156"/>
      <c r="N307" s="157"/>
      <c r="O307" s="55"/>
      <c r="P307" s="55"/>
      <c r="Q307" s="55"/>
      <c r="R307" s="55"/>
      <c r="S307" s="55"/>
      <c r="T307" s="56"/>
      <c r="U307" s="34"/>
      <c r="V307" s="34"/>
      <c r="W307" s="34"/>
      <c r="X307" s="34"/>
      <c r="Y307" s="34"/>
      <c r="Z307" s="34"/>
      <c r="AA307" s="34"/>
      <c r="AB307" s="34"/>
      <c r="AC307" s="34"/>
      <c r="AD307" s="34"/>
      <c r="AE307" s="34"/>
      <c r="AT307" s="19" t="s">
        <v>187</v>
      </c>
      <c r="AU307" s="19" t="s">
        <v>87</v>
      </c>
    </row>
    <row r="308" spans="1:65" s="13" customFormat="1">
      <c r="B308" s="161"/>
      <c r="D308" s="153" t="s">
        <v>193</v>
      </c>
      <c r="E308" s="162" t="s">
        <v>3</v>
      </c>
      <c r="F308" s="163" t="s">
        <v>2524</v>
      </c>
      <c r="H308" s="164">
        <v>56.7</v>
      </c>
      <c r="I308" s="165"/>
      <c r="L308" s="161"/>
      <c r="M308" s="166"/>
      <c r="N308" s="167"/>
      <c r="O308" s="167"/>
      <c r="P308" s="167"/>
      <c r="Q308" s="167"/>
      <c r="R308" s="167"/>
      <c r="S308" s="167"/>
      <c r="T308" s="168"/>
      <c r="AT308" s="162" t="s">
        <v>193</v>
      </c>
      <c r="AU308" s="162" t="s">
        <v>87</v>
      </c>
      <c r="AV308" s="13" t="s">
        <v>87</v>
      </c>
      <c r="AW308" s="13" t="s">
        <v>36</v>
      </c>
      <c r="AX308" s="13" t="s">
        <v>77</v>
      </c>
      <c r="AY308" s="162" t="s">
        <v>177</v>
      </c>
    </row>
    <row r="309" spans="1:65" s="13" customFormat="1">
      <c r="B309" s="161"/>
      <c r="D309" s="153" t="s">
        <v>193</v>
      </c>
      <c r="E309" s="162" t="s">
        <v>3</v>
      </c>
      <c r="F309" s="163" t="s">
        <v>2525</v>
      </c>
      <c r="H309" s="164">
        <v>3.6</v>
      </c>
      <c r="I309" s="165"/>
      <c r="L309" s="161"/>
      <c r="M309" s="166"/>
      <c r="N309" s="167"/>
      <c r="O309" s="167"/>
      <c r="P309" s="167"/>
      <c r="Q309" s="167"/>
      <c r="R309" s="167"/>
      <c r="S309" s="167"/>
      <c r="T309" s="168"/>
      <c r="AT309" s="162" t="s">
        <v>193</v>
      </c>
      <c r="AU309" s="162" t="s">
        <v>87</v>
      </c>
      <c r="AV309" s="13" t="s">
        <v>87</v>
      </c>
      <c r="AW309" s="13" t="s">
        <v>36</v>
      </c>
      <c r="AX309" s="13" t="s">
        <v>77</v>
      </c>
      <c r="AY309" s="162" t="s">
        <v>177</v>
      </c>
    </row>
    <row r="310" spans="1:65" s="16" customFormat="1">
      <c r="B310" s="184"/>
      <c r="D310" s="153" t="s">
        <v>193</v>
      </c>
      <c r="E310" s="185" t="s">
        <v>3</v>
      </c>
      <c r="F310" s="186" t="s">
        <v>201</v>
      </c>
      <c r="H310" s="187">
        <v>60.3</v>
      </c>
      <c r="I310" s="188"/>
      <c r="L310" s="184"/>
      <c r="M310" s="189"/>
      <c r="N310" s="190"/>
      <c r="O310" s="190"/>
      <c r="P310" s="190"/>
      <c r="Q310" s="190"/>
      <c r="R310" s="190"/>
      <c r="S310" s="190"/>
      <c r="T310" s="191"/>
      <c r="AT310" s="185" t="s">
        <v>193</v>
      </c>
      <c r="AU310" s="185" t="s">
        <v>87</v>
      </c>
      <c r="AV310" s="16" t="s">
        <v>185</v>
      </c>
      <c r="AW310" s="16" t="s">
        <v>36</v>
      </c>
      <c r="AX310" s="16" t="s">
        <v>85</v>
      </c>
      <c r="AY310" s="185" t="s">
        <v>177</v>
      </c>
    </row>
    <row r="311" spans="1:65" s="13" customFormat="1">
      <c r="B311" s="161"/>
      <c r="D311" s="153" t="s">
        <v>193</v>
      </c>
      <c r="F311" s="163" t="s">
        <v>2526</v>
      </c>
      <c r="H311" s="164">
        <v>63.314999999999998</v>
      </c>
      <c r="I311" s="165"/>
      <c r="L311" s="161"/>
      <c r="M311" s="166"/>
      <c r="N311" s="167"/>
      <c r="O311" s="167"/>
      <c r="P311" s="167"/>
      <c r="Q311" s="167"/>
      <c r="R311" s="167"/>
      <c r="S311" s="167"/>
      <c r="T311" s="168"/>
      <c r="AT311" s="162" t="s">
        <v>193</v>
      </c>
      <c r="AU311" s="162" t="s">
        <v>87</v>
      </c>
      <c r="AV311" s="13" t="s">
        <v>87</v>
      </c>
      <c r="AW311" s="13" t="s">
        <v>4</v>
      </c>
      <c r="AX311" s="13" t="s">
        <v>85</v>
      </c>
      <c r="AY311" s="162" t="s">
        <v>177</v>
      </c>
    </row>
    <row r="312" spans="1:65" s="2" customFormat="1" ht="16.5" customHeight="1">
      <c r="A312" s="34"/>
      <c r="B312" s="139"/>
      <c r="C312" s="195" t="s">
        <v>1119</v>
      </c>
      <c r="D312" s="195" t="s">
        <v>484</v>
      </c>
      <c r="E312" s="196" t="s">
        <v>2527</v>
      </c>
      <c r="F312" s="197" t="s">
        <v>2528</v>
      </c>
      <c r="G312" s="198" t="s">
        <v>476</v>
      </c>
      <c r="H312" s="199">
        <v>59.534999999999997</v>
      </c>
      <c r="I312" s="200"/>
      <c r="J312" s="201">
        <f>ROUND(I312*H312,2)</f>
        <v>0</v>
      </c>
      <c r="K312" s="197" t="s">
        <v>184</v>
      </c>
      <c r="L312" s="202"/>
      <c r="M312" s="203" t="s">
        <v>3</v>
      </c>
      <c r="N312" s="204" t="s">
        <v>48</v>
      </c>
      <c r="O312" s="55"/>
      <c r="P312" s="149">
        <f>O312*H312</f>
        <v>0</v>
      </c>
      <c r="Q312" s="149">
        <v>2.0000000000000001E-4</v>
      </c>
      <c r="R312" s="149">
        <f>Q312*H312</f>
        <v>1.1906999999999999E-2</v>
      </c>
      <c r="S312" s="149">
        <v>0</v>
      </c>
      <c r="T312" s="150">
        <f>S312*H312</f>
        <v>0</v>
      </c>
      <c r="U312" s="34"/>
      <c r="V312" s="34"/>
      <c r="W312" s="34"/>
      <c r="X312" s="34"/>
      <c r="Y312" s="34"/>
      <c r="Z312" s="34"/>
      <c r="AA312" s="34"/>
      <c r="AB312" s="34"/>
      <c r="AC312" s="34"/>
      <c r="AD312" s="34"/>
      <c r="AE312" s="34"/>
      <c r="AR312" s="151" t="s">
        <v>248</v>
      </c>
      <c r="AT312" s="151" t="s">
        <v>484</v>
      </c>
      <c r="AU312" s="151" t="s">
        <v>87</v>
      </c>
      <c r="AY312" s="19" t="s">
        <v>177</v>
      </c>
      <c r="BE312" s="152">
        <f>IF(N312="základní",J312,0)</f>
        <v>0</v>
      </c>
      <c r="BF312" s="152">
        <f>IF(N312="snížená",J312,0)</f>
        <v>0</v>
      </c>
      <c r="BG312" s="152">
        <f>IF(N312="zákl. přenesená",J312,0)</f>
        <v>0</v>
      </c>
      <c r="BH312" s="152">
        <f>IF(N312="sníž. přenesená",J312,0)</f>
        <v>0</v>
      </c>
      <c r="BI312" s="152">
        <f>IF(N312="nulová",J312,0)</f>
        <v>0</v>
      </c>
      <c r="BJ312" s="19" t="s">
        <v>85</v>
      </c>
      <c r="BK312" s="152">
        <f>ROUND(I312*H312,2)</f>
        <v>0</v>
      </c>
      <c r="BL312" s="19" t="s">
        <v>185</v>
      </c>
      <c r="BM312" s="151" t="s">
        <v>2529</v>
      </c>
    </row>
    <row r="313" spans="1:65" s="2" customFormat="1">
      <c r="A313" s="34"/>
      <c r="B313" s="35"/>
      <c r="C313" s="34"/>
      <c r="D313" s="153" t="s">
        <v>187</v>
      </c>
      <c r="E313" s="34"/>
      <c r="F313" s="154" t="s">
        <v>2528</v>
      </c>
      <c r="G313" s="34"/>
      <c r="H313" s="34"/>
      <c r="I313" s="155"/>
      <c r="J313" s="34"/>
      <c r="K313" s="34"/>
      <c r="L313" s="35"/>
      <c r="M313" s="156"/>
      <c r="N313" s="157"/>
      <c r="O313" s="55"/>
      <c r="P313" s="55"/>
      <c r="Q313" s="55"/>
      <c r="R313" s="55"/>
      <c r="S313" s="55"/>
      <c r="T313" s="56"/>
      <c r="U313" s="34"/>
      <c r="V313" s="34"/>
      <c r="W313" s="34"/>
      <c r="X313" s="34"/>
      <c r="Y313" s="34"/>
      <c r="Z313" s="34"/>
      <c r="AA313" s="34"/>
      <c r="AB313" s="34"/>
      <c r="AC313" s="34"/>
      <c r="AD313" s="34"/>
      <c r="AE313" s="34"/>
      <c r="AT313" s="19" t="s">
        <v>187</v>
      </c>
      <c r="AU313" s="19" t="s">
        <v>87</v>
      </c>
    </row>
    <row r="314" spans="1:65" s="13" customFormat="1">
      <c r="B314" s="161"/>
      <c r="D314" s="153" t="s">
        <v>193</v>
      </c>
      <c r="E314" s="162" t="s">
        <v>3</v>
      </c>
      <c r="F314" s="163" t="s">
        <v>2530</v>
      </c>
      <c r="H314" s="164">
        <v>19.2</v>
      </c>
      <c r="I314" s="165"/>
      <c r="L314" s="161"/>
      <c r="M314" s="166"/>
      <c r="N314" s="167"/>
      <c r="O314" s="167"/>
      <c r="P314" s="167"/>
      <c r="Q314" s="167"/>
      <c r="R314" s="167"/>
      <c r="S314" s="167"/>
      <c r="T314" s="168"/>
      <c r="AT314" s="162" t="s">
        <v>193</v>
      </c>
      <c r="AU314" s="162" t="s">
        <v>87</v>
      </c>
      <c r="AV314" s="13" t="s">
        <v>87</v>
      </c>
      <c r="AW314" s="13" t="s">
        <v>36</v>
      </c>
      <c r="AX314" s="13" t="s">
        <v>77</v>
      </c>
      <c r="AY314" s="162" t="s">
        <v>177</v>
      </c>
    </row>
    <row r="315" spans="1:65" s="13" customFormat="1">
      <c r="B315" s="161"/>
      <c r="D315" s="153" t="s">
        <v>193</v>
      </c>
      <c r="E315" s="162" t="s">
        <v>3</v>
      </c>
      <c r="F315" s="163" t="s">
        <v>2531</v>
      </c>
      <c r="H315" s="164">
        <v>6.9</v>
      </c>
      <c r="I315" s="165"/>
      <c r="L315" s="161"/>
      <c r="M315" s="166"/>
      <c r="N315" s="167"/>
      <c r="O315" s="167"/>
      <c r="P315" s="167"/>
      <c r="Q315" s="167"/>
      <c r="R315" s="167"/>
      <c r="S315" s="167"/>
      <c r="T315" s="168"/>
      <c r="AT315" s="162" t="s">
        <v>193</v>
      </c>
      <c r="AU315" s="162" t="s">
        <v>87</v>
      </c>
      <c r="AV315" s="13" t="s">
        <v>87</v>
      </c>
      <c r="AW315" s="13" t="s">
        <v>36</v>
      </c>
      <c r="AX315" s="13" t="s">
        <v>77</v>
      </c>
      <c r="AY315" s="162" t="s">
        <v>177</v>
      </c>
    </row>
    <row r="316" spans="1:65" s="13" customFormat="1">
      <c r="B316" s="161"/>
      <c r="D316" s="153" t="s">
        <v>193</v>
      </c>
      <c r="E316" s="162" t="s">
        <v>3</v>
      </c>
      <c r="F316" s="163" t="s">
        <v>2532</v>
      </c>
      <c r="H316" s="164">
        <v>30.6</v>
      </c>
      <c r="I316" s="165"/>
      <c r="L316" s="161"/>
      <c r="M316" s="166"/>
      <c r="N316" s="167"/>
      <c r="O316" s="167"/>
      <c r="P316" s="167"/>
      <c r="Q316" s="167"/>
      <c r="R316" s="167"/>
      <c r="S316" s="167"/>
      <c r="T316" s="168"/>
      <c r="AT316" s="162" t="s">
        <v>193</v>
      </c>
      <c r="AU316" s="162" t="s">
        <v>87</v>
      </c>
      <c r="AV316" s="13" t="s">
        <v>87</v>
      </c>
      <c r="AW316" s="13" t="s">
        <v>36</v>
      </c>
      <c r="AX316" s="13" t="s">
        <v>77</v>
      </c>
      <c r="AY316" s="162" t="s">
        <v>177</v>
      </c>
    </row>
    <row r="317" spans="1:65" s="16" customFormat="1">
      <c r="B317" s="184"/>
      <c r="D317" s="153" t="s">
        <v>193</v>
      </c>
      <c r="E317" s="185" t="s">
        <v>3</v>
      </c>
      <c r="F317" s="186" t="s">
        <v>201</v>
      </c>
      <c r="H317" s="187">
        <v>56.7</v>
      </c>
      <c r="I317" s="188"/>
      <c r="L317" s="184"/>
      <c r="M317" s="189"/>
      <c r="N317" s="190"/>
      <c r="O317" s="190"/>
      <c r="P317" s="190"/>
      <c r="Q317" s="190"/>
      <c r="R317" s="190"/>
      <c r="S317" s="190"/>
      <c r="T317" s="191"/>
      <c r="AT317" s="185" t="s">
        <v>193</v>
      </c>
      <c r="AU317" s="185" t="s">
        <v>87</v>
      </c>
      <c r="AV317" s="16" t="s">
        <v>185</v>
      </c>
      <c r="AW317" s="16" t="s">
        <v>36</v>
      </c>
      <c r="AX317" s="16" t="s">
        <v>85</v>
      </c>
      <c r="AY317" s="185" t="s">
        <v>177</v>
      </c>
    </row>
    <row r="318" spans="1:65" s="13" customFormat="1">
      <c r="B318" s="161"/>
      <c r="D318" s="153" t="s">
        <v>193</v>
      </c>
      <c r="F318" s="163" t="s">
        <v>2533</v>
      </c>
      <c r="H318" s="164">
        <v>59.534999999999997</v>
      </c>
      <c r="I318" s="165"/>
      <c r="L318" s="161"/>
      <c r="M318" s="166"/>
      <c r="N318" s="167"/>
      <c r="O318" s="167"/>
      <c r="P318" s="167"/>
      <c r="Q318" s="167"/>
      <c r="R318" s="167"/>
      <c r="S318" s="167"/>
      <c r="T318" s="168"/>
      <c r="AT318" s="162" t="s">
        <v>193</v>
      </c>
      <c r="AU318" s="162" t="s">
        <v>87</v>
      </c>
      <c r="AV318" s="13" t="s">
        <v>87</v>
      </c>
      <c r="AW318" s="13" t="s">
        <v>4</v>
      </c>
      <c r="AX318" s="13" t="s">
        <v>85</v>
      </c>
      <c r="AY318" s="162" t="s">
        <v>177</v>
      </c>
    </row>
    <row r="319" spans="1:65" s="2" customFormat="1" ht="16.5" customHeight="1">
      <c r="A319" s="34"/>
      <c r="B319" s="139"/>
      <c r="C319" s="195" t="s">
        <v>1126</v>
      </c>
      <c r="D319" s="195" t="s">
        <v>484</v>
      </c>
      <c r="E319" s="196" t="s">
        <v>2534</v>
      </c>
      <c r="F319" s="197" t="s">
        <v>2535</v>
      </c>
      <c r="G319" s="198" t="s">
        <v>476</v>
      </c>
      <c r="H319" s="199">
        <v>99.938999999999993</v>
      </c>
      <c r="I319" s="200"/>
      <c r="J319" s="201">
        <f>ROUND(I319*H319,2)</f>
        <v>0</v>
      </c>
      <c r="K319" s="197" t="s">
        <v>184</v>
      </c>
      <c r="L319" s="202"/>
      <c r="M319" s="203" t="s">
        <v>3</v>
      </c>
      <c r="N319" s="204" t="s">
        <v>48</v>
      </c>
      <c r="O319" s="55"/>
      <c r="P319" s="149">
        <f>O319*H319</f>
        <v>0</v>
      </c>
      <c r="Q319" s="149">
        <v>2.0000000000000001E-4</v>
      </c>
      <c r="R319" s="149">
        <f>Q319*H319</f>
        <v>1.99878E-2</v>
      </c>
      <c r="S319" s="149">
        <v>0</v>
      </c>
      <c r="T319" s="150">
        <f>S319*H319</f>
        <v>0</v>
      </c>
      <c r="U319" s="34"/>
      <c r="V319" s="34"/>
      <c r="W319" s="34"/>
      <c r="X319" s="34"/>
      <c r="Y319" s="34"/>
      <c r="Z319" s="34"/>
      <c r="AA319" s="34"/>
      <c r="AB319" s="34"/>
      <c r="AC319" s="34"/>
      <c r="AD319" s="34"/>
      <c r="AE319" s="34"/>
      <c r="AR319" s="151" t="s">
        <v>248</v>
      </c>
      <c r="AT319" s="151" t="s">
        <v>484</v>
      </c>
      <c r="AU319" s="151" t="s">
        <v>87</v>
      </c>
      <c r="AY319" s="19" t="s">
        <v>177</v>
      </c>
      <c r="BE319" s="152">
        <f>IF(N319="základní",J319,0)</f>
        <v>0</v>
      </c>
      <c r="BF319" s="152">
        <f>IF(N319="snížená",J319,0)</f>
        <v>0</v>
      </c>
      <c r="BG319" s="152">
        <f>IF(N319="zákl. přenesená",J319,0)</f>
        <v>0</v>
      </c>
      <c r="BH319" s="152">
        <f>IF(N319="sníž. přenesená",J319,0)</f>
        <v>0</v>
      </c>
      <c r="BI319" s="152">
        <f>IF(N319="nulová",J319,0)</f>
        <v>0</v>
      </c>
      <c r="BJ319" s="19" t="s">
        <v>85</v>
      </c>
      <c r="BK319" s="152">
        <f>ROUND(I319*H319,2)</f>
        <v>0</v>
      </c>
      <c r="BL319" s="19" t="s">
        <v>185</v>
      </c>
      <c r="BM319" s="151" t="s">
        <v>2536</v>
      </c>
    </row>
    <row r="320" spans="1:65" s="2" customFormat="1">
      <c r="A320" s="34"/>
      <c r="B320" s="35"/>
      <c r="C320" s="34"/>
      <c r="D320" s="153" t="s">
        <v>187</v>
      </c>
      <c r="E320" s="34"/>
      <c r="F320" s="154" t="s">
        <v>2535</v>
      </c>
      <c r="G320" s="34"/>
      <c r="H320" s="34"/>
      <c r="I320" s="155"/>
      <c r="J320" s="34"/>
      <c r="K320" s="34"/>
      <c r="L320" s="35"/>
      <c r="M320" s="156"/>
      <c r="N320" s="157"/>
      <c r="O320" s="55"/>
      <c r="P320" s="55"/>
      <c r="Q320" s="55"/>
      <c r="R320" s="55"/>
      <c r="S320" s="55"/>
      <c r="T320" s="56"/>
      <c r="U320" s="34"/>
      <c r="V320" s="34"/>
      <c r="W320" s="34"/>
      <c r="X320" s="34"/>
      <c r="Y320" s="34"/>
      <c r="Z320" s="34"/>
      <c r="AA320" s="34"/>
      <c r="AB320" s="34"/>
      <c r="AC320" s="34"/>
      <c r="AD320" s="34"/>
      <c r="AE320" s="34"/>
      <c r="AT320" s="19" t="s">
        <v>187</v>
      </c>
      <c r="AU320" s="19" t="s">
        <v>87</v>
      </c>
    </row>
    <row r="321" spans="1:65" s="13" customFormat="1">
      <c r="B321" s="161"/>
      <c r="D321" s="153" t="s">
        <v>193</v>
      </c>
      <c r="E321" s="162" t="s">
        <v>3</v>
      </c>
      <c r="F321" s="163" t="s">
        <v>2537</v>
      </c>
      <c r="H321" s="164">
        <v>79.28</v>
      </c>
      <c r="I321" s="165"/>
      <c r="L321" s="161"/>
      <c r="M321" s="166"/>
      <c r="N321" s="167"/>
      <c r="O321" s="167"/>
      <c r="P321" s="167"/>
      <c r="Q321" s="167"/>
      <c r="R321" s="167"/>
      <c r="S321" s="167"/>
      <c r="T321" s="168"/>
      <c r="AT321" s="162" t="s">
        <v>193</v>
      </c>
      <c r="AU321" s="162" t="s">
        <v>87</v>
      </c>
      <c r="AV321" s="13" t="s">
        <v>87</v>
      </c>
      <c r="AW321" s="13" t="s">
        <v>36</v>
      </c>
      <c r="AX321" s="13" t="s">
        <v>77</v>
      </c>
      <c r="AY321" s="162" t="s">
        <v>177</v>
      </c>
    </row>
    <row r="322" spans="1:65" s="14" customFormat="1">
      <c r="B322" s="169"/>
      <c r="D322" s="153" t="s">
        <v>193</v>
      </c>
      <c r="E322" s="170" t="s">
        <v>3</v>
      </c>
      <c r="F322" s="171" t="s">
        <v>2434</v>
      </c>
      <c r="H322" s="170" t="s">
        <v>3</v>
      </c>
      <c r="I322" s="172"/>
      <c r="L322" s="169"/>
      <c r="M322" s="173"/>
      <c r="N322" s="174"/>
      <c r="O322" s="174"/>
      <c r="P322" s="174"/>
      <c r="Q322" s="174"/>
      <c r="R322" s="174"/>
      <c r="S322" s="174"/>
      <c r="T322" s="175"/>
      <c r="AT322" s="170" t="s">
        <v>193</v>
      </c>
      <c r="AU322" s="170" t="s">
        <v>87</v>
      </c>
      <c r="AV322" s="14" t="s">
        <v>85</v>
      </c>
      <c r="AW322" s="14" t="s">
        <v>36</v>
      </c>
      <c r="AX322" s="14" t="s">
        <v>77</v>
      </c>
      <c r="AY322" s="170" t="s">
        <v>177</v>
      </c>
    </row>
    <row r="323" spans="1:65" s="13" customFormat="1">
      <c r="B323" s="161"/>
      <c r="D323" s="153" t="s">
        <v>193</v>
      </c>
      <c r="E323" s="162" t="s">
        <v>3</v>
      </c>
      <c r="F323" s="163" t="s">
        <v>2538</v>
      </c>
      <c r="H323" s="164">
        <v>15.9</v>
      </c>
      <c r="I323" s="165"/>
      <c r="L323" s="161"/>
      <c r="M323" s="166"/>
      <c r="N323" s="167"/>
      <c r="O323" s="167"/>
      <c r="P323" s="167"/>
      <c r="Q323" s="167"/>
      <c r="R323" s="167"/>
      <c r="S323" s="167"/>
      <c r="T323" s="168"/>
      <c r="AT323" s="162" t="s">
        <v>193</v>
      </c>
      <c r="AU323" s="162" t="s">
        <v>87</v>
      </c>
      <c r="AV323" s="13" t="s">
        <v>87</v>
      </c>
      <c r="AW323" s="13" t="s">
        <v>36</v>
      </c>
      <c r="AX323" s="13" t="s">
        <v>77</v>
      </c>
      <c r="AY323" s="162" t="s">
        <v>177</v>
      </c>
    </row>
    <row r="324" spans="1:65" s="16" customFormat="1">
      <c r="B324" s="184"/>
      <c r="D324" s="153" t="s">
        <v>193</v>
      </c>
      <c r="E324" s="185" t="s">
        <v>3</v>
      </c>
      <c r="F324" s="186" t="s">
        <v>201</v>
      </c>
      <c r="H324" s="187">
        <v>95.18</v>
      </c>
      <c r="I324" s="188"/>
      <c r="L324" s="184"/>
      <c r="M324" s="189"/>
      <c r="N324" s="190"/>
      <c r="O324" s="190"/>
      <c r="P324" s="190"/>
      <c r="Q324" s="190"/>
      <c r="R324" s="190"/>
      <c r="S324" s="190"/>
      <c r="T324" s="191"/>
      <c r="AT324" s="185" t="s">
        <v>193</v>
      </c>
      <c r="AU324" s="185" t="s">
        <v>87</v>
      </c>
      <c r="AV324" s="16" t="s">
        <v>185</v>
      </c>
      <c r="AW324" s="16" t="s">
        <v>36</v>
      </c>
      <c r="AX324" s="16" t="s">
        <v>85</v>
      </c>
      <c r="AY324" s="185" t="s">
        <v>177</v>
      </c>
    </row>
    <row r="325" spans="1:65" s="13" customFormat="1">
      <c r="B325" s="161"/>
      <c r="D325" s="153" t="s">
        <v>193</v>
      </c>
      <c r="F325" s="163" t="s">
        <v>2539</v>
      </c>
      <c r="H325" s="164">
        <v>99.938999999999993</v>
      </c>
      <c r="I325" s="165"/>
      <c r="L325" s="161"/>
      <c r="M325" s="166"/>
      <c r="N325" s="167"/>
      <c r="O325" s="167"/>
      <c r="P325" s="167"/>
      <c r="Q325" s="167"/>
      <c r="R325" s="167"/>
      <c r="S325" s="167"/>
      <c r="T325" s="168"/>
      <c r="AT325" s="162" t="s">
        <v>193</v>
      </c>
      <c r="AU325" s="162" t="s">
        <v>87</v>
      </c>
      <c r="AV325" s="13" t="s">
        <v>87</v>
      </c>
      <c r="AW325" s="13" t="s">
        <v>4</v>
      </c>
      <c r="AX325" s="13" t="s">
        <v>85</v>
      </c>
      <c r="AY325" s="162" t="s">
        <v>177</v>
      </c>
    </row>
    <row r="326" spans="1:65" s="2" customFormat="1" ht="16.5" customHeight="1">
      <c r="A326" s="34"/>
      <c r="B326" s="139"/>
      <c r="C326" s="195" t="s">
        <v>1132</v>
      </c>
      <c r="D326" s="195" t="s">
        <v>484</v>
      </c>
      <c r="E326" s="196" t="s">
        <v>2540</v>
      </c>
      <c r="F326" s="197" t="s">
        <v>2541</v>
      </c>
      <c r="G326" s="198" t="s">
        <v>476</v>
      </c>
      <c r="H326" s="199">
        <v>8.7449999999999992</v>
      </c>
      <c r="I326" s="200"/>
      <c r="J326" s="201">
        <f>ROUND(I326*H326,2)</f>
        <v>0</v>
      </c>
      <c r="K326" s="197" t="s">
        <v>184</v>
      </c>
      <c r="L326" s="202"/>
      <c r="M326" s="203" t="s">
        <v>3</v>
      </c>
      <c r="N326" s="204" t="s">
        <v>48</v>
      </c>
      <c r="O326" s="55"/>
      <c r="P326" s="149">
        <f>O326*H326</f>
        <v>0</v>
      </c>
      <c r="Q326" s="149">
        <v>5.0000000000000001E-4</v>
      </c>
      <c r="R326" s="149">
        <f>Q326*H326</f>
        <v>4.3724999999999997E-3</v>
      </c>
      <c r="S326" s="149">
        <v>0</v>
      </c>
      <c r="T326" s="150">
        <f>S326*H326</f>
        <v>0</v>
      </c>
      <c r="U326" s="34"/>
      <c r="V326" s="34"/>
      <c r="W326" s="34"/>
      <c r="X326" s="34"/>
      <c r="Y326" s="34"/>
      <c r="Z326" s="34"/>
      <c r="AA326" s="34"/>
      <c r="AB326" s="34"/>
      <c r="AC326" s="34"/>
      <c r="AD326" s="34"/>
      <c r="AE326" s="34"/>
      <c r="AR326" s="151" t="s">
        <v>248</v>
      </c>
      <c r="AT326" s="151" t="s">
        <v>484</v>
      </c>
      <c r="AU326" s="151" t="s">
        <v>87</v>
      </c>
      <c r="AY326" s="19" t="s">
        <v>177</v>
      </c>
      <c r="BE326" s="152">
        <f>IF(N326="základní",J326,0)</f>
        <v>0</v>
      </c>
      <c r="BF326" s="152">
        <f>IF(N326="snížená",J326,0)</f>
        <v>0</v>
      </c>
      <c r="BG326" s="152">
        <f>IF(N326="zákl. přenesená",J326,0)</f>
        <v>0</v>
      </c>
      <c r="BH326" s="152">
        <f>IF(N326="sníž. přenesená",J326,0)</f>
        <v>0</v>
      </c>
      <c r="BI326" s="152">
        <f>IF(N326="nulová",J326,0)</f>
        <v>0</v>
      </c>
      <c r="BJ326" s="19" t="s">
        <v>85</v>
      </c>
      <c r="BK326" s="152">
        <f>ROUND(I326*H326,2)</f>
        <v>0</v>
      </c>
      <c r="BL326" s="19" t="s">
        <v>185</v>
      </c>
      <c r="BM326" s="151" t="s">
        <v>2542</v>
      </c>
    </row>
    <row r="327" spans="1:65" s="2" customFormat="1">
      <c r="A327" s="34"/>
      <c r="B327" s="35"/>
      <c r="C327" s="34"/>
      <c r="D327" s="153" t="s">
        <v>187</v>
      </c>
      <c r="E327" s="34"/>
      <c r="F327" s="154" t="s">
        <v>2541</v>
      </c>
      <c r="G327" s="34"/>
      <c r="H327" s="34"/>
      <c r="I327" s="155"/>
      <c r="J327" s="34"/>
      <c r="K327" s="34"/>
      <c r="L327" s="35"/>
      <c r="M327" s="156"/>
      <c r="N327" s="157"/>
      <c r="O327" s="55"/>
      <c r="P327" s="55"/>
      <c r="Q327" s="55"/>
      <c r="R327" s="55"/>
      <c r="S327" s="55"/>
      <c r="T327" s="56"/>
      <c r="U327" s="34"/>
      <c r="V327" s="34"/>
      <c r="W327" s="34"/>
      <c r="X327" s="34"/>
      <c r="Y327" s="34"/>
      <c r="Z327" s="34"/>
      <c r="AA327" s="34"/>
      <c r="AB327" s="34"/>
      <c r="AC327" s="34"/>
      <c r="AD327" s="34"/>
      <c r="AE327" s="34"/>
      <c r="AT327" s="19" t="s">
        <v>187</v>
      </c>
      <c r="AU327" s="19" t="s">
        <v>87</v>
      </c>
    </row>
    <row r="328" spans="1:65" s="14" customFormat="1">
      <c r="B328" s="169"/>
      <c r="D328" s="153" t="s">
        <v>193</v>
      </c>
      <c r="E328" s="170" t="s">
        <v>3</v>
      </c>
      <c r="F328" s="171" t="s">
        <v>2434</v>
      </c>
      <c r="H328" s="170" t="s">
        <v>3</v>
      </c>
      <c r="I328" s="172"/>
      <c r="L328" s="169"/>
      <c r="M328" s="173"/>
      <c r="N328" s="174"/>
      <c r="O328" s="174"/>
      <c r="P328" s="174"/>
      <c r="Q328" s="174"/>
      <c r="R328" s="174"/>
      <c r="S328" s="174"/>
      <c r="T328" s="175"/>
      <c r="AT328" s="170" t="s">
        <v>193</v>
      </c>
      <c r="AU328" s="170" t="s">
        <v>87</v>
      </c>
      <c r="AV328" s="14" t="s">
        <v>85</v>
      </c>
      <c r="AW328" s="14" t="s">
        <v>36</v>
      </c>
      <c r="AX328" s="14" t="s">
        <v>77</v>
      </c>
      <c r="AY328" s="170" t="s">
        <v>177</v>
      </c>
    </row>
    <row r="329" spans="1:65" s="13" customFormat="1">
      <c r="B329" s="161"/>
      <c r="D329" s="153" t="s">
        <v>193</v>
      </c>
      <c r="E329" s="162" t="s">
        <v>3</v>
      </c>
      <c r="F329" s="163" t="s">
        <v>2543</v>
      </c>
      <c r="H329" s="164">
        <v>7.95</v>
      </c>
      <c r="I329" s="165"/>
      <c r="L329" s="161"/>
      <c r="M329" s="166"/>
      <c r="N329" s="167"/>
      <c r="O329" s="167"/>
      <c r="P329" s="167"/>
      <c r="Q329" s="167"/>
      <c r="R329" s="167"/>
      <c r="S329" s="167"/>
      <c r="T329" s="168"/>
      <c r="AT329" s="162" t="s">
        <v>193</v>
      </c>
      <c r="AU329" s="162" t="s">
        <v>87</v>
      </c>
      <c r="AV329" s="13" t="s">
        <v>87</v>
      </c>
      <c r="AW329" s="13" t="s">
        <v>36</v>
      </c>
      <c r="AX329" s="13" t="s">
        <v>85</v>
      </c>
      <c r="AY329" s="162" t="s">
        <v>177</v>
      </c>
    </row>
    <row r="330" spans="1:65" s="13" customFormat="1">
      <c r="B330" s="161"/>
      <c r="D330" s="153" t="s">
        <v>193</v>
      </c>
      <c r="F330" s="163" t="s">
        <v>2544</v>
      </c>
      <c r="H330" s="164">
        <v>8.7449999999999992</v>
      </c>
      <c r="I330" s="165"/>
      <c r="L330" s="161"/>
      <c r="M330" s="166"/>
      <c r="N330" s="167"/>
      <c r="O330" s="167"/>
      <c r="P330" s="167"/>
      <c r="Q330" s="167"/>
      <c r="R330" s="167"/>
      <c r="S330" s="167"/>
      <c r="T330" s="168"/>
      <c r="AT330" s="162" t="s">
        <v>193</v>
      </c>
      <c r="AU330" s="162" t="s">
        <v>87</v>
      </c>
      <c r="AV330" s="13" t="s">
        <v>87</v>
      </c>
      <c r="AW330" s="13" t="s">
        <v>4</v>
      </c>
      <c r="AX330" s="13" t="s">
        <v>85</v>
      </c>
      <c r="AY330" s="162" t="s">
        <v>177</v>
      </c>
    </row>
    <row r="331" spans="1:65" s="2" customFormat="1" ht="16.5" customHeight="1">
      <c r="A331" s="34"/>
      <c r="B331" s="139"/>
      <c r="C331" s="140" t="s">
        <v>1134</v>
      </c>
      <c r="D331" s="140" t="s">
        <v>180</v>
      </c>
      <c r="E331" s="141" t="s">
        <v>2545</v>
      </c>
      <c r="F331" s="142" t="s">
        <v>2546</v>
      </c>
      <c r="G331" s="143" t="s">
        <v>332</v>
      </c>
      <c r="H331" s="144">
        <v>7.3860000000000001</v>
      </c>
      <c r="I331" s="145"/>
      <c r="J331" s="146">
        <f>ROUND(I331*H331,2)</f>
        <v>0</v>
      </c>
      <c r="K331" s="142" t="s">
        <v>184</v>
      </c>
      <c r="L331" s="35"/>
      <c r="M331" s="147" t="s">
        <v>3</v>
      </c>
      <c r="N331" s="148" t="s">
        <v>48</v>
      </c>
      <c r="O331" s="55"/>
      <c r="P331" s="149">
        <f>O331*H331</f>
        <v>0</v>
      </c>
      <c r="Q331" s="149">
        <v>2.3099999999999999E-2</v>
      </c>
      <c r="R331" s="149">
        <f>Q331*H331</f>
        <v>0.17061660000000001</v>
      </c>
      <c r="S331" s="149">
        <v>0</v>
      </c>
      <c r="T331" s="150">
        <f>S331*H331</f>
        <v>0</v>
      </c>
      <c r="U331" s="34"/>
      <c r="V331" s="34"/>
      <c r="W331" s="34"/>
      <c r="X331" s="34"/>
      <c r="Y331" s="34"/>
      <c r="Z331" s="34"/>
      <c r="AA331" s="34"/>
      <c r="AB331" s="34"/>
      <c r="AC331" s="34"/>
      <c r="AD331" s="34"/>
      <c r="AE331" s="34"/>
      <c r="AR331" s="151" t="s">
        <v>185</v>
      </c>
      <c r="AT331" s="151" t="s">
        <v>180</v>
      </c>
      <c r="AU331" s="151" t="s">
        <v>87</v>
      </c>
      <c r="AY331" s="19" t="s">
        <v>177</v>
      </c>
      <c r="BE331" s="152">
        <f>IF(N331="základní",J331,0)</f>
        <v>0</v>
      </c>
      <c r="BF331" s="152">
        <f>IF(N331="snížená",J331,0)</f>
        <v>0</v>
      </c>
      <c r="BG331" s="152">
        <f>IF(N331="zákl. přenesená",J331,0)</f>
        <v>0</v>
      </c>
      <c r="BH331" s="152">
        <f>IF(N331="sníž. přenesená",J331,0)</f>
        <v>0</v>
      </c>
      <c r="BI331" s="152">
        <f>IF(N331="nulová",J331,0)</f>
        <v>0</v>
      </c>
      <c r="BJ331" s="19" t="s">
        <v>85</v>
      </c>
      <c r="BK331" s="152">
        <f>ROUND(I331*H331,2)</f>
        <v>0</v>
      </c>
      <c r="BL331" s="19" t="s">
        <v>185</v>
      </c>
      <c r="BM331" s="151" t="s">
        <v>2547</v>
      </c>
    </row>
    <row r="332" spans="1:65" s="2" customFormat="1">
      <c r="A332" s="34"/>
      <c r="B332" s="35"/>
      <c r="C332" s="34"/>
      <c r="D332" s="153" t="s">
        <v>187</v>
      </c>
      <c r="E332" s="34"/>
      <c r="F332" s="154" t="s">
        <v>2548</v>
      </c>
      <c r="G332" s="34"/>
      <c r="H332" s="34"/>
      <c r="I332" s="155"/>
      <c r="J332" s="34"/>
      <c r="K332" s="34"/>
      <c r="L332" s="35"/>
      <c r="M332" s="156"/>
      <c r="N332" s="157"/>
      <c r="O332" s="55"/>
      <c r="P332" s="55"/>
      <c r="Q332" s="55"/>
      <c r="R332" s="55"/>
      <c r="S332" s="55"/>
      <c r="T332" s="56"/>
      <c r="U332" s="34"/>
      <c r="V332" s="34"/>
      <c r="W332" s="34"/>
      <c r="X332" s="34"/>
      <c r="Y332" s="34"/>
      <c r="Z332" s="34"/>
      <c r="AA332" s="34"/>
      <c r="AB332" s="34"/>
      <c r="AC332" s="34"/>
      <c r="AD332" s="34"/>
      <c r="AE332" s="34"/>
      <c r="AT332" s="19" t="s">
        <v>187</v>
      </c>
      <c r="AU332" s="19" t="s">
        <v>87</v>
      </c>
    </row>
    <row r="333" spans="1:65" s="2" customFormat="1">
      <c r="A333" s="34"/>
      <c r="B333" s="35"/>
      <c r="C333" s="34"/>
      <c r="D333" s="158" t="s">
        <v>189</v>
      </c>
      <c r="E333" s="34"/>
      <c r="F333" s="159" t="s">
        <v>2549</v>
      </c>
      <c r="G333" s="34"/>
      <c r="H333" s="34"/>
      <c r="I333" s="155"/>
      <c r="J333" s="34"/>
      <c r="K333" s="34"/>
      <c r="L333" s="35"/>
      <c r="M333" s="156"/>
      <c r="N333" s="157"/>
      <c r="O333" s="55"/>
      <c r="P333" s="55"/>
      <c r="Q333" s="55"/>
      <c r="R333" s="55"/>
      <c r="S333" s="55"/>
      <c r="T333" s="56"/>
      <c r="U333" s="34"/>
      <c r="V333" s="34"/>
      <c r="W333" s="34"/>
      <c r="X333" s="34"/>
      <c r="Y333" s="34"/>
      <c r="Z333" s="34"/>
      <c r="AA333" s="34"/>
      <c r="AB333" s="34"/>
      <c r="AC333" s="34"/>
      <c r="AD333" s="34"/>
      <c r="AE333" s="34"/>
      <c r="AT333" s="19" t="s">
        <v>189</v>
      </c>
      <c r="AU333" s="19" t="s">
        <v>87</v>
      </c>
    </row>
    <row r="334" spans="1:65" s="2" customFormat="1" ht="39">
      <c r="A334" s="34"/>
      <c r="B334" s="35"/>
      <c r="C334" s="34"/>
      <c r="D334" s="153" t="s">
        <v>191</v>
      </c>
      <c r="E334" s="34"/>
      <c r="F334" s="160" t="s">
        <v>2550</v>
      </c>
      <c r="G334" s="34"/>
      <c r="H334" s="34"/>
      <c r="I334" s="155"/>
      <c r="J334" s="34"/>
      <c r="K334" s="34"/>
      <c r="L334" s="35"/>
      <c r="M334" s="156"/>
      <c r="N334" s="157"/>
      <c r="O334" s="55"/>
      <c r="P334" s="55"/>
      <c r="Q334" s="55"/>
      <c r="R334" s="55"/>
      <c r="S334" s="55"/>
      <c r="T334" s="56"/>
      <c r="U334" s="34"/>
      <c r="V334" s="34"/>
      <c r="W334" s="34"/>
      <c r="X334" s="34"/>
      <c r="Y334" s="34"/>
      <c r="Z334" s="34"/>
      <c r="AA334" s="34"/>
      <c r="AB334" s="34"/>
      <c r="AC334" s="34"/>
      <c r="AD334" s="34"/>
      <c r="AE334" s="34"/>
      <c r="AT334" s="19" t="s">
        <v>191</v>
      </c>
      <c r="AU334" s="19" t="s">
        <v>87</v>
      </c>
    </row>
    <row r="335" spans="1:65" s="14" customFormat="1">
      <c r="B335" s="169"/>
      <c r="D335" s="153" t="s">
        <v>193</v>
      </c>
      <c r="E335" s="170" t="s">
        <v>3</v>
      </c>
      <c r="F335" s="171" t="s">
        <v>2332</v>
      </c>
      <c r="H335" s="170" t="s">
        <v>3</v>
      </c>
      <c r="I335" s="172"/>
      <c r="L335" s="169"/>
      <c r="M335" s="173"/>
      <c r="N335" s="174"/>
      <c r="O335" s="174"/>
      <c r="P335" s="174"/>
      <c r="Q335" s="174"/>
      <c r="R335" s="174"/>
      <c r="S335" s="174"/>
      <c r="T335" s="175"/>
      <c r="AT335" s="170" t="s">
        <v>193</v>
      </c>
      <c r="AU335" s="170" t="s">
        <v>87</v>
      </c>
      <c r="AV335" s="14" t="s">
        <v>85</v>
      </c>
      <c r="AW335" s="14" t="s">
        <v>36</v>
      </c>
      <c r="AX335" s="14" t="s">
        <v>77</v>
      </c>
      <c r="AY335" s="170" t="s">
        <v>177</v>
      </c>
    </row>
    <row r="336" spans="1:65" s="13" customFormat="1">
      <c r="B336" s="161"/>
      <c r="D336" s="153" t="s">
        <v>193</v>
      </c>
      <c r="E336" s="162" t="s">
        <v>3</v>
      </c>
      <c r="F336" s="163" t="s">
        <v>2551</v>
      </c>
      <c r="H336" s="164">
        <v>2.746</v>
      </c>
      <c r="I336" s="165"/>
      <c r="L336" s="161"/>
      <c r="M336" s="166"/>
      <c r="N336" s="167"/>
      <c r="O336" s="167"/>
      <c r="P336" s="167"/>
      <c r="Q336" s="167"/>
      <c r="R336" s="167"/>
      <c r="S336" s="167"/>
      <c r="T336" s="168"/>
      <c r="AT336" s="162" t="s">
        <v>193</v>
      </c>
      <c r="AU336" s="162" t="s">
        <v>87</v>
      </c>
      <c r="AV336" s="13" t="s">
        <v>87</v>
      </c>
      <c r="AW336" s="13" t="s">
        <v>36</v>
      </c>
      <c r="AX336" s="13" t="s">
        <v>77</v>
      </c>
      <c r="AY336" s="162" t="s">
        <v>177</v>
      </c>
    </row>
    <row r="337" spans="1:65" s="13" customFormat="1">
      <c r="B337" s="161"/>
      <c r="D337" s="153" t="s">
        <v>193</v>
      </c>
      <c r="E337" s="162" t="s">
        <v>3</v>
      </c>
      <c r="F337" s="163" t="s">
        <v>2552</v>
      </c>
      <c r="H337" s="164">
        <v>1.1399999999999999</v>
      </c>
      <c r="I337" s="165"/>
      <c r="L337" s="161"/>
      <c r="M337" s="166"/>
      <c r="N337" s="167"/>
      <c r="O337" s="167"/>
      <c r="P337" s="167"/>
      <c r="Q337" s="167"/>
      <c r="R337" s="167"/>
      <c r="S337" s="167"/>
      <c r="T337" s="168"/>
      <c r="AT337" s="162" t="s">
        <v>193</v>
      </c>
      <c r="AU337" s="162" t="s">
        <v>87</v>
      </c>
      <c r="AV337" s="13" t="s">
        <v>87</v>
      </c>
      <c r="AW337" s="13" t="s">
        <v>36</v>
      </c>
      <c r="AX337" s="13" t="s">
        <v>77</v>
      </c>
      <c r="AY337" s="162" t="s">
        <v>177</v>
      </c>
    </row>
    <row r="338" spans="1:65" s="13" customFormat="1">
      <c r="B338" s="161"/>
      <c r="D338" s="153" t="s">
        <v>193</v>
      </c>
      <c r="E338" s="162" t="s">
        <v>3</v>
      </c>
      <c r="F338" s="163" t="s">
        <v>2553</v>
      </c>
      <c r="H338" s="164">
        <v>3.5</v>
      </c>
      <c r="I338" s="165"/>
      <c r="L338" s="161"/>
      <c r="M338" s="166"/>
      <c r="N338" s="167"/>
      <c r="O338" s="167"/>
      <c r="P338" s="167"/>
      <c r="Q338" s="167"/>
      <c r="R338" s="167"/>
      <c r="S338" s="167"/>
      <c r="T338" s="168"/>
      <c r="AT338" s="162" t="s">
        <v>193</v>
      </c>
      <c r="AU338" s="162" t="s">
        <v>87</v>
      </c>
      <c r="AV338" s="13" t="s">
        <v>87</v>
      </c>
      <c r="AW338" s="13" t="s">
        <v>36</v>
      </c>
      <c r="AX338" s="13" t="s">
        <v>77</v>
      </c>
      <c r="AY338" s="162" t="s">
        <v>177</v>
      </c>
    </row>
    <row r="339" spans="1:65" s="16" customFormat="1">
      <c r="B339" s="184"/>
      <c r="D339" s="153" t="s">
        <v>193</v>
      </c>
      <c r="E339" s="185" t="s">
        <v>3</v>
      </c>
      <c r="F339" s="186" t="s">
        <v>201</v>
      </c>
      <c r="H339" s="187">
        <v>7.3860000000000001</v>
      </c>
      <c r="I339" s="188"/>
      <c r="L339" s="184"/>
      <c r="M339" s="189"/>
      <c r="N339" s="190"/>
      <c r="O339" s="190"/>
      <c r="P339" s="190"/>
      <c r="Q339" s="190"/>
      <c r="R339" s="190"/>
      <c r="S339" s="190"/>
      <c r="T339" s="191"/>
      <c r="AT339" s="185" t="s">
        <v>193</v>
      </c>
      <c r="AU339" s="185" t="s">
        <v>87</v>
      </c>
      <c r="AV339" s="16" t="s">
        <v>185</v>
      </c>
      <c r="AW339" s="16" t="s">
        <v>36</v>
      </c>
      <c r="AX339" s="16" t="s">
        <v>85</v>
      </c>
      <c r="AY339" s="185" t="s">
        <v>177</v>
      </c>
    </row>
    <row r="340" spans="1:65" s="2" customFormat="1" ht="16.5" customHeight="1">
      <c r="A340" s="34"/>
      <c r="B340" s="139"/>
      <c r="C340" s="140" t="s">
        <v>1136</v>
      </c>
      <c r="D340" s="140" t="s">
        <v>180</v>
      </c>
      <c r="E340" s="141" t="s">
        <v>2554</v>
      </c>
      <c r="F340" s="142" t="s">
        <v>2555</v>
      </c>
      <c r="G340" s="143" t="s">
        <v>332</v>
      </c>
      <c r="H340" s="144">
        <v>14.772</v>
      </c>
      <c r="I340" s="145"/>
      <c r="J340" s="146">
        <f>ROUND(I340*H340,2)</f>
        <v>0</v>
      </c>
      <c r="K340" s="142" t="s">
        <v>184</v>
      </c>
      <c r="L340" s="35"/>
      <c r="M340" s="147" t="s">
        <v>3</v>
      </c>
      <c r="N340" s="148" t="s">
        <v>48</v>
      </c>
      <c r="O340" s="55"/>
      <c r="P340" s="149">
        <f>O340*H340</f>
        <v>0</v>
      </c>
      <c r="Q340" s="149">
        <v>7.9000000000000008E-3</v>
      </c>
      <c r="R340" s="149">
        <f>Q340*H340</f>
        <v>0.11669880000000002</v>
      </c>
      <c r="S340" s="149">
        <v>0</v>
      </c>
      <c r="T340" s="150">
        <f>S340*H340</f>
        <v>0</v>
      </c>
      <c r="U340" s="34"/>
      <c r="V340" s="34"/>
      <c r="W340" s="34"/>
      <c r="X340" s="34"/>
      <c r="Y340" s="34"/>
      <c r="Z340" s="34"/>
      <c r="AA340" s="34"/>
      <c r="AB340" s="34"/>
      <c r="AC340" s="34"/>
      <c r="AD340" s="34"/>
      <c r="AE340" s="34"/>
      <c r="AR340" s="151" t="s">
        <v>185</v>
      </c>
      <c r="AT340" s="151" t="s">
        <v>180</v>
      </c>
      <c r="AU340" s="151" t="s">
        <v>87</v>
      </c>
      <c r="AY340" s="19" t="s">
        <v>177</v>
      </c>
      <c r="BE340" s="152">
        <f>IF(N340="základní",J340,0)</f>
        <v>0</v>
      </c>
      <c r="BF340" s="152">
        <f>IF(N340="snížená",J340,0)</f>
        <v>0</v>
      </c>
      <c r="BG340" s="152">
        <f>IF(N340="zákl. přenesená",J340,0)</f>
        <v>0</v>
      </c>
      <c r="BH340" s="152">
        <f>IF(N340="sníž. přenesená",J340,0)</f>
        <v>0</v>
      </c>
      <c r="BI340" s="152">
        <f>IF(N340="nulová",J340,0)</f>
        <v>0</v>
      </c>
      <c r="BJ340" s="19" t="s">
        <v>85</v>
      </c>
      <c r="BK340" s="152">
        <f>ROUND(I340*H340,2)</f>
        <v>0</v>
      </c>
      <c r="BL340" s="19" t="s">
        <v>185</v>
      </c>
      <c r="BM340" s="151" t="s">
        <v>2556</v>
      </c>
    </row>
    <row r="341" spans="1:65" s="2" customFormat="1" ht="19.5">
      <c r="A341" s="34"/>
      <c r="B341" s="35"/>
      <c r="C341" s="34"/>
      <c r="D341" s="153" t="s">
        <v>187</v>
      </c>
      <c r="E341" s="34"/>
      <c r="F341" s="154" t="s">
        <v>2557</v>
      </c>
      <c r="G341" s="34"/>
      <c r="H341" s="34"/>
      <c r="I341" s="155"/>
      <c r="J341" s="34"/>
      <c r="K341" s="34"/>
      <c r="L341" s="35"/>
      <c r="M341" s="156"/>
      <c r="N341" s="157"/>
      <c r="O341" s="55"/>
      <c r="P341" s="55"/>
      <c r="Q341" s="55"/>
      <c r="R341" s="55"/>
      <c r="S341" s="55"/>
      <c r="T341" s="56"/>
      <c r="U341" s="34"/>
      <c r="V341" s="34"/>
      <c r="W341" s="34"/>
      <c r="X341" s="34"/>
      <c r="Y341" s="34"/>
      <c r="Z341" s="34"/>
      <c r="AA341" s="34"/>
      <c r="AB341" s="34"/>
      <c r="AC341" s="34"/>
      <c r="AD341" s="34"/>
      <c r="AE341" s="34"/>
      <c r="AT341" s="19" t="s">
        <v>187</v>
      </c>
      <c r="AU341" s="19" t="s">
        <v>87</v>
      </c>
    </row>
    <row r="342" spans="1:65" s="2" customFormat="1">
      <c r="A342" s="34"/>
      <c r="B342" s="35"/>
      <c r="C342" s="34"/>
      <c r="D342" s="158" t="s">
        <v>189</v>
      </c>
      <c r="E342" s="34"/>
      <c r="F342" s="159" t="s">
        <v>2558</v>
      </c>
      <c r="G342" s="34"/>
      <c r="H342" s="34"/>
      <c r="I342" s="155"/>
      <c r="J342" s="34"/>
      <c r="K342" s="34"/>
      <c r="L342" s="35"/>
      <c r="M342" s="156"/>
      <c r="N342" s="157"/>
      <c r="O342" s="55"/>
      <c r="P342" s="55"/>
      <c r="Q342" s="55"/>
      <c r="R342" s="55"/>
      <c r="S342" s="55"/>
      <c r="T342" s="56"/>
      <c r="U342" s="34"/>
      <c r="V342" s="34"/>
      <c r="W342" s="34"/>
      <c r="X342" s="34"/>
      <c r="Y342" s="34"/>
      <c r="Z342" s="34"/>
      <c r="AA342" s="34"/>
      <c r="AB342" s="34"/>
      <c r="AC342" s="34"/>
      <c r="AD342" s="34"/>
      <c r="AE342" s="34"/>
      <c r="AT342" s="19" t="s">
        <v>189</v>
      </c>
      <c r="AU342" s="19" t="s">
        <v>87</v>
      </c>
    </row>
    <row r="343" spans="1:65" s="2" customFormat="1" ht="39">
      <c r="A343" s="34"/>
      <c r="B343" s="35"/>
      <c r="C343" s="34"/>
      <c r="D343" s="153" t="s">
        <v>191</v>
      </c>
      <c r="E343" s="34"/>
      <c r="F343" s="160" t="s">
        <v>2550</v>
      </c>
      <c r="G343" s="34"/>
      <c r="H343" s="34"/>
      <c r="I343" s="155"/>
      <c r="J343" s="34"/>
      <c r="K343" s="34"/>
      <c r="L343" s="35"/>
      <c r="M343" s="156"/>
      <c r="N343" s="157"/>
      <c r="O343" s="55"/>
      <c r="P343" s="55"/>
      <c r="Q343" s="55"/>
      <c r="R343" s="55"/>
      <c r="S343" s="55"/>
      <c r="T343" s="56"/>
      <c r="U343" s="34"/>
      <c r="V343" s="34"/>
      <c r="W343" s="34"/>
      <c r="X343" s="34"/>
      <c r="Y343" s="34"/>
      <c r="Z343" s="34"/>
      <c r="AA343" s="34"/>
      <c r="AB343" s="34"/>
      <c r="AC343" s="34"/>
      <c r="AD343" s="34"/>
      <c r="AE343" s="34"/>
      <c r="AT343" s="19" t="s">
        <v>191</v>
      </c>
      <c r="AU343" s="19" t="s">
        <v>87</v>
      </c>
    </row>
    <row r="344" spans="1:65" s="13" customFormat="1">
      <c r="B344" s="161"/>
      <c r="D344" s="153" t="s">
        <v>193</v>
      </c>
      <c r="E344" s="162" t="s">
        <v>3</v>
      </c>
      <c r="F344" s="163" t="s">
        <v>2559</v>
      </c>
      <c r="H344" s="164">
        <v>14.772</v>
      </c>
      <c r="I344" s="165"/>
      <c r="L344" s="161"/>
      <c r="M344" s="166"/>
      <c r="N344" s="167"/>
      <c r="O344" s="167"/>
      <c r="P344" s="167"/>
      <c r="Q344" s="167"/>
      <c r="R344" s="167"/>
      <c r="S344" s="167"/>
      <c r="T344" s="168"/>
      <c r="AT344" s="162" t="s">
        <v>193</v>
      </c>
      <c r="AU344" s="162" t="s">
        <v>87</v>
      </c>
      <c r="AV344" s="13" t="s">
        <v>87</v>
      </c>
      <c r="AW344" s="13" t="s">
        <v>36</v>
      </c>
      <c r="AX344" s="13" t="s">
        <v>85</v>
      </c>
      <c r="AY344" s="162" t="s">
        <v>177</v>
      </c>
    </row>
    <row r="345" spans="1:65" s="2" customFormat="1" ht="16.5" customHeight="1">
      <c r="A345" s="34"/>
      <c r="B345" s="139"/>
      <c r="C345" s="140" t="s">
        <v>1142</v>
      </c>
      <c r="D345" s="140" t="s">
        <v>180</v>
      </c>
      <c r="E345" s="141" t="s">
        <v>2560</v>
      </c>
      <c r="F345" s="142" t="s">
        <v>2561</v>
      </c>
      <c r="G345" s="143" t="s">
        <v>332</v>
      </c>
      <c r="H345" s="144">
        <v>54.902999999999999</v>
      </c>
      <c r="I345" s="145"/>
      <c r="J345" s="146">
        <f>ROUND(I345*H345,2)</f>
        <v>0</v>
      </c>
      <c r="K345" s="142" t="s">
        <v>184</v>
      </c>
      <c r="L345" s="35"/>
      <c r="M345" s="147" t="s">
        <v>3</v>
      </c>
      <c r="N345" s="148" t="s">
        <v>48</v>
      </c>
      <c r="O345" s="55"/>
      <c r="P345" s="149">
        <f>O345*H345</f>
        <v>0</v>
      </c>
      <c r="Q345" s="149">
        <v>5.7000000000000002E-3</v>
      </c>
      <c r="R345" s="149">
        <f>Q345*H345</f>
        <v>0.31294709999999998</v>
      </c>
      <c r="S345" s="149">
        <v>0</v>
      </c>
      <c r="T345" s="150">
        <f>S345*H345</f>
        <v>0</v>
      </c>
      <c r="U345" s="34"/>
      <c r="V345" s="34"/>
      <c r="W345" s="34"/>
      <c r="X345" s="34"/>
      <c r="Y345" s="34"/>
      <c r="Z345" s="34"/>
      <c r="AA345" s="34"/>
      <c r="AB345" s="34"/>
      <c r="AC345" s="34"/>
      <c r="AD345" s="34"/>
      <c r="AE345" s="34"/>
      <c r="AR345" s="151" t="s">
        <v>185</v>
      </c>
      <c r="AT345" s="151" t="s">
        <v>180</v>
      </c>
      <c r="AU345" s="151" t="s">
        <v>87</v>
      </c>
      <c r="AY345" s="19" t="s">
        <v>177</v>
      </c>
      <c r="BE345" s="152">
        <f>IF(N345="základní",J345,0)</f>
        <v>0</v>
      </c>
      <c r="BF345" s="152">
        <f>IF(N345="snížená",J345,0)</f>
        <v>0</v>
      </c>
      <c r="BG345" s="152">
        <f>IF(N345="zákl. přenesená",J345,0)</f>
        <v>0</v>
      </c>
      <c r="BH345" s="152">
        <f>IF(N345="sníž. přenesená",J345,0)</f>
        <v>0</v>
      </c>
      <c r="BI345" s="152">
        <f>IF(N345="nulová",J345,0)</f>
        <v>0</v>
      </c>
      <c r="BJ345" s="19" t="s">
        <v>85</v>
      </c>
      <c r="BK345" s="152">
        <f>ROUND(I345*H345,2)</f>
        <v>0</v>
      </c>
      <c r="BL345" s="19" t="s">
        <v>185</v>
      </c>
      <c r="BM345" s="151" t="s">
        <v>2562</v>
      </c>
    </row>
    <row r="346" spans="1:65" s="2" customFormat="1">
      <c r="A346" s="34"/>
      <c r="B346" s="35"/>
      <c r="C346" s="34"/>
      <c r="D346" s="153" t="s">
        <v>187</v>
      </c>
      <c r="E346" s="34"/>
      <c r="F346" s="154" t="s">
        <v>2563</v>
      </c>
      <c r="G346" s="34"/>
      <c r="H346" s="34"/>
      <c r="I346" s="155"/>
      <c r="J346" s="34"/>
      <c r="K346" s="34"/>
      <c r="L346" s="35"/>
      <c r="M346" s="156"/>
      <c r="N346" s="157"/>
      <c r="O346" s="55"/>
      <c r="P346" s="55"/>
      <c r="Q346" s="55"/>
      <c r="R346" s="55"/>
      <c r="S346" s="55"/>
      <c r="T346" s="56"/>
      <c r="U346" s="34"/>
      <c r="V346" s="34"/>
      <c r="W346" s="34"/>
      <c r="X346" s="34"/>
      <c r="Y346" s="34"/>
      <c r="Z346" s="34"/>
      <c r="AA346" s="34"/>
      <c r="AB346" s="34"/>
      <c r="AC346" s="34"/>
      <c r="AD346" s="34"/>
      <c r="AE346" s="34"/>
      <c r="AT346" s="19" t="s">
        <v>187</v>
      </c>
      <c r="AU346" s="19" t="s">
        <v>87</v>
      </c>
    </row>
    <row r="347" spans="1:65" s="2" customFormat="1">
      <c r="A347" s="34"/>
      <c r="B347" s="35"/>
      <c r="C347" s="34"/>
      <c r="D347" s="158" t="s">
        <v>189</v>
      </c>
      <c r="E347" s="34"/>
      <c r="F347" s="159" t="s">
        <v>2564</v>
      </c>
      <c r="G347" s="34"/>
      <c r="H347" s="34"/>
      <c r="I347" s="155"/>
      <c r="J347" s="34"/>
      <c r="K347" s="34"/>
      <c r="L347" s="35"/>
      <c r="M347" s="156"/>
      <c r="N347" s="157"/>
      <c r="O347" s="55"/>
      <c r="P347" s="55"/>
      <c r="Q347" s="55"/>
      <c r="R347" s="55"/>
      <c r="S347" s="55"/>
      <c r="T347" s="56"/>
      <c r="U347" s="34"/>
      <c r="V347" s="34"/>
      <c r="W347" s="34"/>
      <c r="X347" s="34"/>
      <c r="Y347" s="34"/>
      <c r="Z347" s="34"/>
      <c r="AA347" s="34"/>
      <c r="AB347" s="34"/>
      <c r="AC347" s="34"/>
      <c r="AD347" s="34"/>
      <c r="AE347" s="34"/>
      <c r="AT347" s="19" t="s">
        <v>189</v>
      </c>
      <c r="AU347" s="19" t="s">
        <v>87</v>
      </c>
    </row>
    <row r="348" spans="1:65" s="13" customFormat="1">
      <c r="B348" s="161"/>
      <c r="D348" s="153" t="s">
        <v>193</v>
      </c>
      <c r="E348" s="162" t="s">
        <v>3</v>
      </c>
      <c r="F348" s="163" t="s">
        <v>2409</v>
      </c>
      <c r="H348" s="164">
        <v>47.517000000000003</v>
      </c>
      <c r="I348" s="165"/>
      <c r="L348" s="161"/>
      <c r="M348" s="166"/>
      <c r="N348" s="167"/>
      <c r="O348" s="167"/>
      <c r="P348" s="167"/>
      <c r="Q348" s="167"/>
      <c r="R348" s="167"/>
      <c r="S348" s="167"/>
      <c r="T348" s="168"/>
      <c r="AT348" s="162" t="s">
        <v>193</v>
      </c>
      <c r="AU348" s="162" t="s">
        <v>87</v>
      </c>
      <c r="AV348" s="13" t="s">
        <v>87</v>
      </c>
      <c r="AW348" s="13" t="s">
        <v>36</v>
      </c>
      <c r="AX348" s="13" t="s">
        <v>77</v>
      </c>
      <c r="AY348" s="162" t="s">
        <v>177</v>
      </c>
    </row>
    <row r="349" spans="1:65" s="13" customFormat="1">
      <c r="B349" s="161"/>
      <c r="D349" s="153" t="s">
        <v>193</v>
      </c>
      <c r="E349" s="162" t="s">
        <v>3</v>
      </c>
      <c r="F349" s="163" t="s">
        <v>2410</v>
      </c>
      <c r="H349" s="164">
        <v>7.3860000000000001</v>
      </c>
      <c r="I349" s="165"/>
      <c r="L349" s="161"/>
      <c r="M349" s="166"/>
      <c r="N349" s="167"/>
      <c r="O349" s="167"/>
      <c r="P349" s="167"/>
      <c r="Q349" s="167"/>
      <c r="R349" s="167"/>
      <c r="S349" s="167"/>
      <c r="T349" s="168"/>
      <c r="AT349" s="162" t="s">
        <v>193</v>
      </c>
      <c r="AU349" s="162" t="s">
        <v>87</v>
      </c>
      <c r="AV349" s="13" t="s">
        <v>87</v>
      </c>
      <c r="AW349" s="13" t="s">
        <v>36</v>
      </c>
      <c r="AX349" s="13" t="s">
        <v>77</v>
      </c>
      <c r="AY349" s="162" t="s">
        <v>177</v>
      </c>
    </row>
    <row r="350" spans="1:65" s="16" customFormat="1">
      <c r="B350" s="184"/>
      <c r="D350" s="153" t="s">
        <v>193</v>
      </c>
      <c r="E350" s="185" t="s">
        <v>3</v>
      </c>
      <c r="F350" s="186" t="s">
        <v>201</v>
      </c>
      <c r="H350" s="187">
        <v>54.902999999999999</v>
      </c>
      <c r="I350" s="188"/>
      <c r="L350" s="184"/>
      <c r="M350" s="189"/>
      <c r="N350" s="190"/>
      <c r="O350" s="190"/>
      <c r="P350" s="190"/>
      <c r="Q350" s="190"/>
      <c r="R350" s="190"/>
      <c r="S350" s="190"/>
      <c r="T350" s="191"/>
      <c r="AT350" s="185" t="s">
        <v>193</v>
      </c>
      <c r="AU350" s="185" t="s">
        <v>87</v>
      </c>
      <c r="AV350" s="16" t="s">
        <v>185</v>
      </c>
      <c r="AW350" s="16" t="s">
        <v>36</v>
      </c>
      <c r="AX350" s="16" t="s">
        <v>85</v>
      </c>
      <c r="AY350" s="185" t="s">
        <v>177</v>
      </c>
    </row>
    <row r="351" spans="1:65" s="2" customFormat="1" ht="16.5" customHeight="1">
      <c r="A351" s="34"/>
      <c r="B351" s="139"/>
      <c r="C351" s="140" t="s">
        <v>1146</v>
      </c>
      <c r="D351" s="140" t="s">
        <v>180</v>
      </c>
      <c r="E351" s="141" t="s">
        <v>2565</v>
      </c>
      <c r="F351" s="142" t="s">
        <v>2566</v>
      </c>
      <c r="G351" s="143" t="s">
        <v>332</v>
      </c>
      <c r="H351" s="144">
        <v>472.43099999999998</v>
      </c>
      <c r="I351" s="145"/>
      <c r="J351" s="146">
        <f>ROUND(I351*H351,2)</f>
        <v>0</v>
      </c>
      <c r="K351" s="142" t="s">
        <v>184</v>
      </c>
      <c r="L351" s="35"/>
      <c r="M351" s="147" t="s">
        <v>3</v>
      </c>
      <c r="N351" s="148" t="s">
        <v>48</v>
      </c>
      <c r="O351" s="55"/>
      <c r="P351" s="149">
        <f>O351*H351</f>
        <v>0</v>
      </c>
      <c r="Q351" s="149">
        <v>3.3E-3</v>
      </c>
      <c r="R351" s="149">
        <f>Q351*H351</f>
        <v>1.5590222999999999</v>
      </c>
      <c r="S351" s="149">
        <v>0</v>
      </c>
      <c r="T351" s="150">
        <f>S351*H351</f>
        <v>0</v>
      </c>
      <c r="U351" s="34"/>
      <c r="V351" s="34"/>
      <c r="W351" s="34"/>
      <c r="X351" s="34"/>
      <c r="Y351" s="34"/>
      <c r="Z351" s="34"/>
      <c r="AA351" s="34"/>
      <c r="AB351" s="34"/>
      <c r="AC351" s="34"/>
      <c r="AD351" s="34"/>
      <c r="AE351" s="34"/>
      <c r="AR351" s="151" t="s">
        <v>185</v>
      </c>
      <c r="AT351" s="151" t="s">
        <v>180</v>
      </c>
      <c r="AU351" s="151" t="s">
        <v>87</v>
      </c>
      <c r="AY351" s="19" t="s">
        <v>177</v>
      </c>
      <c r="BE351" s="152">
        <f>IF(N351="základní",J351,0)</f>
        <v>0</v>
      </c>
      <c r="BF351" s="152">
        <f>IF(N351="snížená",J351,0)</f>
        <v>0</v>
      </c>
      <c r="BG351" s="152">
        <f>IF(N351="zákl. přenesená",J351,0)</f>
        <v>0</v>
      </c>
      <c r="BH351" s="152">
        <f>IF(N351="sníž. přenesená",J351,0)</f>
        <v>0</v>
      </c>
      <c r="BI351" s="152">
        <f>IF(N351="nulová",J351,0)</f>
        <v>0</v>
      </c>
      <c r="BJ351" s="19" t="s">
        <v>85</v>
      </c>
      <c r="BK351" s="152">
        <f>ROUND(I351*H351,2)</f>
        <v>0</v>
      </c>
      <c r="BL351" s="19" t="s">
        <v>185</v>
      </c>
      <c r="BM351" s="151" t="s">
        <v>2567</v>
      </c>
    </row>
    <row r="352" spans="1:65" s="2" customFormat="1">
      <c r="A352" s="34"/>
      <c r="B352" s="35"/>
      <c r="C352" s="34"/>
      <c r="D352" s="153" t="s">
        <v>187</v>
      </c>
      <c r="E352" s="34"/>
      <c r="F352" s="154" t="s">
        <v>2568</v>
      </c>
      <c r="G352" s="34"/>
      <c r="H352" s="34"/>
      <c r="I352" s="155"/>
      <c r="J352" s="34"/>
      <c r="K352" s="34"/>
      <c r="L352" s="35"/>
      <c r="M352" s="156"/>
      <c r="N352" s="157"/>
      <c r="O352" s="55"/>
      <c r="P352" s="55"/>
      <c r="Q352" s="55"/>
      <c r="R352" s="55"/>
      <c r="S352" s="55"/>
      <c r="T352" s="56"/>
      <c r="U352" s="34"/>
      <c r="V352" s="34"/>
      <c r="W352" s="34"/>
      <c r="X352" s="34"/>
      <c r="Y352" s="34"/>
      <c r="Z352" s="34"/>
      <c r="AA352" s="34"/>
      <c r="AB352" s="34"/>
      <c r="AC352" s="34"/>
      <c r="AD352" s="34"/>
      <c r="AE352" s="34"/>
      <c r="AT352" s="19" t="s">
        <v>187</v>
      </c>
      <c r="AU352" s="19" t="s">
        <v>87</v>
      </c>
    </row>
    <row r="353" spans="1:65" s="2" customFormat="1">
      <c r="A353" s="34"/>
      <c r="B353" s="35"/>
      <c r="C353" s="34"/>
      <c r="D353" s="158" t="s">
        <v>189</v>
      </c>
      <c r="E353" s="34"/>
      <c r="F353" s="159" t="s">
        <v>2569</v>
      </c>
      <c r="G353" s="34"/>
      <c r="H353" s="34"/>
      <c r="I353" s="155"/>
      <c r="J353" s="34"/>
      <c r="K353" s="34"/>
      <c r="L353" s="35"/>
      <c r="M353" s="156"/>
      <c r="N353" s="157"/>
      <c r="O353" s="55"/>
      <c r="P353" s="55"/>
      <c r="Q353" s="55"/>
      <c r="R353" s="55"/>
      <c r="S353" s="55"/>
      <c r="T353" s="56"/>
      <c r="U353" s="34"/>
      <c r="V353" s="34"/>
      <c r="W353" s="34"/>
      <c r="X353" s="34"/>
      <c r="Y353" s="34"/>
      <c r="Z353" s="34"/>
      <c r="AA353" s="34"/>
      <c r="AB353" s="34"/>
      <c r="AC353" s="34"/>
      <c r="AD353" s="34"/>
      <c r="AE353" s="34"/>
      <c r="AT353" s="19" t="s">
        <v>189</v>
      </c>
      <c r="AU353" s="19" t="s">
        <v>87</v>
      </c>
    </row>
    <row r="354" spans="1:65" s="2" customFormat="1" ht="16.5" customHeight="1">
      <c r="A354" s="34"/>
      <c r="B354" s="139"/>
      <c r="C354" s="140" t="s">
        <v>1150</v>
      </c>
      <c r="D354" s="140" t="s">
        <v>180</v>
      </c>
      <c r="E354" s="141" t="s">
        <v>2570</v>
      </c>
      <c r="F354" s="142" t="s">
        <v>2571</v>
      </c>
      <c r="G354" s="143" t="s">
        <v>332</v>
      </c>
      <c r="H354" s="144">
        <v>15.1</v>
      </c>
      <c r="I354" s="145"/>
      <c r="J354" s="146">
        <f>ROUND(I354*H354,2)</f>
        <v>0</v>
      </c>
      <c r="K354" s="142" t="s">
        <v>184</v>
      </c>
      <c r="L354" s="35"/>
      <c r="M354" s="147" t="s">
        <v>3</v>
      </c>
      <c r="N354" s="148" t="s">
        <v>48</v>
      </c>
      <c r="O354" s="55"/>
      <c r="P354" s="149">
        <f>O354*H354</f>
        <v>0</v>
      </c>
      <c r="Q354" s="149">
        <v>0.11169999999999999</v>
      </c>
      <c r="R354" s="149">
        <f>Q354*H354</f>
        <v>1.6866699999999999</v>
      </c>
      <c r="S354" s="149">
        <v>0</v>
      </c>
      <c r="T354" s="150">
        <f>S354*H354</f>
        <v>0</v>
      </c>
      <c r="U354" s="34"/>
      <c r="V354" s="34"/>
      <c r="W354" s="34"/>
      <c r="X354" s="34"/>
      <c r="Y354" s="34"/>
      <c r="Z354" s="34"/>
      <c r="AA354" s="34"/>
      <c r="AB354" s="34"/>
      <c r="AC354" s="34"/>
      <c r="AD354" s="34"/>
      <c r="AE354" s="34"/>
      <c r="AR354" s="151" t="s">
        <v>185</v>
      </c>
      <c r="AT354" s="151" t="s">
        <v>180</v>
      </c>
      <c r="AU354" s="151" t="s">
        <v>87</v>
      </c>
      <c r="AY354" s="19" t="s">
        <v>177</v>
      </c>
      <c r="BE354" s="152">
        <f>IF(N354="základní",J354,0)</f>
        <v>0</v>
      </c>
      <c r="BF354" s="152">
        <f>IF(N354="snížená",J354,0)</f>
        <v>0</v>
      </c>
      <c r="BG354" s="152">
        <f>IF(N354="zákl. přenesená",J354,0)</f>
        <v>0</v>
      </c>
      <c r="BH354" s="152">
        <f>IF(N354="sníž. přenesená",J354,0)</f>
        <v>0</v>
      </c>
      <c r="BI354" s="152">
        <f>IF(N354="nulová",J354,0)</f>
        <v>0</v>
      </c>
      <c r="BJ354" s="19" t="s">
        <v>85</v>
      </c>
      <c r="BK354" s="152">
        <f>ROUND(I354*H354,2)</f>
        <v>0</v>
      </c>
      <c r="BL354" s="19" t="s">
        <v>185</v>
      </c>
      <c r="BM354" s="151" t="s">
        <v>2572</v>
      </c>
    </row>
    <row r="355" spans="1:65" s="2" customFormat="1">
      <c r="A355" s="34"/>
      <c r="B355" s="35"/>
      <c r="C355" s="34"/>
      <c r="D355" s="153" t="s">
        <v>187</v>
      </c>
      <c r="E355" s="34"/>
      <c r="F355" s="154" t="s">
        <v>2573</v>
      </c>
      <c r="G355" s="34"/>
      <c r="H355" s="34"/>
      <c r="I355" s="155"/>
      <c r="J355" s="34"/>
      <c r="K355" s="34"/>
      <c r="L355" s="35"/>
      <c r="M355" s="156"/>
      <c r="N355" s="157"/>
      <c r="O355" s="55"/>
      <c r="P355" s="55"/>
      <c r="Q355" s="55"/>
      <c r="R355" s="55"/>
      <c r="S355" s="55"/>
      <c r="T355" s="56"/>
      <c r="U355" s="34"/>
      <c r="V355" s="34"/>
      <c r="W355" s="34"/>
      <c r="X355" s="34"/>
      <c r="Y355" s="34"/>
      <c r="Z355" s="34"/>
      <c r="AA355" s="34"/>
      <c r="AB355" s="34"/>
      <c r="AC355" s="34"/>
      <c r="AD355" s="34"/>
      <c r="AE355" s="34"/>
      <c r="AT355" s="19" t="s">
        <v>187</v>
      </c>
      <c r="AU355" s="19" t="s">
        <v>87</v>
      </c>
    </row>
    <row r="356" spans="1:65" s="2" customFormat="1">
      <c r="A356" s="34"/>
      <c r="B356" s="35"/>
      <c r="C356" s="34"/>
      <c r="D356" s="158" t="s">
        <v>189</v>
      </c>
      <c r="E356" s="34"/>
      <c r="F356" s="159" t="s">
        <v>2574</v>
      </c>
      <c r="G356" s="34"/>
      <c r="H356" s="34"/>
      <c r="I356" s="155"/>
      <c r="J356" s="34"/>
      <c r="K356" s="34"/>
      <c r="L356" s="35"/>
      <c r="M356" s="156"/>
      <c r="N356" s="157"/>
      <c r="O356" s="55"/>
      <c r="P356" s="55"/>
      <c r="Q356" s="55"/>
      <c r="R356" s="55"/>
      <c r="S356" s="55"/>
      <c r="T356" s="56"/>
      <c r="U356" s="34"/>
      <c r="V356" s="34"/>
      <c r="W356" s="34"/>
      <c r="X356" s="34"/>
      <c r="Y356" s="34"/>
      <c r="Z356" s="34"/>
      <c r="AA356" s="34"/>
      <c r="AB356" s="34"/>
      <c r="AC356" s="34"/>
      <c r="AD356" s="34"/>
      <c r="AE356" s="34"/>
      <c r="AT356" s="19" t="s">
        <v>189</v>
      </c>
      <c r="AU356" s="19" t="s">
        <v>87</v>
      </c>
    </row>
    <row r="357" spans="1:65" s="2" customFormat="1" ht="68.25">
      <c r="A357" s="34"/>
      <c r="B357" s="35"/>
      <c r="C357" s="34"/>
      <c r="D357" s="153" t="s">
        <v>191</v>
      </c>
      <c r="E357" s="34"/>
      <c r="F357" s="160" t="s">
        <v>2575</v>
      </c>
      <c r="G357" s="34"/>
      <c r="H357" s="34"/>
      <c r="I357" s="155"/>
      <c r="J357" s="34"/>
      <c r="K357" s="34"/>
      <c r="L357" s="35"/>
      <c r="M357" s="156"/>
      <c r="N357" s="157"/>
      <c r="O357" s="55"/>
      <c r="P357" s="55"/>
      <c r="Q357" s="55"/>
      <c r="R357" s="55"/>
      <c r="S357" s="55"/>
      <c r="T357" s="56"/>
      <c r="U357" s="34"/>
      <c r="V357" s="34"/>
      <c r="W357" s="34"/>
      <c r="X357" s="34"/>
      <c r="Y357" s="34"/>
      <c r="Z357" s="34"/>
      <c r="AA357" s="34"/>
      <c r="AB357" s="34"/>
      <c r="AC357" s="34"/>
      <c r="AD357" s="34"/>
      <c r="AE357" s="34"/>
      <c r="AT357" s="19" t="s">
        <v>191</v>
      </c>
      <c r="AU357" s="19" t="s">
        <v>87</v>
      </c>
    </row>
    <row r="358" spans="1:65" s="14" customFormat="1">
      <c r="B358" s="169"/>
      <c r="D358" s="153" t="s">
        <v>193</v>
      </c>
      <c r="E358" s="170" t="s">
        <v>3</v>
      </c>
      <c r="F358" s="171" t="s">
        <v>2576</v>
      </c>
      <c r="H358" s="170" t="s">
        <v>3</v>
      </c>
      <c r="I358" s="172"/>
      <c r="L358" s="169"/>
      <c r="M358" s="173"/>
      <c r="N358" s="174"/>
      <c r="O358" s="174"/>
      <c r="P358" s="174"/>
      <c r="Q358" s="174"/>
      <c r="R358" s="174"/>
      <c r="S358" s="174"/>
      <c r="T358" s="175"/>
      <c r="AT358" s="170" t="s">
        <v>193</v>
      </c>
      <c r="AU358" s="170" t="s">
        <v>87</v>
      </c>
      <c r="AV358" s="14" t="s">
        <v>85</v>
      </c>
      <c r="AW358" s="14" t="s">
        <v>36</v>
      </c>
      <c r="AX358" s="14" t="s">
        <v>77</v>
      </c>
      <c r="AY358" s="170" t="s">
        <v>177</v>
      </c>
    </row>
    <row r="359" spans="1:65" s="13" customFormat="1">
      <c r="B359" s="161"/>
      <c r="D359" s="153" t="s">
        <v>193</v>
      </c>
      <c r="E359" s="162" t="s">
        <v>3</v>
      </c>
      <c r="F359" s="163" t="s">
        <v>2577</v>
      </c>
      <c r="H359" s="164">
        <v>15.1</v>
      </c>
      <c r="I359" s="165"/>
      <c r="L359" s="161"/>
      <c r="M359" s="166"/>
      <c r="N359" s="167"/>
      <c r="O359" s="167"/>
      <c r="P359" s="167"/>
      <c r="Q359" s="167"/>
      <c r="R359" s="167"/>
      <c r="S359" s="167"/>
      <c r="T359" s="168"/>
      <c r="AT359" s="162" t="s">
        <v>193</v>
      </c>
      <c r="AU359" s="162" t="s">
        <v>87</v>
      </c>
      <c r="AV359" s="13" t="s">
        <v>87</v>
      </c>
      <c r="AW359" s="13" t="s">
        <v>36</v>
      </c>
      <c r="AX359" s="13" t="s">
        <v>85</v>
      </c>
      <c r="AY359" s="162" t="s">
        <v>177</v>
      </c>
    </row>
    <row r="360" spans="1:65" s="2" customFormat="1" ht="16.5" customHeight="1">
      <c r="A360" s="34"/>
      <c r="B360" s="139"/>
      <c r="C360" s="140" t="s">
        <v>1158</v>
      </c>
      <c r="D360" s="140" t="s">
        <v>180</v>
      </c>
      <c r="E360" s="141" t="s">
        <v>2578</v>
      </c>
      <c r="F360" s="142" t="s">
        <v>2579</v>
      </c>
      <c r="G360" s="143" t="s">
        <v>332</v>
      </c>
      <c r="H360" s="144">
        <v>15.1</v>
      </c>
      <c r="I360" s="145"/>
      <c r="J360" s="146">
        <f>ROUND(I360*H360,2)</f>
        <v>0</v>
      </c>
      <c r="K360" s="142" t="s">
        <v>184</v>
      </c>
      <c r="L360" s="35"/>
      <c r="M360" s="147" t="s">
        <v>3</v>
      </c>
      <c r="N360" s="148" t="s">
        <v>48</v>
      </c>
      <c r="O360" s="55"/>
      <c r="P360" s="149">
        <f>O360*H360</f>
        <v>0</v>
      </c>
      <c r="Q360" s="149">
        <v>1E-3</v>
      </c>
      <c r="R360" s="149">
        <f>Q360*H360</f>
        <v>1.5100000000000001E-2</v>
      </c>
      <c r="S360" s="149">
        <v>0</v>
      </c>
      <c r="T360" s="150">
        <f>S360*H360</f>
        <v>0</v>
      </c>
      <c r="U360" s="34"/>
      <c r="V360" s="34"/>
      <c r="W360" s="34"/>
      <c r="X360" s="34"/>
      <c r="Y360" s="34"/>
      <c r="Z360" s="34"/>
      <c r="AA360" s="34"/>
      <c r="AB360" s="34"/>
      <c r="AC360" s="34"/>
      <c r="AD360" s="34"/>
      <c r="AE360" s="34"/>
      <c r="AR360" s="151" t="s">
        <v>185</v>
      </c>
      <c r="AT360" s="151" t="s">
        <v>180</v>
      </c>
      <c r="AU360" s="151" t="s">
        <v>87</v>
      </c>
      <c r="AY360" s="19" t="s">
        <v>177</v>
      </c>
      <c r="BE360" s="152">
        <f>IF(N360="základní",J360,0)</f>
        <v>0</v>
      </c>
      <c r="BF360" s="152">
        <f>IF(N360="snížená",J360,0)</f>
        <v>0</v>
      </c>
      <c r="BG360" s="152">
        <f>IF(N360="zákl. přenesená",J360,0)</f>
        <v>0</v>
      </c>
      <c r="BH360" s="152">
        <f>IF(N360="sníž. přenesená",J360,0)</f>
        <v>0</v>
      </c>
      <c r="BI360" s="152">
        <f>IF(N360="nulová",J360,0)</f>
        <v>0</v>
      </c>
      <c r="BJ360" s="19" t="s">
        <v>85</v>
      </c>
      <c r="BK360" s="152">
        <f>ROUND(I360*H360,2)</f>
        <v>0</v>
      </c>
      <c r="BL360" s="19" t="s">
        <v>185</v>
      </c>
      <c r="BM360" s="151" t="s">
        <v>2580</v>
      </c>
    </row>
    <row r="361" spans="1:65" s="2" customFormat="1">
      <c r="A361" s="34"/>
      <c r="B361" s="35"/>
      <c r="C361" s="34"/>
      <c r="D361" s="153" t="s">
        <v>187</v>
      </c>
      <c r="E361" s="34"/>
      <c r="F361" s="154" t="s">
        <v>2581</v>
      </c>
      <c r="G361" s="34"/>
      <c r="H361" s="34"/>
      <c r="I361" s="155"/>
      <c r="J361" s="34"/>
      <c r="K361" s="34"/>
      <c r="L361" s="35"/>
      <c r="M361" s="156"/>
      <c r="N361" s="157"/>
      <c r="O361" s="55"/>
      <c r="P361" s="55"/>
      <c r="Q361" s="55"/>
      <c r="R361" s="55"/>
      <c r="S361" s="55"/>
      <c r="T361" s="56"/>
      <c r="U361" s="34"/>
      <c r="V361" s="34"/>
      <c r="W361" s="34"/>
      <c r="X361" s="34"/>
      <c r="Y361" s="34"/>
      <c r="Z361" s="34"/>
      <c r="AA361" s="34"/>
      <c r="AB361" s="34"/>
      <c r="AC361" s="34"/>
      <c r="AD361" s="34"/>
      <c r="AE361" s="34"/>
      <c r="AT361" s="19" t="s">
        <v>187</v>
      </c>
      <c r="AU361" s="19" t="s">
        <v>87</v>
      </c>
    </row>
    <row r="362" spans="1:65" s="2" customFormat="1">
      <c r="A362" s="34"/>
      <c r="B362" s="35"/>
      <c r="C362" s="34"/>
      <c r="D362" s="158" t="s">
        <v>189</v>
      </c>
      <c r="E362" s="34"/>
      <c r="F362" s="159" t="s">
        <v>2582</v>
      </c>
      <c r="G362" s="34"/>
      <c r="H362" s="34"/>
      <c r="I362" s="155"/>
      <c r="J362" s="34"/>
      <c r="K362" s="34"/>
      <c r="L362" s="35"/>
      <c r="M362" s="156"/>
      <c r="N362" s="157"/>
      <c r="O362" s="55"/>
      <c r="P362" s="55"/>
      <c r="Q362" s="55"/>
      <c r="R362" s="55"/>
      <c r="S362" s="55"/>
      <c r="T362" s="56"/>
      <c r="U362" s="34"/>
      <c r="V362" s="34"/>
      <c r="W362" s="34"/>
      <c r="X362" s="34"/>
      <c r="Y362" s="34"/>
      <c r="Z362" s="34"/>
      <c r="AA362" s="34"/>
      <c r="AB362" s="34"/>
      <c r="AC362" s="34"/>
      <c r="AD362" s="34"/>
      <c r="AE362" s="34"/>
      <c r="AT362" s="19" t="s">
        <v>189</v>
      </c>
      <c r="AU362" s="19" t="s">
        <v>87</v>
      </c>
    </row>
    <row r="363" spans="1:65" s="2" customFormat="1" ht="68.25">
      <c r="A363" s="34"/>
      <c r="B363" s="35"/>
      <c r="C363" s="34"/>
      <c r="D363" s="153" t="s">
        <v>191</v>
      </c>
      <c r="E363" s="34"/>
      <c r="F363" s="160" t="s">
        <v>2575</v>
      </c>
      <c r="G363" s="34"/>
      <c r="H363" s="34"/>
      <c r="I363" s="155"/>
      <c r="J363" s="34"/>
      <c r="K363" s="34"/>
      <c r="L363" s="35"/>
      <c r="M363" s="156"/>
      <c r="N363" s="157"/>
      <c r="O363" s="55"/>
      <c r="P363" s="55"/>
      <c r="Q363" s="55"/>
      <c r="R363" s="55"/>
      <c r="S363" s="55"/>
      <c r="T363" s="56"/>
      <c r="U363" s="34"/>
      <c r="V363" s="34"/>
      <c r="W363" s="34"/>
      <c r="X363" s="34"/>
      <c r="Y363" s="34"/>
      <c r="Z363" s="34"/>
      <c r="AA363" s="34"/>
      <c r="AB363" s="34"/>
      <c r="AC363" s="34"/>
      <c r="AD363" s="34"/>
      <c r="AE363" s="34"/>
      <c r="AT363" s="19" t="s">
        <v>191</v>
      </c>
      <c r="AU363" s="19" t="s">
        <v>87</v>
      </c>
    </row>
    <row r="364" spans="1:65" s="2" customFormat="1" ht="16.5" customHeight="1">
      <c r="A364" s="34"/>
      <c r="B364" s="139"/>
      <c r="C364" s="140" t="s">
        <v>1166</v>
      </c>
      <c r="D364" s="140" t="s">
        <v>180</v>
      </c>
      <c r="E364" s="141" t="s">
        <v>2583</v>
      </c>
      <c r="F364" s="142" t="s">
        <v>2584</v>
      </c>
      <c r="G364" s="143" t="s">
        <v>808</v>
      </c>
      <c r="H364" s="144">
        <v>2.016</v>
      </c>
      <c r="I364" s="145"/>
      <c r="J364" s="146">
        <f>ROUND(I364*H364,2)</f>
        <v>0</v>
      </c>
      <c r="K364" s="142" t="s">
        <v>184</v>
      </c>
      <c r="L364" s="35"/>
      <c r="M364" s="147" t="s">
        <v>3</v>
      </c>
      <c r="N364" s="148" t="s">
        <v>48</v>
      </c>
      <c r="O364" s="55"/>
      <c r="P364" s="149">
        <f>O364*H364</f>
        <v>0</v>
      </c>
      <c r="Q364" s="149">
        <v>1.837</v>
      </c>
      <c r="R364" s="149">
        <f>Q364*H364</f>
        <v>3.703392</v>
      </c>
      <c r="S364" s="149">
        <v>0</v>
      </c>
      <c r="T364" s="150">
        <f>S364*H364</f>
        <v>0</v>
      </c>
      <c r="U364" s="34"/>
      <c r="V364" s="34"/>
      <c r="W364" s="34"/>
      <c r="X364" s="34"/>
      <c r="Y364" s="34"/>
      <c r="Z364" s="34"/>
      <c r="AA364" s="34"/>
      <c r="AB364" s="34"/>
      <c r="AC364" s="34"/>
      <c r="AD364" s="34"/>
      <c r="AE364" s="34"/>
      <c r="AR364" s="151" t="s">
        <v>185</v>
      </c>
      <c r="AT364" s="151" t="s">
        <v>180</v>
      </c>
      <c r="AU364" s="151" t="s">
        <v>87</v>
      </c>
      <c r="AY364" s="19" t="s">
        <v>177</v>
      </c>
      <c r="BE364" s="152">
        <f>IF(N364="základní",J364,0)</f>
        <v>0</v>
      </c>
      <c r="BF364" s="152">
        <f>IF(N364="snížená",J364,0)</f>
        <v>0</v>
      </c>
      <c r="BG364" s="152">
        <f>IF(N364="zákl. přenesená",J364,0)</f>
        <v>0</v>
      </c>
      <c r="BH364" s="152">
        <f>IF(N364="sníž. přenesená",J364,0)</f>
        <v>0</v>
      </c>
      <c r="BI364" s="152">
        <f>IF(N364="nulová",J364,0)</f>
        <v>0</v>
      </c>
      <c r="BJ364" s="19" t="s">
        <v>85</v>
      </c>
      <c r="BK364" s="152">
        <f>ROUND(I364*H364,2)</f>
        <v>0</v>
      </c>
      <c r="BL364" s="19" t="s">
        <v>185</v>
      </c>
      <c r="BM364" s="151" t="s">
        <v>2585</v>
      </c>
    </row>
    <row r="365" spans="1:65" s="2" customFormat="1">
      <c r="A365" s="34"/>
      <c r="B365" s="35"/>
      <c r="C365" s="34"/>
      <c r="D365" s="153" t="s">
        <v>187</v>
      </c>
      <c r="E365" s="34"/>
      <c r="F365" s="154" t="s">
        <v>2586</v>
      </c>
      <c r="G365" s="34"/>
      <c r="H365" s="34"/>
      <c r="I365" s="155"/>
      <c r="J365" s="34"/>
      <c r="K365" s="34"/>
      <c r="L365" s="35"/>
      <c r="M365" s="156"/>
      <c r="N365" s="157"/>
      <c r="O365" s="55"/>
      <c r="P365" s="55"/>
      <c r="Q365" s="55"/>
      <c r="R365" s="55"/>
      <c r="S365" s="55"/>
      <c r="T365" s="56"/>
      <c r="U365" s="34"/>
      <c r="V365" s="34"/>
      <c r="W365" s="34"/>
      <c r="X365" s="34"/>
      <c r="Y365" s="34"/>
      <c r="Z365" s="34"/>
      <c r="AA365" s="34"/>
      <c r="AB365" s="34"/>
      <c r="AC365" s="34"/>
      <c r="AD365" s="34"/>
      <c r="AE365" s="34"/>
      <c r="AT365" s="19" t="s">
        <v>187</v>
      </c>
      <c r="AU365" s="19" t="s">
        <v>87</v>
      </c>
    </row>
    <row r="366" spans="1:65" s="2" customFormat="1">
      <c r="A366" s="34"/>
      <c r="B366" s="35"/>
      <c r="C366" s="34"/>
      <c r="D366" s="158" t="s">
        <v>189</v>
      </c>
      <c r="E366" s="34"/>
      <c r="F366" s="159" t="s">
        <v>2587</v>
      </c>
      <c r="G366" s="34"/>
      <c r="H366" s="34"/>
      <c r="I366" s="155"/>
      <c r="J366" s="34"/>
      <c r="K366" s="34"/>
      <c r="L366" s="35"/>
      <c r="M366" s="156"/>
      <c r="N366" s="157"/>
      <c r="O366" s="55"/>
      <c r="P366" s="55"/>
      <c r="Q366" s="55"/>
      <c r="R366" s="55"/>
      <c r="S366" s="55"/>
      <c r="T366" s="56"/>
      <c r="U366" s="34"/>
      <c r="V366" s="34"/>
      <c r="W366" s="34"/>
      <c r="X366" s="34"/>
      <c r="Y366" s="34"/>
      <c r="Z366" s="34"/>
      <c r="AA366" s="34"/>
      <c r="AB366" s="34"/>
      <c r="AC366" s="34"/>
      <c r="AD366" s="34"/>
      <c r="AE366" s="34"/>
      <c r="AT366" s="19" t="s">
        <v>189</v>
      </c>
      <c r="AU366" s="19" t="s">
        <v>87</v>
      </c>
    </row>
    <row r="367" spans="1:65" s="2" customFormat="1" ht="29.25">
      <c r="A367" s="34"/>
      <c r="B367" s="35"/>
      <c r="C367" s="34"/>
      <c r="D367" s="153" t="s">
        <v>191</v>
      </c>
      <c r="E367" s="34"/>
      <c r="F367" s="160" t="s">
        <v>2588</v>
      </c>
      <c r="G367" s="34"/>
      <c r="H367" s="34"/>
      <c r="I367" s="155"/>
      <c r="J367" s="34"/>
      <c r="K367" s="34"/>
      <c r="L367" s="35"/>
      <c r="M367" s="156"/>
      <c r="N367" s="157"/>
      <c r="O367" s="55"/>
      <c r="P367" s="55"/>
      <c r="Q367" s="55"/>
      <c r="R367" s="55"/>
      <c r="S367" s="55"/>
      <c r="T367" s="56"/>
      <c r="U367" s="34"/>
      <c r="V367" s="34"/>
      <c r="W367" s="34"/>
      <c r="X367" s="34"/>
      <c r="Y367" s="34"/>
      <c r="Z367" s="34"/>
      <c r="AA367" s="34"/>
      <c r="AB367" s="34"/>
      <c r="AC367" s="34"/>
      <c r="AD367" s="34"/>
      <c r="AE367" s="34"/>
      <c r="AT367" s="19" t="s">
        <v>191</v>
      </c>
      <c r="AU367" s="19" t="s">
        <v>87</v>
      </c>
    </row>
    <row r="368" spans="1:65" s="14" customFormat="1">
      <c r="B368" s="169"/>
      <c r="D368" s="153" t="s">
        <v>193</v>
      </c>
      <c r="E368" s="170" t="s">
        <v>3</v>
      </c>
      <c r="F368" s="171" t="s">
        <v>2332</v>
      </c>
      <c r="H368" s="170" t="s">
        <v>3</v>
      </c>
      <c r="I368" s="172"/>
      <c r="L368" s="169"/>
      <c r="M368" s="173"/>
      <c r="N368" s="174"/>
      <c r="O368" s="174"/>
      <c r="P368" s="174"/>
      <c r="Q368" s="174"/>
      <c r="R368" s="174"/>
      <c r="S368" s="174"/>
      <c r="T368" s="175"/>
      <c r="AT368" s="170" t="s">
        <v>193</v>
      </c>
      <c r="AU368" s="170" t="s">
        <v>87</v>
      </c>
      <c r="AV368" s="14" t="s">
        <v>85</v>
      </c>
      <c r="AW368" s="14" t="s">
        <v>36</v>
      </c>
      <c r="AX368" s="14" t="s">
        <v>77</v>
      </c>
      <c r="AY368" s="170" t="s">
        <v>177</v>
      </c>
    </row>
    <row r="369" spans="1:65" s="13" customFormat="1">
      <c r="B369" s="161"/>
      <c r="D369" s="153" t="s">
        <v>193</v>
      </c>
      <c r="E369" s="162" t="s">
        <v>3</v>
      </c>
      <c r="F369" s="163" t="s">
        <v>2589</v>
      </c>
      <c r="H369" s="164">
        <v>2.016</v>
      </c>
      <c r="I369" s="165"/>
      <c r="L369" s="161"/>
      <c r="M369" s="166"/>
      <c r="N369" s="167"/>
      <c r="O369" s="167"/>
      <c r="P369" s="167"/>
      <c r="Q369" s="167"/>
      <c r="R369" s="167"/>
      <c r="S369" s="167"/>
      <c r="T369" s="168"/>
      <c r="AT369" s="162" t="s">
        <v>193</v>
      </c>
      <c r="AU369" s="162" t="s">
        <v>87</v>
      </c>
      <c r="AV369" s="13" t="s">
        <v>87</v>
      </c>
      <c r="AW369" s="13" t="s">
        <v>36</v>
      </c>
      <c r="AX369" s="13" t="s">
        <v>85</v>
      </c>
      <c r="AY369" s="162" t="s">
        <v>177</v>
      </c>
    </row>
    <row r="370" spans="1:65" s="2" customFormat="1" ht="16.5" customHeight="1">
      <c r="A370" s="34"/>
      <c r="B370" s="139"/>
      <c r="C370" s="140" t="s">
        <v>1169</v>
      </c>
      <c r="D370" s="140" t="s">
        <v>180</v>
      </c>
      <c r="E370" s="141" t="s">
        <v>2590</v>
      </c>
      <c r="F370" s="142" t="s">
        <v>2591</v>
      </c>
      <c r="G370" s="143" t="s">
        <v>476</v>
      </c>
      <c r="H370" s="144">
        <v>7.95</v>
      </c>
      <c r="I370" s="145"/>
      <c r="J370" s="146">
        <f>ROUND(I370*H370,2)</f>
        <v>0</v>
      </c>
      <c r="K370" s="142" t="s">
        <v>3</v>
      </c>
      <c r="L370" s="35"/>
      <c r="M370" s="147" t="s">
        <v>3</v>
      </c>
      <c r="N370" s="148" t="s">
        <v>48</v>
      </c>
      <c r="O370" s="55"/>
      <c r="P370" s="149">
        <f>O370*H370</f>
        <v>0</v>
      </c>
      <c r="Q370" s="149">
        <v>0</v>
      </c>
      <c r="R370" s="149">
        <f>Q370*H370</f>
        <v>0</v>
      </c>
      <c r="S370" s="149">
        <v>0</v>
      </c>
      <c r="T370" s="150">
        <f>S370*H370</f>
        <v>0</v>
      </c>
      <c r="U370" s="34"/>
      <c r="V370" s="34"/>
      <c r="W370" s="34"/>
      <c r="X370" s="34"/>
      <c r="Y370" s="34"/>
      <c r="Z370" s="34"/>
      <c r="AA370" s="34"/>
      <c r="AB370" s="34"/>
      <c r="AC370" s="34"/>
      <c r="AD370" s="34"/>
      <c r="AE370" s="34"/>
      <c r="AR370" s="151" t="s">
        <v>185</v>
      </c>
      <c r="AT370" s="151" t="s">
        <v>180</v>
      </c>
      <c r="AU370" s="151" t="s">
        <v>87</v>
      </c>
      <c r="AY370" s="19" t="s">
        <v>177</v>
      </c>
      <c r="BE370" s="152">
        <f>IF(N370="základní",J370,0)</f>
        <v>0</v>
      </c>
      <c r="BF370" s="152">
        <f>IF(N370="snížená",J370,0)</f>
        <v>0</v>
      </c>
      <c r="BG370" s="152">
        <f>IF(N370="zákl. přenesená",J370,0)</f>
        <v>0</v>
      </c>
      <c r="BH370" s="152">
        <f>IF(N370="sníž. přenesená",J370,0)</f>
        <v>0</v>
      </c>
      <c r="BI370" s="152">
        <f>IF(N370="nulová",J370,0)</f>
        <v>0</v>
      </c>
      <c r="BJ370" s="19" t="s">
        <v>85</v>
      </c>
      <c r="BK370" s="152">
        <f>ROUND(I370*H370,2)</f>
        <v>0</v>
      </c>
      <c r="BL370" s="19" t="s">
        <v>185</v>
      </c>
      <c r="BM370" s="151" t="s">
        <v>2592</v>
      </c>
    </row>
    <row r="371" spans="1:65" s="2" customFormat="1">
      <c r="A371" s="34"/>
      <c r="B371" s="35"/>
      <c r="C371" s="34"/>
      <c r="D371" s="153" t="s">
        <v>187</v>
      </c>
      <c r="E371" s="34"/>
      <c r="F371" s="154" t="s">
        <v>2591</v>
      </c>
      <c r="G371" s="34"/>
      <c r="H371" s="34"/>
      <c r="I371" s="155"/>
      <c r="J371" s="34"/>
      <c r="K371" s="34"/>
      <c r="L371" s="35"/>
      <c r="M371" s="156"/>
      <c r="N371" s="157"/>
      <c r="O371" s="55"/>
      <c r="P371" s="55"/>
      <c r="Q371" s="55"/>
      <c r="R371" s="55"/>
      <c r="S371" s="55"/>
      <c r="T371" s="56"/>
      <c r="U371" s="34"/>
      <c r="V371" s="34"/>
      <c r="W371" s="34"/>
      <c r="X371" s="34"/>
      <c r="Y371" s="34"/>
      <c r="Z371" s="34"/>
      <c r="AA371" s="34"/>
      <c r="AB371" s="34"/>
      <c r="AC371" s="34"/>
      <c r="AD371" s="34"/>
      <c r="AE371" s="34"/>
      <c r="AT371" s="19" t="s">
        <v>187</v>
      </c>
      <c r="AU371" s="19" t="s">
        <v>87</v>
      </c>
    </row>
    <row r="372" spans="1:65" s="14" customFormat="1">
      <c r="B372" s="169"/>
      <c r="D372" s="153" t="s">
        <v>193</v>
      </c>
      <c r="E372" s="170" t="s">
        <v>3</v>
      </c>
      <c r="F372" s="171" t="s">
        <v>2434</v>
      </c>
      <c r="H372" s="170" t="s">
        <v>3</v>
      </c>
      <c r="I372" s="172"/>
      <c r="L372" s="169"/>
      <c r="M372" s="173"/>
      <c r="N372" s="174"/>
      <c r="O372" s="174"/>
      <c r="P372" s="174"/>
      <c r="Q372" s="174"/>
      <c r="R372" s="174"/>
      <c r="S372" s="174"/>
      <c r="T372" s="175"/>
      <c r="AT372" s="170" t="s">
        <v>193</v>
      </c>
      <c r="AU372" s="170" t="s">
        <v>87</v>
      </c>
      <c r="AV372" s="14" t="s">
        <v>85</v>
      </c>
      <c r="AW372" s="14" t="s">
        <v>36</v>
      </c>
      <c r="AX372" s="14" t="s">
        <v>77</v>
      </c>
      <c r="AY372" s="170" t="s">
        <v>177</v>
      </c>
    </row>
    <row r="373" spans="1:65" s="13" customFormat="1">
      <c r="B373" s="161"/>
      <c r="D373" s="153" t="s">
        <v>193</v>
      </c>
      <c r="E373" s="162" t="s">
        <v>3</v>
      </c>
      <c r="F373" s="163" t="s">
        <v>2543</v>
      </c>
      <c r="H373" s="164">
        <v>7.95</v>
      </c>
      <c r="I373" s="165"/>
      <c r="L373" s="161"/>
      <c r="M373" s="166"/>
      <c r="N373" s="167"/>
      <c r="O373" s="167"/>
      <c r="P373" s="167"/>
      <c r="Q373" s="167"/>
      <c r="R373" s="167"/>
      <c r="S373" s="167"/>
      <c r="T373" s="168"/>
      <c r="AT373" s="162" t="s">
        <v>193</v>
      </c>
      <c r="AU373" s="162" t="s">
        <v>87</v>
      </c>
      <c r="AV373" s="13" t="s">
        <v>87</v>
      </c>
      <c r="AW373" s="13" t="s">
        <v>36</v>
      </c>
      <c r="AX373" s="13" t="s">
        <v>85</v>
      </c>
      <c r="AY373" s="162" t="s">
        <v>177</v>
      </c>
    </row>
    <row r="374" spans="1:65" s="12" customFormat="1" ht="22.9" customHeight="1">
      <c r="B374" s="126"/>
      <c r="D374" s="127" t="s">
        <v>76</v>
      </c>
      <c r="E374" s="137" t="s">
        <v>252</v>
      </c>
      <c r="F374" s="137" t="s">
        <v>329</v>
      </c>
      <c r="I374" s="129"/>
      <c r="J374" s="138">
        <f>BK374</f>
        <v>0</v>
      </c>
      <c r="L374" s="126"/>
      <c r="M374" s="131"/>
      <c r="N374" s="132"/>
      <c r="O374" s="132"/>
      <c r="P374" s="133">
        <f>SUM(P375:P514)</f>
        <v>0</v>
      </c>
      <c r="Q374" s="132"/>
      <c r="R374" s="133">
        <f>SUM(R375:R514)</f>
        <v>0.33690054920000001</v>
      </c>
      <c r="S374" s="132"/>
      <c r="T374" s="134">
        <f>SUM(T375:T514)</f>
        <v>22.824052999999999</v>
      </c>
      <c r="AR374" s="127" t="s">
        <v>85</v>
      </c>
      <c r="AT374" s="135" t="s">
        <v>76</v>
      </c>
      <c r="AU374" s="135" t="s">
        <v>85</v>
      </c>
      <c r="AY374" s="127" t="s">
        <v>177</v>
      </c>
      <c r="BK374" s="136">
        <f>SUM(BK375:BK514)</f>
        <v>0</v>
      </c>
    </row>
    <row r="375" spans="1:65" s="2" customFormat="1" ht="21.75" customHeight="1">
      <c r="A375" s="34"/>
      <c r="B375" s="139"/>
      <c r="C375" s="140" t="s">
        <v>1175</v>
      </c>
      <c r="D375" s="140" t="s">
        <v>180</v>
      </c>
      <c r="E375" s="141" t="s">
        <v>648</v>
      </c>
      <c r="F375" s="142" t="s">
        <v>649</v>
      </c>
      <c r="G375" s="143" t="s">
        <v>332</v>
      </c>
      <c r="H375" s="144">
        <v>533.5</v>
      </c>
      <c r="I375" s="145"/>
      <c r="J375" s="146">
        <f>ROUND(I375*H375,2)</f>
        <v>0</v>
      </c>
      <c r="K375" s="142" t="s">
        <v>184</v>
      </c>
      <c r="L375" s="35"/>
      <c r="M375" s="147" t="s">
        <v>3</v>
      </c>
      <c r="N375" s="148" t="s">
        <v>48</v>
      </c>
      <c r="O375" s="55"/>
      <c r="P375" s="149">
        <f>O375*H375</f>
        <v>0</v>
      </c>
      <c r="Q375" s="149">
        <v>0</v>
      </c>
      <c r="R375" s="149">
        <f>Q375*H375</f>
        <v>0</v>
      </c>
      <c r="S375" s="149">
        <v>0</v>
      </c>
      <c r="T375" s="150">
        <f>S375*H375</f>
        <v>0</v>
      </c>
      <c r="U375" s="34"/>
      <c r="V375" s="34"/>
      <c r="W375" s="34"/>
      <c r="X375" s="34"/>
      <c r="Y375" s="34"/>
      <c r="Z375" s="34"/>
      <c r="AA375" s="34"/>
      <c r="AB375" s="34"/>
      <c r="AC375" s="34"/>
      <c r="AD375" s="34"/>
      <c r="AE375" s="34"/>
      <c r="AR375" s="151" t="s">
        <v>185</v>
      </c>
      <c r="AT375" s="151" t="s">
        <v>180</v>
      </c>
      <c r="AU375" s="151" t="s">
        <v>87</v>
      </c>
      <c r="AY375" s="19" t="s">
        <v>177</v>
      </c>
      <c r="BE375" s="152">
        <f>IF(N375="základní",J375,0)</f>
        <v>0</v>
      </c>
      <c r="BF375" s="152">
        <f>IF(N375="snížená",J375,0)</f>
        <v>0</v>
      </c>
      <c r="BG375" s="152">
        <f>IF(N375="zákl. přenesená",J375,0)</f>
        <v>0</v>
      </c>
      <c r="BH375" s="152">
        <f>IF(N375="sníž. přenesená",J375,0)</f>
        <v>0</v>
      </c>
      <c r="BI375" s="152">
        <f>IF(N375="nulová",J375,0)</f>
        <v>0</v>
      </c>
      <c r="BJ375" s="19" t="s">
        <v>85</v>
      </c>
      <c r="BK375" s="152">
        <f>ROUND(I375*H375,2)</f>
        <v>0</v>
      </c>
      <c r="BL375" s="19" t="s">
        <v>185</v>
      </c>
      <c r="BM375" s="151" t="s">
        <v>2593</v>
      </c>
    </row>
    <row r="376" spans="1:65" s="2" customFormat="1" ht="19.5">
      <c r="A376" s="34"/>
      <c r="B376" s="35"/>
      <c r="C376" s="34"/>
      <c r="D376" s="153" t="s">
        <v>187</v>
      </c>
      <c r="E376" s="34"/>
      <c r="F376" s="154" t="s">
        <v>651</v>
      </c>
      <c r="G376" s="34"/>
      <c r="H376" s="34"/>
      <c r="I376" s="155"/>
      <c r="J376" s="34"/>
      <c r="K376" s="34"/>
      <c r="L376" s="35"/>
      <c r="M376" s="156"/>
      <c r="N376" s="157"/>
      <c r="O376" s="55"/>
      <c r="P376" s="55"/>
      <c r="Q376" s="55"/>
      <c r="R376" s="55"/>
      <c r="S376" s="55"/>
      <c r="T376" s="56"/>
      <c r="U376" s="34"/>
      <c r="V376" s="34"/>
      <c r="W376" s="34"/>
      <c r="X376" s="34"/>
      <c r="Y376" s="34"/>
      <c r="Z376" s="34"/>
      <c r="AA376" s="34"/>
      <c r="AB376" s="34"/>
      <c r="AC376" s="34"/>
      <c r="AD376" s="34"/>
      <c r="AE376" s="34"/>
      <c r="AT376" s="19" t="s">
        <v>187</v>
      </c>
      <c r="AU376" s="19" t="s">
        <v>87</v>
      </c>
    </row>
    <row r="377" spans="1:65" s="2" customFormat="1">
      <c r="A377" s="34"/>
      <c r="B377" s="35"/>
      <c r="C377" s="34"/>
      <c r="D377" s="158" t="s">
        <v>189</v>
      </c>
      <c r="E377" s="34"/>
      <c r="F377" s="159" t="s">
        <v>652</v>
      </c>
      <c r="G377" s="34"/>
      <c r="H377" s="34"/>
      <c r="I377" s="155"/>
      <c r="J377" s="34"/>
      <c r="K377" s="34"/>
      <c r="L377" s="35"/>
      <c r="M377" s="156"/>
      <c r="N377" s="157"/>
      <c r="O377" s="55"/>
      <c r="P377" s="55"/>
      <c r="Q377" s="55"/>
      <c r="R377" s="55"/>
      <c r="S377" s="55"/>
      <c r="T377" s="56"/>
      <c r="U377" s="34"/>
      <c r="V377" s="34"/>
      <c r="W377" s="34"/>
      <c r="X377" s="34"/>
      <c r="Y377" s="34"/>
      <c r="Z377" s="34"/>
      <c r="AA377" s="34"/>
      <c r="AB377" s="34"/>
      <c r="AC377" s="34"/>
      <c r="AD377" s="34"/>
      <c r="AE377" s="34"/>
      <c r="AT377" s="19" t="s">
        <v>189</v>
      </c>
      <c r="AU377" s="19" t="s">
        <v>87</v>
      </c>
    </row>
    <row r="378" spans="1:65" s="2" customFormat="1" ht="58.5">
      <c r="A378" s="34"/>
      <c r="B378" s="35"/>
      <c r="C378" s="34"/>
      <c r="D378" s="153" t="s">
        <v>191</v>
      </c>
      <c r="E378" s="34"/>
      <c r="F378" s="160" t="s">
        <v>653</v>
      </c>
      <c r="G378" s="34"/>
      <c r="H378" s="34"/>
      <c r="I378" s="155"/>
      <c r="J378" s="34"/>
      <c r="K378" s="34"/>
      <c r="L378" s="35"/>
      <c r="M378" s="156"/>
      <c r="N378" s="157"/>
      <c r="O378" s="55"/>
      <c r="P378" s="55"/>
      <c r="Q378" s="55"/>
      <c r="R378" s="55"/>
      <c r="S378" s="55"/>
      <c r="T378" s="56"/>
      <c r="U378" s="34"/>
      <c r="V378" s="34"/>
      <c r="W378" s="34"/>
      <c r="X378" s="34"/>
      <c r="Y378" s="34"/>
      <c r="Z378" s="34"/>
      <c r="AA378" s="34"/>
      <c r="AB378" s="34"/>
      <c r="AC378" s="34"/>
      <c r="AD378" s="34"/>
      <c r="AE378" s="34"/>
      <c r="AT378" s="19" t="s">
        <v>191</v>
      </c>
      <c r="AU378" s="19" t="s">
        <v>87</v>
      </c>
    </row>
    <row r="379" spans="1:65" s="13" customFormat="1">
      <c r="B379" s="161"/>
      <c r="D379" s="153" t="s">
        <v>193</v>
      </c>
      <c r="E379" s="162" t="s">
        <v>3</v>
      </c>
      <c r="F379" s="163" t="s">
        <v>2594</v>
      </c>
      <c r="H379" s="164">
        <v>270</v>
      </c>
      <c r="I379" s="165"/>
      <c r="L379" s="161"/>
      <c r="M379" s="166"/>
      <c r="N379" s="167"/>
      <c r="O379" s="167"/>
      <c r="P379" s="167"/>
      <c r="Q379" s="167"/>
      <c r="R379" s="167"/>
      <c r="S379" s="167"/>
      <c r="T379" s="168"/>
      <c r="AT379" s="162" t="s">
        <v>193</v>
      </c>
      <c r="AU379" s="162" t="s">
        <v>87</v>
      </c>
      <c r="AV379" s="13" t="s">
        <v>87</v>
      </c>
      <c r="AW379" s="13" t="s">
        <v>36</v>
      </c>
      <c r="AX379" s="13" t="s">
        <v>77</v>
      </c>
      <c r="AY379" s="162" t="s">
        <v>177</v>
      </c>
    </row>
    <row r="380" spans="1:65" s="13" customFormat="1">
      <c r="B380" s="161"/>
      <c r="D380" s="153" t="s">
        <v>193</v>
      </c>
      <c r="E380" s="162" t="s">
        <v>3</v>
      </c>
      <c r="F380" s="163" t="s">
        <v>2595</v>
      </c>
      <c r="H380" s="164">
        <v>155</v>
      </c>
      <c r="I380" s="165"/>
      <c r="L380" s="161"/>
      <c r="M380" s="166"/>
      <c r="N380" s="167"/>
      <c r="O380" s="167"/>
      <c r="P380" s="167"/>
      <c r="Q380" s="167"/>
      <c r="R380" s="167"/>
      <c r="S380" s="167"/>
      <c r="T380" s="168"/>
      <c r="AT380" s="162" t="s">
        <v>193</v>
      </c>
      <c r="AU380" s="162" t="s">
        <v>87</v>
      </c>
      <c r="AV380" s="13" t="s">
        <v>87</v>
      </c>
      <c r="AW380" s="13" t="s">
        <v>36</v>
      </c>
      <c r="AX380" s="13" t="s">
        <v>77</v>
      </c>
      <c r="AY380" s="162" t="s">
        <v>177</v>
      </c>
    </row>
    <row r="381" spans="1:65" s="13" customFormat="1">
      <c r="B381" s="161"/>
      <c r="D381" s="153" t="s">
        <v>193</v>
      </c>
      <c r="E381" s="162" t="s">
        <v>3</v>
      </c>
      <c r="F381" s="163" t="s">
        <v>2596</v>
      </c>
      <c r="H381" s="164">
        <v>108.5</v>
      </c>
      <c r="I381" s="165"/>
      <c r="L381" s="161"/>
      <c r="M381" s="166"/>
      <c r="N381" s="167"/>
      <c r="O381" s="167"/>
      <c r="P381" s="167"/>
      <c r="Q381" s="167"/>
      <c r="R381" s="167"/>
      <c r="S381" s="167"/>
      <c r="T381" s="168"/>
      <c r="AT381" s="162" t="s">
        <v>193</v>
      </c>
      <c r="AU381" s="162" t="s">
        <v>87</v>
      </c>
      <c r="AV381" s="13" t="s">
        <v>87</v>
      </c>
      <c r="AW381" s="13" t="s">
        <v>36</v>
      </c>
      <c r="AX381" s="13" t="s">
        <v>77</v>
      </c>
      <c r="AY381" s="162" t="s">
        <v>177</v>
      </c>
    </row>
    <row r="382" spans="1:65" s="16" customFormat="1">
      <c r="B382" s="184"/>
      <c r="D382" s="153" t="s">
        <v>193</v>
      </c>
      <c r="E382" s="185" t="s">
        <v>3</v>
      </c>
      <c r="F382" s="186" t="s">
        <v>201</v>
      </c>
      <c r="H382" s="187">
        <v>533.5</v>
      </c>
      <c r="I382" s="188"/>
      <c r="L382" s="184"/>
      <c r="M382" s="189"/>
      <c r="N382" s="190"/>
      <c r="O382" s="190"/>
      <c r="P382" s="190"/>
      <c r="Q382" s="190"/>
      <c r="R382" s="190"/>
      <c r="S382" s="190"/>
      <c r="T382" s="191"/>
      <c r="AT382" s="185" t="s">
        <v>193</v>
      </c>
      <c r="AU382" s="185" t="s">
        <v>87</v>
      </c>
      <c r="AV382" s="16" t="s">
        <v>185</v>
      </c>
      <c r="AW382" s="16" t="s">
        <v>36</v>
      </c>
      <c r="AX382" s="16" t="s">
        <v>85</v>
      </c>
      <c r="AY382" s="185" t="s">
        <v>177</v>
      </c>
    </row>
    <row r="383" spans="1:65" s="2" customFormat="1" ht="21.75" customHeight="1">
      <c r="A383" s="34"/>
      <c r="B383" s="139"/>
      <c r="C383" s="140" t="s">
        <v>1179</v>
      </c>
      <c r="D383" s="140" t="s">
        <v>180</v>
      </c>
      <c r="E383" s="141" t="s">
        <v>654</v>
      </c>
      <c r="F383" s="142" t="s">
        <v>655</v>
      </c>
      <c r="G383" s="143" t="s">
        <v>332</v>
      </c>
      <c r="H383" s="144">
        <v>48015</v>
      </c>
      <c r="I383" s="145"/>
      <c r="J383" s="146">
        <f>ROUND(I383*H383,2)</f>
        <v>0</v>
      </c>
      <c r="K383" s="142" t="s">
        <v>184</v>
      </c>
      <c r="L383" s="35"/>
      <c r="M383" s="147" t="s">
        <v>3</v>
      </c>
      <c r="N383" s="148" t="s">
        <v>48</v>
      </c>
      <c r="O383" s="55"/>
      <c r="P383" s="149">
        <f>O383*H383</f>
        <v>0</v>
      </c>
      <c r="Q383" s="149">
        <v>0</v>
      </c>
      <c r="R383" s="149">
        <f>Q383*H383</f>
        <v>0</v>
      </c>
      <c r="S383" s="149">
        <v>0</v>
      </c>
      <c r="T383" s="150">
        <f>S383*H383</f>
        <v>0</v>
      </c>
      <c r="U383" s="34"/>
      <c r="V383" s="34"/>
      <c r="W383" s="34"/>
      <c r="X383" s="34"/>
      <c r="Y383" s="34"/>
      <c r="Z383" s="34"/>
      <c r="AA383" s="34"/>
      <c r="AB383" s="34"/>
      <c r="AC383" s="34"/>
      <c r="AD383" s="34"/>
      <c r="AE383" s="34"/>
      <c r="AR383" s="151" t="s">
        <v>185</v>
      </c>
      <c r="AT383" s="151" t="s">
        <v>180</v>
      </c>
      <c r="AU383" s="151" t="s">
        <v>87</v>
      </c>
      <c r="AY383" s="19" t="s">
        <v>177</v>
      </c>
      <c r="BE383" s="152">
        <f>IF(N383="základní",J383,0)</f>
        <v>0</v>
      </c>
      <c r="BF383" s="152">
        <f>IF(N383="snížená",J383,0)</f>
        <v>0</v>
      </c>
      <c r="BG383" s="152">
        <f>IF(N383="zákl. přenesená",J383,0)</f>
        <v>0</v>
      </c>
      <c r="BH383" s="152">
        <f>IF(N383="sníž. přenesená",J383,0)</f>
        <v>0</v>
      </c>
      <c r="BI383" s="152">
        <f>IF(N383="nulová",J383,0)</f>
        <v>0</v>
      </c>
      <c r="BJ383" s="19" t="s">
        <v>85</v>
      </c>
      <c r="BK383" s="152">
        <f>ROUND(I383*H383,2)</f>
        <v>0</v>
      </c>
      <c r="BL383" s="19" t="s">
        <v>185</v>
      </c>
      <c r="BM383" s="151" t="s">
        <v>2597</v>
      </c>
    </row>
    <row r="384" spans="1:65" s="2" customFormat="1" ht="19.5">
      <c r="A384" s="34"/>
      <c r="B384" s="35"/>
      <c r="C384" s="34"/>
      <c r="D384" s="153" t="s">
        <v>187</v>
      </c>
      <c r="E384" s="34"/>
      <c r="F384" s="154" t="s">
        <v>657</v>
      </c>
      <c r="G384" s="34"/>
      <c r="H384" s="34"/>
      <c r="I384" s="155"/>
      <c r="J384" s="34"/>
      <c r="K384" s="34"/>
      <c r="L384" s="35"/>
      <c r="M384" s="156"/>
      <c r="N384" s="157"/>
      <c r="O384" s="55"/>
      <c r="P384" s="55"/>
      <c r="Q384" s="55"/>
      <c r="R384" s="55"/>
      <c r="S384" s="55"/>
      <c r="T384" s="56"/>
      <c r="U384" s="34"/>
      <c r="V384" s="34"/>
      <c r="W384" s="34"/>
      <c r="X384" s="34"/>
      <c r="Y384" s="34"/>
      <c r="Z384" s="34"/>
      <c r="AA384" s="34"/>
      <c r="AB384" s="34"/>
      <c r="AC384" s="34"/>
      <c r="AD384" s="34"/>
      <c r="AE384" s="34"/>
      <c r="AT384" s="19" t="s">
        <v>187</v>
      </c>
      <c r="AU384" s="19" t="s">
        <v>87</v>
      </c>
    </row>
    <row r="385" spans="1:65" s="2" customFormat="1">
      <c r="A385" s="34"/>
      <c r="B385" s="35"/>
      <c r="C385" s="34"/>
      <c r="D385" s="158" t="s">
        <v>189</v>
      </c>
      <c r="E385" s="34"/>
      <c r="F385" s="159" t="s">
        <v>658</v>
      </c>
      <c r="G385" s="34"/>
      <c r="H385" s="34"/>
      <c r="I385" s="155"/>
      <c r="J385" s="34"/>
      <c r="K385" s="34"/>
      <c r="L385" s="35"/>
      <c r="M385" s="156"/>
      <c r="N385" s="157"/>
      <c r="O385" s="55"/>
      <c r="P385" s="55"/>
      <c r="Q385" s="55"/>
      <c r="R385" s="55"/>
      <c r="S385" s="55"/>
      <c r="T385" s="56"/>
      <c r="U385" s="34"/>
      <c r="V385" s="34"/>
      <c r="W385" s="34"/>
      <c r="X385" s="34"/>
      <c r="Y385" s="34"/>
      <c r="Z385" s="34"/>
      <c r="AA385" s="34"/>
      <c r="AB385" s="34"/>
      <c r="AC385" s="34"/>
      <c r="AD385" s="34"/>
      <c r="AE385" s="34"/>
      <c r="AT385" s="19" t="s">
        <v>189</v>
      </c>
      <c r="AU385" s="19" t="s">
        <v>87</v>
      </c>
    </row>
    <row r="386" spans="1:65" s="2" customFormat="1" ht="58.5">
      <c r="A386" s="34"/>
      <c r="B386" s="35"/>
      <c r="C386" s="34"/>
      <c r="D386" s="153" t="s">
        <v>191</v>
      </c>
      <c r="E386" s="34"/>
      <c r="F386" s="160" t="s">
        <v>653</v>
      </c>
      <c r="G386" s="34"/>
      <c r="H386" s="34"/>
      <c r="I386" s="155"/>
      <c r="J386" s="34"/>
      <c r="K386" s="34"/>
      <c r="L386" s="35"/>
      <c r="M386" s="156"/>
      <c r="N386" s="157"/>
      <c r="O386" s="55"/>
      <c r="P386" s="55"/>
      <c r="Q386" s="55"/>
      <c r="R386" s="55"/>
      <c r="S386" s="55"/>
      <c r="T386" s="56"/>
      <c r="U386" s="34"/>
      <c r="V386" s="34"/>
      <c r="W386" s="34"/>
      <c r="X386" s="34"/>
      <c r="Y386" s="34"/>
      <c r="Z386" s="34"/>
      <c r="AA386" s="34"/>
      <c r="AB386" s="34"/>
      <c r="AC386" s="34"/>
      <c r="AD386" s="34"/>
      <c r="AE386" s="34"/>
      <c r="AT386" s="19" t="s">
        <v>191</v>
      </c>
      <c r="AU386" s="19" t="s">
        <v>87</v>
      </c>
    </row>
    <row r="387" spans="1:65" s="13" customFormat="1">
      <c r="B387" s="161"/>
      <c r="D387" s="153" t="s">
        <v>193</v>
      </c>
      <c r="E387" s="162" t="s">
        <v>3</v>
      </c>
      <c r="F387" s="163" t="s">
        <v>2598</v>
      </c>
      <c r="H387" s="164">
        <v>48015</v>
      </c>
      <c r="I387" s="165"/>
      <c r="L387" s="161"/>
      <c r="M387" s="166"/>
      <c r="N387" s="167"/>
      <c r="O387" s="167"/>
      <c r="P387" s="167"/>
      <c r="Q387" s="167"/>
      <c r="R387" s="167"/>
      <c r="S387" s="167"/>
      <c r="T387" s="168"/>
      <c r="AT387" s="162" t="s">
        <v>193</v>
      </c>
      <c r="AU387" s="162" t="s">
        <v>87</v>
      </c>
      <c r="AV387" s="13" t="s">
        <v>87</v>
      </c>
      <c r="AW387" s="13" t="s">
        <v>36</v>
      </c>
      <c r="AX387" s="13" t="s">
        <v>85</v>
      </c>
      <c r="AY387" s="162" t="s">
        <v>177</v>
      </c>
    </row>
    <row r="388" spans="1:65" s="2" customFormat="1" ht="21.75" customHeight="1">
      <c r="A388" s="34"/>
      <c r="B388" s="139"/>
      <c r="C388" s="140" t="s">
        <v>1182</v>
      </c>
      <c r="D388" s="140" t="s">
        <v>180</v>
      </c>
      <c r="E388" s="141" t="s">
        <v>660</v>
      </c>
      <c r="F388" s="142" t="s">
        <v>661</v>
      </c>
      <c r="G388" s="143" t="s">
        <v>332</v>
      </c>
      <c r="H388" s="144">
        <v>533.5</v>
      </c>
      <c r="I388" s="145"/>
      <c r="J388" s="146">
        <f>ROUND(I388*H388,2)</f>
        <v>0</v>
      </c>
      <c r="K388" s="142" t="s">
        <v>184</v>
      </c>
      <c r="L388" s="35"/>
      <c r="M388" s="147" t="s">
        <v>3</v>
      </c>
      <c r="N388" s="148" t="s">
        <v>48</v>
      </c>
      <c r="O388" s="55"/>
      <c r="P388" s="149">
        <f>O388*H388</f>
        <v>0</v>
      </c>
      <c r="Q388" s="149">
        <v>0</v>
      </c>
      <c r="R388" s="149">
        <f>Q388*H388</f>
        <v>0</v>
      </c>
      <c r="S388" s="149">
        <v>0</v>
      </c>
      <c r="T388" s="150">
        <f>S388*H388</f>
        <v>0</v>
      </c>
      <c r="U388" s="34"/>
      <c r="V388" s="34"/>
      <c r="W388" s="34"/>
      <c r="X388" s="34"/>
      <c r="Y388" s="34"/>
      <c r="Z388" s="34"/>
      <c r="AA388" s="34"/>
      <c r="AB388" s="34"/>
      <c r="AC388" s="34"/>
      <c r="AD388" s="34"/>
      <c r="AE388" s="34"/>
      <c r="AR388" s="151" t="s">
        <v>185</v>
      </c>
      <c r="AT388" s="151" t="s">
        <v>180</v>
      </c>
      <c r="AU388" s="151" t="s">
        <v>87</v>
      </c>
      <c r="AY388" s="19" t="s">
        <v>177</v>
      </c>
      <c r="BE388" s="152">
        <f>IF(N388="základní",J388,0)</f>
        <v>0</v>
      </c>
      <c r="BF388" s="152">
        <f>IF(N388="snížená",J388,0)</f>
        <v>0</v>
      </c>
      <c r="BG388" s="152">
        <f>IF(N388="zákl. přenesená",J388,0)</f>
        <v>0</v>
      </c>
      <c r="BH388" s="152">
        <f>IF(N388="sníž. přenesená",J388,0)</f>
        <v>0</v>
      </c>
      <c r="BI388" s="152">
        <f>IF(N388="nulová",J388,0)</f>
        <v>0</v>
      </c>
      <c r="BJ388" s="19" t="s">
        <v>85</v>
      </c>
      <c r="BK388" s="152">
        <f>ROUND(I388*H388,2)</f>
        <v>0</v>
      </c>
      <c r="BL388" s="19" t="s">
        <v>185</v>
      </c>
      <c r="BM388" s="151" t="s">
        <v>2599</v>
      </c>
    </row>
    <row r="389" spans="1:65" s="2" customFormat="1" ht="19.5">
      <c r="A389" s="34"/>
      <c r="B389" s="35"/>
      <c r="C389" s="34"/>
      <c r="D389" s="153" t="s">
        <v>187</v>
      </c>
      <c r="E389" s="34"/>
      <c r="F389" s="154" t="s">
        <v>663</v>
      </c>
      <c r="G389" s="34"/>
      <c r="H389" s="34"/>
      <c r="I389" s="155"/>
      <c r="J389" s="34"/>
      <c r="K389" s="34"/>
      <c r="L389" s="35"/>
      <c r="M389" s="156"/>
      <c r="N389" s="157"/>
      <c r="O389" s="55"/>
      <c r="P389" s="55"/>
      <c r="Q389" s="55"/>
      <c r="R389" s="55"/>
      <c r="S389" s="55"/>
      <c r="T389" s="56"/>
      <c r="U389" s="34"/>
      <c r="V389" s="34"/>
      <c r="W389" s="34"/>
      <c r="X389" s="34"/>
      <c r="Y389" s="34"/>
      <c r="Z389" s="34"/>
      <c r="AA389" s="34"/>
      <c r="AB389" s="34"/>
      <c r="AC389" s="34"/>
      <c r="AD389" s="34"/>
      <c r="AE389" s="34"/>
      <c r="AT389" s="19" t="s">
        <v>187</v>
      </c>
      <c r="AU389" s="19" t="s">
        <v>87</v>
      </c>
    </row>
    <row r="390" spans="1:65" s="2" customFormat="1">
      <c r="A390" s="34"/>
      <c r="B390" s="35"/>
      <c r="C390" s="34"/>
      <c r="D390" s="158" t="s">
        <v>189</v>
      </c>
      <c r="E390" s="34"/>
      <c r="F390" s="159" t="s">
        <v>664</v>
      </c>
      <c r="G390" s="34"/>
      <c r="H390" s="34"/>
      <c r="I390" s="155"/>
      <c r="J390" s="34"/>
      <c r="K390" s="34"/>
      <c r="L390" s="35"/>
      <c r="M390" s="156"/>
      <c r="N390" s="157"/>
      <c r="O390" s="55"/>
      <c r="P390" s="55"/>
      <c r="Q390" s="55"/>
      <c r="R390" s="55"/>
      <c r="S390" s="55"/>
      <c r="T390" s="56"/>
      <c r="U390" s="34"/>
      <c r="V390" s="34"/>
      <c r="W390" s="34"/>
      <c r="X390" s="34"/>
      <c r="Y390" s="34"/>
      <c r="Z390" s="34"/>
      <c r="AA390" s="34"/>
      <c r="AB390" s="34"/>
      <c r="AC390" s="34"/>
      <c r="AD390" s="34"/>
      <c r="AE390" s="34"/>
      <c r="AT390" s="19" t="s">
        <v>189</v>
      </c>
      <c r="AU390" s="19" t="s">
        <v>87</v>
      </c>
    </row>
    <row r="391" spans="1:65" s="2" customFormat="1" ht="29.25">
      <c r="A391" s="34"/>
      <c r="B391" s="35"/>
      <c r="C391" s="34"/>
      <c r="D391" s="153" t="s">
        <v>191</v>
      </c>
      <c r="E391" s="34"/>
      <c r="F391" s="160" t="s">
        <v>665</v>
      </c>
      <c r="G391" s="34"/>
      <c r="H391" s="34"/>
      <c r="I391" s="155"/>
      <c r="J391" s="34"/>
      <c r="K391" s="34"/>
      <c r="L391" s="35"/>
      <c r="M391" s="156"/>
      <c r="N391" s="157"/>
      <c r="O391" s="55"/>
      <c r="P391" s="55"/>
      <c r="Q391" s="55"/>
      <c r="R391" s="55"/>
      <c r="S391" s="55"/>
      <c r="T391" s="56"/>
      <c r="U391" s="34"/>
      <c r="V391" s="34"/>
      <c r="W391" s="34"/>
      <c r="X391" s="34"/>
      <c r="Y391" s="34"/>
      <c r="Z391" s="34"/>
      <c r="AA391" s="34"/>
      <c r="AB391" s="34"/>
      <c r="AC391" s="34"/>
      <c r="AD391" s="34"/>
      <c r="AE391" s="34"/>
      <c r="AT391" s="19" t="s">
        <v>191</v>
      </c>
      <c r="AU391" s="19" t="s">
        <v>87</v>
      </c>
    </row>
    <row r="392" spans="1:65" s="2" customFormat="1" ht="16.5" customHeight="1">
      <c r="A392" s="34"/>
      <c r="B392" s="139"/>
      <c r="C392" s="140" t="s">
        <v>1185</v>
      </c>
      <c r="D392" s="140" t="s">
        <v>180</v>
      </c>
      <c r="E392" s="141" t="s">
        <v>666</v>
      </c>
      <c r="F392" s="142" t="s">
        <v>667</v>
      </c>
      <c r="G392" s="143" t="s">
        <v>332</v>
      </c>
      <c r="H392" s="144">
        <v>533.5</v>
      </c>
      <c r="I392" s="145"/>
      <c r="J392" s="146">
        <f>ROUND(I392*H392,2)</f>
        <v>0</v>
      </c>
      <c r="K392" s="142" t="s">
        <v>184</v>
      </c>
      <c r="L392" s="35"/>
      <c r="M392" s="147" t="s">
        <v>3</v>
      </c>
      <c r="N392" s="148" t="s">
        <v>48</v>
      </c>
      <c r="O392" s="55"/>
      <c r="P392" s="149">
        <f>O392*H392</f>
        <v>0</v>
      </c>
      <c r="Q392" s="149">
        <v>0</v>
      </c>
      <c r="R392" s="149">
        <f>Q392*H392</f>
        <v>0</v>
      </c>
      <c r="S392" s="149">
        <v>0</v>
      </c>
      <c r="T392" s="150">
        <f>S392*H392</f>
        <v>0</v>
      </c>
      <c r="U392" s="34"/>
      <c r="V392" s="34"/>
      <c r="W392" s="34"/>
      <c r="X392" s="34"/>
      <c r="Y392" s="34"/>
      <c r="Z392" s="34"/>
      <c r="AA392" s="34"/>
      <c r="AB392" s="34"/>
      <c r="AC392" s="34"/>
      <c r="AD392" s="34"/>
      <c r="AE392" s="34"/>
      <c r="AR392" s="151" t="s">
        <v>185</v>
      </c>
      <c r="AT392" s="151" t="s">
        <v>180</v>
      </c>
      <c r="AU392" s="151" t="s">
        <v>87</v>
      </c>
      <c r="AY392" s="19" t="s">
        <v>177</v>
      </c>
      <c r="BE392" s="152">
        <f>IF(N392="základní",J392,0)</f>
        <v>0</v>
      </c>
      <c r="BF392" s="152">
        <f>IF(N392="snížená",J392,0)</f>
        <v>0</v>
      </c>
      <c r="BG392" s="152">
        <f>IF(N392="zákl. přenesená",J392,0)</f>
        <v>0</v>
      </c>
      <c r="BH392" s="152">
        <f>IF(N392="sníž. přenesená",J392,0)</f>
        <v>0</v>
      </c>
      <c r="BI392" s="152">
        <f>IF(N392="nulová",J392,0)</f>
        <v>0</v>
      </c>
      <c r="BJ392" s="19" t="s">
        <v>85</v>
      </c>
      <c r="BK392" s="152">
        <f>ROUND(I392*H392,2)</f>
        <v>0</v>
      </c>
      <c r="BL392" s="19" t="s">
        <v>185</v>
      </c>
      <c r="BM392" s="151" t="s">
        <v>2600</v>
      </c>
    </row>
    <row r="393" spans="1:65" s="2" customFormat="1">
      <c r="A393" s="34"/>
      <c r="B393" s="35"/>
      <c r="C393" s="34"/>
      <c r="D393" s="153" t="s">
        <v>187</v>
      </c>
      <c r="E393" s="34"/>
      <c r="F393" s="154" t="s">
        <v>669</v>
      </c>
      <c r="G393" s="34"/>
      <c r="H393" s="34"/>
      <c r="I393" s="155"/>
      <c r="J393" s="34"/>
      <c r="K393" s="34"/>
      <c r="L393" s="35"/>
      <c r="M393" s="156"/>
      <c r="N393" s="157"/>
      <c r="O393" s="55"/>
      <c r="P393" s="55"/>
      <c r="Q393" s="55"/>
      <c r="R393" s="55"/>
      <c r="S393" s="55"/>
      <c r="T393" s="56"/>
      <c r="U393" s="34"/>
      <c r="V393" s="34"/>
      <c r="W393" s="34"/>
      <c r="X393" s="34"/>
      <c r="Y393" s="34"/>
      <c r="Z393" s="34"/>
      <c r="AA393" s="34"/>
      <c r="AB393" s="34"/>
      <c r="AC393" s="34"/>
      <c r="AD393" s="34"/>
      <c r="AE393" s="34"/>
      <c r="AT393" s="19" t="s">
        <v>187</v>
      </c>
      <c r="AU393" s="19" t="s">
        <v>87</v>
      </c>
    </row>
    <row r="394" spans="1:65" s="2" customFormat="1">
      <c r="A394" s="34"/>
      <c r="B394" s="35"/>
      <c r="C394" s="34"/>
      <c r="D394" s="158" t="s">
        <v>189</v>
      </c>
      <c r="E394" s="34"/>
      <c r="F394" s="159" t="s">
        <v>670</v>
      </c>
      <c r="G394" s="34"/>
      <c r="H394" s="34"/>
      <c r="I394" s="155"/>
      <c r="J394" s="34"/>
      <c r="K394" s="34"/>
      <c r="L394" s="35"/>
      <c r="M394" s="156"/>
      <c r="N394" s="157"/>
      <c r="O394" s="55"/>
      <c r="P394" s="55"/>
      <c r="Q394" s="55"/>
      <c r="R394" s="55"/>
      <c r="S394" s="55"/>
      <c r="T394" s="56"/>
      <c r="U394" s="34"/>
      <c r="V394" s="34"/>
      <c r="W394" s="34"/>
      <c r="X394" s="34"/>
      <c r="Y394" s="34"/>
      <c r="Z394" s="34"/>
      <c r="AA394" s="34"/>
      <c r="AB394" s="34"/>
      <c r="AC394" s="34"/>
      <c r="AD394" s="34"/>
      <c r="AE394" s="34"/>
      <c r="AT394" s="19" t="s">
        <v>189</v>
      </c>
      <c r="AU394" s="19" t="s">
        <v>87</v>
      </c>
    </row>
    <row r="395" spans="1:65" s="2" customFormat="1" ht="29.25">
      <c r="A395" s="34"/>
      <c r="B395" s="35"/>
      <c r="C395" s="34"/>
      <c r="D395" s="153" t="s">
        <v>191</v>
      </c>
      <c r="E395" s="34"/>
      <c r="F395" s="160" t="s">
        <v>671</v>
      </c>
      <c r="G395" s="34"/>
      <c r="H395" s="34"/>
      <c r="I395" s="155"/>
      <c r="J395" s="34"/>
      <c r="K395" s="34"/>
      <c r="L395" s="35"/>
      <c r="M395" s="156"/>
      <c r="N395" s="157"/>
      <c r="O395" s="55"/>
      <c r="P395" s="55"/>
      <c r="Q395" s="55"/>
      <c r="R395" s="55"/>
      <c r="S395" s="55"/>
      <c r="T395" s="56"/>
      <c r="U395" s="34"/>
      <c r="V395" s="34"/>
      <c r="W395" s="34"/>
      <c r="X395" s="34"/>
      <c r="Y395" s="34"/>
      <c r="Z395" s="34"/>
      <c r="AA395" s="34"/>
      <c r="AB395" s="34"/>
      <c r="AC395" s="34"/>
      <c r="AD395" s="34"/>
      <c r="AE395" s="34"/>
      <c r="AT395" s="19" t="s">
        <v>191</v>
      </c>
      <c r="AU395" s="19" t="s">
        <v>87</v>
      </c>
    </row>
    <row r="396" spans="1:65" s="2" customFormat="1" ht="16.5" customHeight="1">
      <c r="A396" s="34"/>
      <c r="B396" s="139"/>
      <c r="C396" s="140" t="s">
        <v>1187</v>
      </c>
      <c r="D396" s="140" t="s">
        <v>180</v>
      </c>
      <c r="E396" s="141" t="s">
        <v>672</v>
      </c>
      <c r="F396" s="142" t="s">
        <v>673</v>
      </c>
      <c r="G396" s="143" t="s">
        <v>332</v>
      </c>
      <c r="H396" s="144">
        <v>48015</v>
      </c>
      <c r="I396" s="145"/>
      <c r="J396" s="146">
        <f>ROUND(I396*H396,2)</f>
        <v>0</v>
      </c>
      <c r="K396" s="142" t="s">
        <v>184</v>
      </c>
      <c r="L396" s="35"/>
      <c r="M396" s="147" t="s">
        <v>3</v>
      </c>
      <c r="N396" s="148" t="s">
        <v>48</v>
      </c>
      <c r="O396" s="55"/>
      <c r="P396" s="149">
        <f>O396*H396</f>
        <v>0</v>
      </c>
      <c r="Q396" s="149">
        <v>0</v>
      </c>
      <c r="R396" s="149">
        <f>Q396*H396</f>
        <v>0</v>
      </c>
      <c r="S396" s="149">
        <v>0</v>
      </c>
      <c r="T396" s="150">
        <f>S396*H396</f>
        <v>0</v>
      </c>
      <c r="U396" s="34"/>
      <c r="V396" s="34"/>
      <c r="W396" s="34"/>
      <c r="X396" s="34"/>
      <c r="Y396" s="34"/>
      <c r="Z396" s="34"/>
      <c r="AA396" s="34"/>
      <c r="AB396" s="34"/>
      <c r="AC396" s="34"/>
      <c r="AD396" s="34"/>
      <c r="AE396" s="34"/>
      <c r="AR396" s="151" t="s">
        <v>185</v>
      </c>
      <c r="AT396" s="151" t="s">
        <v>180</v>
      </c>
      <c r="AU396" s="151" t="s">
        <v>87</v>
      </c>
      <c r="AY396" s="19" t="s">
        <v>177</v>
      </c>
      <c r="BE396" s="152">
        <f>IF(N396="základní",J396,0)</f>
        <v>0</v>
      </c>
      <c r="BF396" s="152">
        <f>IF(N396="snížená",J396,0)</f>
        <v>0</v>
      </c>
      <c r="BG396" s="152">
        <f>IF(N396="zákl. přenesená",J396,0)</f>
        <v>0</v>
      </c>
      <c r="BH396" s="152">
        <f>IF(N396="sníž. přenesená",J396,0)</f>
        <v>0</v>
      </c>
      <c r="BI396" s="152">
        <f>IF(N396="nulová",J396,0)</f>
        <v>0</v>
      </c>
      <c r="BJ396" s="19" t="s">
        <v>85</v>
      </c>
      <c r="BK396" s="152">
        <f>ROUND(I396*H396,2)</f>
        <v>0</v>
      </c>
      <c r="BL396" s="19" t="s">
        <v>185</v>
      </c>
      <c r="BM396" s="151" t="s">
        <v>2601</v>
      </c>
    </row>
    <row r="397" spans="1:65" s="2" customFormat="1">
      <c r="A397" s="34"/>
      <c r="B397" s="35"/>
      <c r="C397" s="34"/>
      <c r="D397" s="153" t="s">
        <v>187</v>
      </c>
      <c r="E397" s="34"/>
      <c r="F397" s="154" t="s">
        <v>675</v>
      </c>
      <c r="G397" s="34"/>
      <c r="H397" s="34"/>
      <c r="I397" s="155"/>
      <c r="J397" s="34"/>
      <c r="K397" s="34"/>
      <c r="L397" s="35"/>
      <c r="M397" s="156"/>
      <c r="N397" s="157"/>
      <c r="O397" s="55"/>
      <c r="P397" s="55"/>
      <c r="Q397" s="55"/>
      <c r="R397" s="55"/>
      <c r="S397" s="55"/>
      <c r="T397" s="56"/>
      <c r="U397" s="34"/>
      <c r="V397" s="34"/>
      <c r="W397" s="34"/>
      <c r="X397" s="34"/>
      <c r="Y397" s="34"/>
      <c r="Z397" s="34"/>
      <c r="AA397" s="34"/>
      <c r="AB397" s="34"/>
      <c r="AC397" s="34"/>
      <c r="AD397" s="34"/>
      <c r="AE397" s="34"/>
      <c r="AT397" s="19" t="s">
        <v>187</v>
      </c>
      <c r="AU397" s="19" t="s">
        <v>87</v>
      </c>
    </row>
    <row r="398" spans="1:65" s="2" customFormat="1">
      <c r="A398" s="34"/>
      <c r="B398" s="35"/>
      <c r="C398" s="34"/>
      <c r="D398" s="158" t="s">
        <v>189</v>
      </c>
      <c r="E398" s="34"/>
      <c r="F398" s="159" t="s">
        <v>676</v>
      </c>
      <c r="G398" s="34"/>
      <c r="H398" s="34"/>
      <c r="I398" s="155"/>
      <c r="J398" s="34"/>
      <c r="K398" s="34"/>
      <c r="L398" s="35"/>
      <c r="M398" s="156"/>
      <c r="N398" s="157"/>
      <c r="O398" s="55"/>
      <c r="P398" s="55"/>
      <c r="Q398" s="55"/>
      <c r="R398" s="55"/>
      <c r="S398" s="55"/>
      <c r="T398" s="56"/>
      <c r="U398" s="34"/>
      <c r="V398" s="34"/>
      <c r="W398" s="34"/>
      <c r="X398" s="34"/>
      <c r="Y398" s="34"/>
      <c r="Z398" s="34"/>
      <c r="AA398" s="34"/>
      <c r="AB398" s="34"/>
      <c r="AC398" s="34"/>
      <c r="AD398" s="34"/>
      <c r="AE398" s="34"/>
      <c r="AT398" s="19" t="s">
        <v>189</v>
      </c>
      <c r="AU398" s="19" t="s">
        <v>87</v>
      </c>
    </row>
    <row r="399" spans="1:65" s="2" customFormat="1" ht="29.25">
      <c r="A399" s="34"/>
      <c r="B399" s="35"/>
      <c r="C399" s="34"/>
      <c r="D399" s="153" t="s">
        <v>191</v>
      </c>
      <c r="E399" s="34"/>
      <c r="F399" s="160" t="s">
        <v>671</v>
      </c>
      <c r="G399" s="34"/>
      <c r="H399" s="34"/>
      <c r="I399" s="155"/>
      <c r="J399" s="34"/>
      <c r="K399" s="34"/>
      <c r="L399" s="35"/>
      <c r="M399" s="156"/>
      <c r="N399" s="157"/>
      <c r="O399" s="55"/>
      <c r="P399" s="55"/>
      <c r="Q399" s="55"/>
      <c r="R399" s="55"/>
      <c r="S399" s="55"/>
      <c r="T399" s="56"/>
      <c r="U399" s="34"/>
      <c r="V399" s="34"/>
      <c r="W399" s="34"/>
      <c r="X399" s="34"/>
      <c r="Y399" s="34"/>
      <c r="Z399" s="34"/>
      <c r="AA399" s="34"/>
      <c r="AB399" s="34"/>
      <c r="AC399" s="34"/>
      <c r="AD399" s="34"/>
      <c r="AE399" s="34"/>
      <c r="AT399" s="19" t="s">
        <v>191</v>
      </c>
      <c r="AU399" s="19" t="s">
        <v>87</v>
      </c>
    </row>
    <row r="400" spans="1:65" s="2" customFormat="1" ht="16.5" customHeight="1">
      <c r="A400" s="34"/>
      <c r="B400" s="139"/>
      <c r="C400" s="140" t="s">
        <v>1190</v>
      </c>
      <c r="D400" s="140" t="s">
        <v>180</v>
      </c>
      <c r="E400" s="141" t="s">
        <v>677</v>
      </c>
      <c r="F400" s="142" t="s">
        <v>678</v>
      </c>
      <c r="G400" s="143" t="s">
        <v>332</v>
      </c>
      <c r="H400" s="144">
        <v>533.5</v>
      </c>
      <c r="I400" s="145"/>
      <c r="J400" s="146">
        <f>ROUND(I400*H400,2)</f>
        <v>0</v>
      </c>
      <c r="K400" s="142" t="s">
        <v>184</v>
      </c>
      <c r="L400" s="35"/>
      <c r="M400" s="147" t="s">
        <v>3</v>
      </c>
      <c r="N400" s="148" t="s">
        <v>48</v>
      </c>
      <c r="O400" s="55"/>
      <c r="P400" s="149">
        <f>O400*H400</f>
        <v>0</v>
      </c>
      <c r="Q400" s="149">
        <v>0</v>
      </c>
      <c r="R400" s="149">
        <f>Q400*H400</f>
        <v>0</v>
      </c>
      <c r="S400" s="149">
        <v>0</v>
      </c>
      <c r="T400" s="150">
        <f>S400*H400</f>
        <v>0</v>
      </c>
      <c r="U400" s="34"/>
      <c r="V400" s="34"/>
      <c r="W400" s="34"/>
      <c r="X400" s="34"/>
      <c r="Y400" s="34"/>
      <c r="Z400" s="34"/>
      <c r="AA400" s="34"/>
      <c r="AB400" s="34"/>
      <c r="AC400" s="34"/>
      <c r="AD400" s="34"/>
      <c r="AE400" s="34"/>
      <c r="AR400" s="151" t="s">
        <v>185</v>
      </c>
      <c r="AT400" s="151" t="s">
        <v>180</v>
      </c>
      <c r="AU400" s="151" t="s">
        <v>87</v>
      </c>
      <c r="AY400" s="19" t="s">
        <v>177</v>
      </c>
      <c r="BE400" s="152">
        <f>IF(N400="základní",J400,0)</f>
        <v>0</v>
      </c>
      <c r="BF400" s="152">
        <f>IF(N400="snížená",J400,0)</f>
        <v>0</v>
      </c>
      <c r="BG400" s="152">
        <f>IF(N400="zákl. přenesená",J400,0)</f>
        <v>0</v>
      </c>
      <c r="BH400" s="152">
        <f>IF(N400="sníž. přenesená",J400,0)</f>
        <v>0</v>
      </c>
      <c r="BI400" s="152">
        <f>IF(N400="nulová",J400,0)</f>
        <v>0</v>
      </c>
      <c r="BJ400" s="19" t="s">
        <v>85</v>
      </c>
      <c r="BK400" s="152">
        <f>ROUND(I400*H400,2)</f>
        <v>0</v>
      </c>
      <c r="BL400" s="19" t="s">
        <v>185</v>
      </c>
      <c r="BM400" s="151" t="s">
        <v>2602</v>
      </c>
    </row>
    <row r="401" spans="1:65" s="2" customFormat="1">
      <c r="A401" s="34"/>
      <c r="B401" s="35"/>
      <c r="C401" s="34"/>
      <c r="D401" s="153" t="s">
        <v>187</v>
      </c>
      <c r="E401" s="34"/>
      <c r="F401" s="154" t="s">
        <v>680</v>
      </c>
      <c r="G401" s="34"/>
      <c r="H401" s="34"/>
      <c r="I401" s="155"/>
      <c r="J401" s="34"/>
      <c r="K401" s="34"/>
      <c r="L401" s="35"/>
      <c r="M401" s="156"/>
      <c r="N401" s="157"/>
      <c r="O401" s="55"/>
      <c r="P401" s="55"/>
      <c r="Q401" s="55"/>
      <c r="R401" s="55"/>
      <c r="S401" s="55"/>
      <c r="T401" s="56"/>
      <c r="U401" s="34"/>
      <c r="V401" s="34"/>
      <c r="W401" s="34"/>
      <c r="X401" s="34"/>
      <c r="Y401" s="34"/>
      <c r="Z401" s="34"/>
      <c r="AA401" s="34"/>
      <c r="AB401" s="34"/>
      <c r="AC401" s="34"/>
      <c r="AD401" s="34"/>
      <c r="AE401" s="34"/>
      <c r="AT401" s="19" t="s">
        <v>187</v>
      </c>
      <c r="AU401" s="19" t="s">
        <v>87</v>
      </c>
    </row>
    <row r="402" spans="1:65" s="2" customFormat="1">
      <c r="A402" s="34"/>
      <c r="B402" s="35"/>
      <c r="C402" s="34"/>
      <c r="D402" s="158" t="s">
        <v>189</v>
      </c>
      <c r="E402" s="34"/>
      <c r="F402" s="159" t="s">
        <v>681</v>
      </c>
      <c r="G402" s="34"/>
      <c r="H402" s="34"/>
      <c r="I402" s="155"/>
      <c r="J402" s="34"/>
      <c r="K402" s="34"/>
      <c r="L402" s="35"/>
      <c r="M402" s="156"/>
      <c r="N402" s="157"/>
      <c r="O402" s="55"/>
      <c r="P402" s="55"/>
      <c r="Q402" s="55"/>
      <c r="R402" s="55"/>
      <c r="S402" s="55"/>
      <c r="T402" s="56"/>
      <c r="U402" s="34"/>
      <c r="V402" s="34"/>
      <c r="W402" s="34"/>
      <c r="X402" s="34"/>
      <c r="Y402" s="34"/>
      <c r="Z402" s="34"/>
      <c r="AA402" s="34"/>
      <c r="AB402" s="34"/>
      <c r="AC402" s="34"/>
      <c r="AD402" s="34"/>
      <c r="AE402" s="34"/>
      <c r="AT402" s="19" t="s">
        <v>189</v>
      </c>
      <c r="AU402" s="19" t="s">
        <v>87</v>
      </c>
    </row>
    <row r="403" spans="1:65" s="2" customFormat="1" ht="21.75" customHeight="1">
      <c r="A403" s="34"/>
      <c r="B403" s="139"/>
      <c r="C403" s="140" t="s">
        <v>1192</v>
      </c>
      <c r="D403" s="140" t="s">
        <v>180</v>
      </c>
      <c r="E403" s="141" t="s">
        <v>682</v>
      </c>
      <c r="F403" s="142" t="s">
        <v>683</v>
      </c>
      <c r="G403" s="143" t="s">
        <v>332</v>
      </c>
      <c r="H403" s="144">
        <v>150</v>
      </c>
      <c r="I403" s="145"/>
      <c r="J403" s="146">
        <f>ROUND(I403*H403,2)</f>
        <v>0</v>
      </c>
      <c r="K403" s="142" t="s">
        <v>184</v>
      </c>
      <c r="L403" s="35"/>
      <c r="M403" s="147" t="s">
        <v>3</v>
      </c>
      <c r="N403" s="148" t="s">
        <v>48</v>
      </c>
      <c r="O403" s="55"/>
      <c r="P403" s="149">
        <f>O403*H403</f>
        <v>0</v>
      </c>
      <c r="Q403" s="149">
        <v>1.2999999999999999E-4</v>
      </c>
      <c r="R403" s="149">
        <f>Q403*H403</f>
        <v>1.95E-2</v>
      </c>
      <c r="S403" s="149">
        <v>0</v>
      </c>
      <c r="T403" s="150">
        <f>S403*H403</f>
        <v>0</v>
      </c>
      <c r="U403" s="34"/>
      <c r="V403" s="34"/>
      <c r="W403" s="34"/>
      <c r="X403" s="34"/>
      <c r="Y403" s="34"/>
      <c r="Z403" s="34"/>
      <c r="AA403" s="34"/>
      <c r="AB403" s="34"/>
      <c r="AC403" s="34"/>
      <c r="AD403" s="34"/>
      <c r="AE403" s="34"/>
      <c r="AR403" s="151" t="s">
        <v>185</v>
      </c>
      <c r="AT403" s="151" t="s">
        <v>180</v>
      </c>
      <c r="AU403" s="151" t="s">
        <v>87</v>
      </c>
      <c r="AY403" s="19" t="s">
        <v>177</v>
      </c>
      <c r="BE403" s="152">
        <f>IF(N403="základní",J403,0)</f>
        <v>0</v>
      </c>
      <c r="BF403" s="152">
        <f>IF(N403="snížená",J403,0)</f>
        <v>0</v>
      </c>
      <c r="BG403" s="152">
        <f>IF(N403="zákl. přenesená",J403,0)</f>
        <v>0</v>
      </c>
      <c r="BH403" s="152">
        <f>IF(N403="sníž. přenesená",J403,0)</f>
        <v>0</v>
      </c>
      <c r="BI403" s="152">
        <f>IF(N403="nulová",J403,0)</f>
        <v>0</v>
      </c>
      <c r="BJ403" s="19" t="s">
        <v>85</v>
      </c>
      <c r="BK403" s="152">
        <f>ROUND(I403*H403,2)</f>
        <v>0</v>
      </c>
      <c r="BL403" s="19" t="s">
        <v>185</v>
      </c>
      <c r="BM403" s="151" t="s">
        <v>2603</v>
      </c>
    </row>
    <row r="404" spans="1:65" s="2" customFormat="1">
      <c r="A404" s="34"/>
      <c r="B404" s="35"/>
      <c r="C404" s="34"/>
      <c r="D404" s="153" t="s">
        <v>187</v>
      </c>
      <c r="E404" s="34"/>
      <c r="F404" s="154" t="s">
        <v>685</v>
      </c>
      <c r="G404" s="34"/>
      <c r="H404" s="34"/>
      <c r="I404" s="155"/>
      <c r="J404" s="34"/>
      <c r="K404" s="34"/>
      <c r="L404" s="35"/>
      <c r="M404" s="156"/>
      <c r="N404" s="157"/>
      <c r="O404" s="55"/>
      <c r="P404" s="55"/>
      <c r="Q404" s="55"/>
      <c r="R404" s="55"/>
      <c r="S404" s="55"/>
      <c r="T404" s="56"/>
      <c r="U404" s="34"/>
      <c r="V404" s="34"/>
      <c r="W404" s="34"/>
      <c r="X404" s="34"/>
      <c r="Y404" s="34"/>
      <c r="Z404" s="34"/>
      <c r="AA404" s="34"/>
      <c r="AB404" s="34"/>
      <c r="AC404" s="34"/>
      <c r="AD404" s="34"/>
      <c r="AE404" s="34"/>
      <c r="AT404" s="19" t="s">
        <v>187</v>
      </c>
      <c r="AU404" s="19" t="s">
        <v>87</v>
      </c>
    </row>
    <row r="405" spans="1:65" s="2" customFormat="1">
      <c r="A405" s="34"/>
      <c r="B405" s="35"/>
      <c r="C405" s="34"/>
      <c r="D405" s="158" t="s">
        <v>189</v>
      </c>
      <c r="E405" s="34"/>
      <c r="F405" s="159" t="s">
        <v>686</v>
      </c>
      <c r="G405" s="34"/>
      <c r="H405" s="34"/>
      <c r="I405" s="155"/>
      <c r="J405" s="34"/>
      <c r="K405" s="34"/>
      <c r="L405" s="35"/>
      <c r="M405" s="156"/>
      <c r="N405" s="157"/>
      <c r="O405" s="55"/>
      <c r="P405" s="55"/>
      <c r="Q405" s="55"/>
      <c r="R405" s="55"/>
      <c r="S405" s="55"/>
      <c r="T405" s="56"/>
      <c r="U405" s="34"/>
      <c r="V405" s="34"/>
      <c r="W405" s="34"/>
      <c r="X405" s="34"/>
      <c r="Y405" s="34"/>
      <c r="Z405" s="34"/>
      <c r="AA405" s="34"/>
      <c r="AB405" s="34"/>
      <c r="AC405" s="34"/>
      <c r="AD405" s="34"/>
      <c r="AE405" s="34"/>
      <c r="AT405" s="19" t="s">
        <v>189</v>
      </c>
      <c r="AU405" s="19" t="s">
        <v>87</v>
      </c>
    </row>
    <row r="406" spans="1:65" s="2" customFormat="1" ht="48.75">
      <c r="A406" s="34"/>
      <c r="B406" s="35"/>
      <c r="C406" s="34"/>
      <c r="D406" s="153" t="s">
        <v>191</v>
      </c>
      <c r="E406" s="34"/>
      <c r="F406" s="160" t="s">
        <v>336</v>
      </c>
      <c r="G406" s="34"/>
      <c r="H406" s="34"/>
      <c r="I406" s="155"/>
      <c r="J406" s="34"/>
      <c r="K406" s="34"/>
      <c r="L406" s="35"/>
      <c r="M406" s="156"/>
      <c r="N406" s="157"/>
      <c r="O406" s="55"/>
      <c r="P406" s="55"/>
      <c r="Q406" s="55"/>
      <c r="R406" s="55"/>
      <c r="S406" s="55"/>
      <c r="T406" s="56"/>
      <c r="U406" s="34"/>
      <c r="V406" s="34"/>
      <c r="W406" s="34"/>
      <c r="X406" s="34"/>
      <c r="Y406" s="34"/>
      <c r="Z406" s="34"/>
      <c r="AA406" s="34"/>
      <c r="AB406" s="34"/>
      <c r="AC406" s="34"/>
      <c r="AD406" s="34"/>
      <c r="AE406" s="34"/>
      <c r="AT406" s="19" t="s">
        <v>191</v>
      </c>
      <c r="AU406" s="19" t="s">
        <v>87</v>
      </c>
    </row>
    <row r="407" spans="1:65" s="2" customFormat="1" ht="16.5" customHeight="1">
      <c r="A407" s="34"/>
      <c r="B407" s="139"/>
      <c r="C407" s="140" t="s">
        <v>1195</v>
      </c>
      <c r="D407" s="140" t="s">
        <v>180</v>
      </c>
      <c r="E407" s="141" t="s">
        <v>339</v>
      </c>
      <c r="F407" s="142" t="s">
        <v>340</v>
      </c>
      <c r="G407" s="143" t="s">
        <v>332</v>
      </c>
      <c r="H407" s="144">
        <v>110</v>
      </c>
      <c r="I407" s="145"/>
      <c r="J407" s="146">
        <f>ROUND(I407*H407,2)</f>
        <v>0</v>
      </c>
      <c r="K407" s="142" t="s">
        <v>184</v>
      </c>
      <c r="L407" s="35"/>
      <c r="M407" s="147" t="s">
        <v>3</v>
      </c>
      <c r="N407" s="148" t="s">
        <v>48</v>
      </c>
      <c r="O407" s="55"/>
      <c r="P407" s="149">
        <f>O407*H407</f>
        <v>0</v>
      </c>
      <c r="Q407" s="149">
        <v>3.4999999999999997E-5</v>
      </c>
      <c r="R407" s="149">
        <f>Q407*H407</f>
        <v>3.8499999999999997E-3</v>
      </c>
      <c r="S407" s="149">
        <v>0</v>
      </c>
      <c r="T407" s="150">
        <f>S407*H407</f>
        <v>0</v>
      </c>
      <c r="U407" s="34"/>
      <c r="V407" s="34"/>
      <c r="W407" s="34"/>
      <c r="X407" s="34"/>
      <c r="Y407" s="34"/>
      <c r="Z407" s="34"/>
      <c r="AA407" s="34"/>
      <c r="AB407" s="34"/>
      <c r="AC407" s="34"/>
      <c r="AD407" s="34"/>
      <c r="AE407" s="34"/>
      <c r="AR407" s="151" t="s">
        <v>185</v>
      </c>
      <c r="AT407" s="151" t="s">
        <v>180</v>
      </c>
      <c r="AU407" s="151" t="s">
        <v>87</v>
      </c>
      <c r="AY407" s="19" t="s">
        <v>177</v>
      </c>
      <c r="BE407" s="152">
        <f>IF(N407="základní",J407,0)</f>
        <v>0</v>
      </c>
      <c r="BF407" s="152">
        <f>IF(N407="snížená",J407,0)</f>
        <v>0</v>
      </c>
      <c r="BG407" s="152">
        <f>IF(N407="zákl. přenesená",J407,0)</f>
        <v>0</v>
      </c>
      <c r="BH407" s="152">
        <f>IF(N407="sníž. přenesená",J407,0)</f>
        <v>0</v>
      </c>
      <c r="BI407" s="152">
        <f>IF(N407="nulová",J407,0)</f>
        <v>0</v>
      </c>
      <c r="BJ407" s="19" t="s">
        <v>85</v>
      </c>
      <c r="BK407" s="152">
        <f>ROUND(I407*H407,2)</f>
        <v>0</v>
      </c>
      <c r="BL407" s="19" t="s">
        <v>185</v>
      </c>
      <c r="BM407" s="151" t="s">
        <v>2604</v>
      </c>
    </row>
    <row r="408" spans="1:65" s="2" customFormat="1">
      <c r="A408" s="34"/>
      <c r="B408" s="35"/>
      <c r="C408" s="34"/>
      <c r="D408" s="153" t="s">
        <v>187</v>
      </c>
      <c r="E408" s="34"/>
      <c r="F408" s="154" t="s">
        <v>342</v>
      </c>
      <c r="G408" s="34"/>
      <c r="H408" s="34"/>
      <c r="I408" s="155"/>
      <c r="J408" s="34"/>
      <c r="K408" s="34"/>
      <c r="L408" s="35"/>
      <c r="M408" s="156"/>
      <c r="N408" s="157"/>
      <c r="O408" s="55"/>
      <c r="P408" s="55"/>
      <c r="Q408" s="55"/>
      <c r="R408" s="55"/>
      <c r="S408" s="55"/>
      <c r="T408" s="56"/>
      <c r="U408" s="34"/>
      <c r="V408" s="34"/>
      <c r="W408" s="34"/>
      <c r="X408" s="34"/>
      <c r="Y408" s="34"/>
      <c r="Z408" s="34"/>
      <c r="AA408" s="34"/>
      <c r="AB408" s="34"/>
      <c r="AC408" s="34"/>
      <c r="AD408" s="34"/>
      <c r="AE408" s="34"/>
      <c r="AT408" s="19" t="s">
        <v>187</v>
      </c>
      <c r="AU408" s="19" t="s">
        <v>87</v>
      </c>
    </row>
    <row r="409" spans="1:65" s="2" customFormat="1">
      <c r="A409" s="34"/>
      <c r="B409" s="35"/>
      <c r="C409" s="34"/>
      <c r="D409" s="158" t="s">
        <v>189</v>
      </c>
      <c r="E409" s="34"/>
      <c r="F409" s="159" t="s">
        <v>343</v>
      </c>
      <c r="G409" s="34"/>
      <c r="H409" s="34"/>
      <c r="I409" s="155"/>
      <c r="J409" s="34"/>
      <c r="K409" s="34"/>
      <c r="L409" s="35"/>
      <c r="M409" s="156"/>
      <c r="N409" s="157"/>
      <c r="O409" s="55"/>
      <c r="P409" s="55"/>
      <c r="Q409" s="55"/>
      <c r="R409" s="55"/>
      <c r="S409" s="55"/>
      <c r="T409" s="56"/>
      <c r="U409" s="34"/>
      <c r="V409" s="34"/>
      <c r="W409" s="34"/>
      <c r="X409" s="34"/>
      <c r="Y409" s="34"/>
      <c r="Z409" s="34"/>
      <c r="AA409" s="34"/>
      <c r="AB409" s="34"/>
      <c r="AC409" s="34"/>
      <c r="AD409" s="34"/>
      <c r="AE409" s="34"/>
      <c r="AT409" s="19" t="s">
        <v>189</v>
      </c>
      <c r="AU409" s="19" t="s">
        <v>87</v>
      </c>
    </row>
    <row r="410" spans="1:65" s="2" customFormat="1" ht="165.75">
      <c r="A410" s="34"/>
      <c r="B410" s="35"/>
      <c r="C410" s="34"/>
      <c r="D410" s="153" t="s">
        <v>191</v>
      </c>
      <c r="E410" s="34"/>
      <c r="F410" s="160" t="s">
        <v>344</v>
      </c>
      <c r="G410" s="34"/>
      <c r="H410" s="34"/>
      <c r="I410" s="155"/>
      <c r="J410" s="34"/>
      <c r="K410" s="34"/>
      <c r="L410" s="35"/>
      <c r="M410" s="156"/>
      <c r="N410" s="157"/>
      <c r="O410" s="55"/>
      <c r="P410" s="55"/>
      <c r="Q410" s="55"/>
      <c r="R410" s="55"/>
      <c r="S410" s="55"/>
      <c r="T410" s="56"/>
      <c r="U410" s="34"/>
      <c r="V410" s="34"/>
      <c r="W410" s="34"/>
      <c r="X410" s="34"/>
      <c r="Y410" s="34"/>
      <c r="Z410" s="34"/>
      <c r="AA410" s="34"/>
      <c r="AB410" s="34"/>
      <c r="AC410" s="34"/>
      <c r="AD410" s="34"/>
      <c r="AE410" s="34"/>
      <c r="AT410" s="19" t="s">
        <v>191</v>
      </c>
      <c r="AU410" s="19" t="s">
        <v>87</v>
      </c>
    </row>
    <row r="411" spans="1:65" s="13" customFormat="1">
      <c r="B411" s="161"/>
      <c r="D411" s="153" t="s">
        <v>193</v>
      </c>
      <c r="E411" s="162" t="s">
        <v>3</v>
      </c>
      <c r="F411" s="163" t="s">
        <v>2605</v>
      </c>
      <c r="H411" s="164">
        <v>110</v>
      </c>
      <c r="I411" s="165"/>
      <c r="L411" s="161"/>
      <c r="M411" s="166"/>
      <c r="N411" s="167"/>
      <c r="O411" s="167"/>
      <c r="P411" s="167"/>
      <c r="Q411" s="167"/>
      <c r="R411" s="167"/>
      <c r="S411" s="167"/>
      <c r="T411" s="168"/>
      <c r="AT411" s="162" t="s">
        <v>193</v>
      </c>
      <c r="AU411" s="162" t="s">
        <v>87</v>
      </c>
      <c r="AV411" s="13" t="s">
        <v>87</v>
      </c>
      <c r="AW411" s="13" t="s">
        <v>36</v>
      </c>
      <c r="AX411" s="13" t="s">
        <v>85</v>
      </c>
      <c r="AY411" s="162" t="s">
        <v>177</v>
      </c>
    </row>
    <row r="412" spans="1:65" s="2" customFormat="1" ht="16.5" customHeight="1">
      <c r="A412" s="34"/>
      <c r="B412" s="139"/>
      <c r="C412" s="140" t="s">
        <v>1203</v>
      </c>
      <c r="D412" s="140" t="s">
        <v>180</v>
      </c>
      <c r="E412" s="141" t="s">
        <v>2606</v>
      </c>
      <c r="F412" s="142" t="s">
        <v>2607</v>
      </c>
      <c r="G412" s="143" t="s">
        <v>236</v>
      </c>
      <c r="H412" s="144">
        <v>155.19999999999999</v>
      </c>
      <c r="I412" s="145"/>
      <c r="J412" s="146">
        <f>ROUND(I412*H412,2)</f>
        <v>0</v>
      </c>
      <c r="K412" s="142" t="s">
        <v>184</v>
      </c>
      <c r="L412" s="35"/>
      <c r="M412" s="147" t="s">
        <v>3</v>
      </c>
      <c r="N412" s="148" t="s">
        <v>48</v>
      </c>
      <c r="O412" s="55"/>
      <c r="P412" s="149">
        <f>O412*H412</f>
        <v>0</v>
      </c>
      <c r="Q412" s="149">
        <v>9.0059999999999998E-6</v>
      </c>
      <c r="R412" s="149">
        <f>Q412*H412</f>
        <v>1.3977311999999998E-3</v>
      </c>
      <c r="S412" s="149">
        <v>0</v>
      </c>
      <c r="T412" s="150">
        <f>S412*H412</f>
        <v>0</v>
      </c>
      <c r="U412" s="34"/>
      <c r="V412" s="34"/>
      <c r="W412" s="34"/>
      <c r="X412" s="34"/>
      <c r="Y412" s="34"/>
      <c r="Z412" s="34"/>
      <c r="AA412" s="34"/>
      <c r="AB412" s="34"/>
      <c r="AC412" s="34"/>
      <c r="AD412" s="34"/>
      <c r="AE412" s="34"/>
      <c r="AR412" s="151" t="s">
        <v>185</v>
      </c>
      <c r="AT412" s="151" t="s">
        <v>180</v>
      </c>
      <c r="AU412" s="151" t="s">
        <v>87</v>
      </c>
      <c r="AY412" s="19" t="s">
        <v>177</v>
      </c>
      <c r="BE412" s="152">
        <f>IF(N412="základní",J412,0)</f>
        <v>0</v>
      </c>
      <c r="BF412" s="152">
        <f>IF(N412="snížená",J412,0)</f>
        <v>0</v>
      </c>
      <c r="BG412" s="152">
        <f>IF(N412="zákl. přenesená",J412,0)</f>
        <v>0</v>
      </c>
      <c r="BH412" s="152">
        <f>IF(N412="sníž. přenesená",J412,0)</f>
        <v>0</v>
      </c>
      <c r="BI412" s="152">
        <f>IF(N412="nulová",J412,0)</f>
        <v>0</v>
      </c>
      <c r="BJ412" s="19" t="s">
        <v>85</v>
      </c>
      <c r="BK412" s="152">
        <f>ROUND(I412*H412,2)</f>
        <v>0</v>
      </c>
      <c r="BL412" s="19" t="s">
        <v>185</v>
      </c>
      <c r="BM412" s="151" t="s">
        <v>2608</v>
      </c>
    </row>
    <row r="413" spans="1:65" s="2" customFormat="1">
      <c r="A413" s="34"/>
      <c r="B413" s="35"/>
      <c r="C413" s="34"/>
      <c r="D413" s="153" t="s">
        <v>187</v>
      </c>
      <c r="E413" s="34"/>
      <c r="F413" s="154" t="s">
        <v>2609</v>
      </c>
      <c r="G413" s="34"/>
      <c r="H413" s="34"/>
      <c r="I413" s="155"/>
      <c r="J413" s="34"/>
      <c r="K413" s="34"/>
      <c r="L413" s="35"/>
      <c r="M413" s="156"/>
      <c r="N413" s="157"/>
      <c r="O413" s="55"/>
      <c r="P413" s="55"/>
      <c r="Q413" s="55"/>
      <c r="R413" s="55"/>
      <c r="S413" s="55"/>
      <c r="T413" s="56"/>
      <c r="U413" s="34"/>
      <c r="V413" s="34"/>
      <c r="W413" s="34"/>
      <c r="X413" s="34"/>
      <c r="Y413" s="34"/>
      <c r="Z413" s="34"/>
      <c r="AA413" s="34"/>
      <c r="AB413" s="34"/>
      <c r="AC413" s="34"/>
      <c r="AD413" s="34"/>
      <c r="AE413" s="34"/>
      <c r="AT413" s="19" t="s">
        <v>187</v>
      </c>
      <c r="AU413" s="19" t="s">
        <v>87</v>
      </c>
    </row>
    <row r="414" spans="1:65" s="2" customFormat="1">
      <c r="A414" s="34"/>
      <c r="B414" s="35"/>
      <c r="C414" s="34"/>
      <c r="D414" s="158" t="s">
        <v>189</v>
      </c>
      <c r="E414" s="34"/>
      <c r="F414" s="159" t="s">
        <v>2610</v>
      </c>
      <c r="G414" s="34"/>
      <c r="H414" s="34"/>
      <c r="I414" s="155"/>
      <c r="J414" s="34"/>
      <c r="K414" s="34"/>
      <c r="L414" s="35"/>
      <c r="M414" s="156"/>
      <c r="N414" s="157"/>
      <c r="O414" s="55"/>
      <c r="P414" s="55"/>
      <c r="Q414" s="55"/>
      <c r="R414" s="55"/>
      <c r="S414" s="55"/>
      <c r="T414" s="56"/>
      <c r="U414" s="34"/>
      <c r="V414" s="34"/>
      <c r="W414" s="34"/>
      <c r="X414" s="34"/>
      <c r="Y414" s="34"/>
      <c r="Z414" s="34"/>
      <c r="AA414" s="34"/>
      <c r="AB414" s="34"/>
      <c r="AC414" s="34"/>
      <c r="AD414" s="34"/>
      <c r="AE414" s="34"/>
      <c r="AT414" s="19" t="s">
        <v>189</v>
      </c>
      <c r="AU414" s="19" t="s">
        <v>87</v>
      </c>
    </row>
    <row r="415" spans="1:65" s="2" customFormat="1" ht="87.75">
      <c r="A415" s="34"/>
      <c r="B415" s="35"/>
      <c r="C415" s="34"/>
      <c r="D415" s="153" t="s">
        <v>191</v>
      </c>
      <c r="E415" s="34"/>
      <c r="F415" s="160" t="s">
        <v>2060</v>
      </c>
      <c r="G415" s="34"/>
      <c r="H415" s="34"/>
      <c r="I415" s="155"/>
      <c r="J415" s="34"/>
      <c r="K415" s="34"/>
      <c r="L415" s="35"/>
      <c r="M415" s="156"/>
      <c r="N415" s="157"/>
      <c r="O415" s="55"/>
      <c r="P415" s="55"/>
      <c r="Q415" s="55"/>
      <c r="R415" s="55"/>
      <c r="S415" s="55"/>
      <c r="T415" s="56"/>
      <c r="U415" s="34"/>
      <c r="V415" s="34"/>
      <c r="W415" s="34"/>
      <c r="X415" s="34"/>
      <c r="Y415" s="34"/>
      <c r="Z415" s="34"/>
      <c r="AA415" s="34"/>
      <c r="AB415" s="34"/>
      <c r="AC415" s="34"/>
      <c r="AD415" s="34"/>
      <c r="AE415" s="34"/>
      <c r="AT415" s="19" t="s">
        <v>191</v>
      </c>
      <c r="AU415" s="19" t="s">
        <v>87</v>
      </c>
    </row>
    <row r="416" spans="1:65" s="14" customFormat="1">
      <c r="B416" s="169"/>
      <c r="D416" s="153" t="s">
        <v>193</v>
      </c>
      <c r="E416" s="170" t="s">
        <v>3</v>
      </c>
      <c r="F416" s="171" t="s">
        <v>2611</v>
      </c>
      <c r="H416" s="170" t="s">
        <v>3</v>
      </c>
      <c r="I416" s="172"/>
      <c r="L416" s="169"/>
      <c r="M416" s="173"/>
      <c r="N416" s="174"/>
      <c r="O416" s="174"/>
      <c r="P416" s="174"/>
      <c r="Q416" s="174"/>
      <c r="R416" s="174"/>
      <c r="S416" s="174"/>
      <c r="T416" s="175"/>
      <c r="AT416" s="170" t="s">
        <v>193</v>
      </c>
      <c r="AU416" s="170" t="s">
        <v>87</v>
      </c>
      <c r="AV416" s="14" t="s">
        <v>85</v>
      </c>
      <c r="AW416" s="14" t="s">
        <v>36</v>
      </c>
      <c r="AX416" s="14" t="s">
        <v>77</v>
      </c>
      <c r="AY416" s="170" t="s">
        <v>177</v>
      </c>
    </row>
    <row r="417" spans="1:65" s="13" customFormat="1">
      <c r="B417" s="161"/>
      <c r="D417" s="153" t="s">
        <v>193</v>
      </c>
      <c r="E417" s="162" t="s">
        <v>3</v>
      </c>
      <c r="F417" s="163" t="s">
        <v>2612</v>
      </c>
      <c r="H417" s="164">
        <v>155.19999999999999</v>
      </c>
      <c r="I417" s="165"/>
      <c r="L417" s="161"/>
      <c r="M417" s="166"/>
      <c r="N417" s="167"/>
      <c r="O417" s="167"/>
      <c r="P417" s="167"/>
      <c r="Q417" s="167"/>
      <c r="R417" s="167"/>
      <c r="S417" s="167"/>
      <c r="T417" s="168"/>
      <c r="AT417" s="162" t="s">
        <v>193</v>
      </c>
      <c r="AU417" s="162" t="s">
        <v>87</v>
      </c>
      <c r="AV417" s="13" t="s">
        <v>87</v>
      </c>
      <c r="AW417" s="13" t="s">
        <v>36</v>
      </c>
      <c r="AX417" s="13" t="s">
        <v>85</v>
      </c>
      <c r="AY417" s="162" t="s">
        <v>177</v>
      </c>
    </row>
    <row r="418" spans="1:65" s="2" customFormat="1" ht="16.5" customHeight="1">
      <c r="A418" s="34"/>
      <c r="B418" s="139"/>
      <c r="C418" s="140" t="s">
        <v>1210</v>
      </c>
      <c r="D418" s="140" t="s">
        <v>180</v>
      </c>
      <c r="E418" s="141" t="s">
        <v>2613</v>
      </c>
      <c r="F418" s="142" t="s">
        <v>2614</v>
      </c>
      <c r="G418" s="143" t="s">
        <v>236</v>
      </c>
      <c r="H418" s="144">
        <v>155.19999999999999</v>
      </c>
      <c r="I418" s="145"/>
      <c r="J418" s="146">
        <f>ROUND(I418*H418,2)</f>
        <v>0</v>
      </c>
      <c r="K418" s="142" t="s">
        <v>184</v>
      </c>
      <c r="L418" s="35"/>
      <c r="M418" s="147" t="s">
        <v>3</v>
      </c>
      <c r="N418" s="148" t="s">
        <v>48</v>
      </c>
      <c r="O418" s="55"/>
      <c r="P418" s="149">
        <f>O418*H418</f>
        <v>0</v>
      </c>
      <c r="Q418" s="149">
        <v>1E-4</v>
      </c>
      <c r="R418" s="149">
        <f>Q418*H418</f>
        <v>1.5519999999999999E-2</v>
      </c>
      <c r="S418" s="149">
        <v>0</v>
      </c>
      <c r="T418" s="150">
        <f>S418*H418</f>
        <v>0</v>
      </c>
      <c r="U418" s="34"/>
      <c r="V418" s="34"/>
      <c r="W418" s="34"/>
      <c r="X418" s="34"/>
      <c r="Y418" s="34"/>
      <c r="Z418" s="34"/>
      <c r="AA418" s="34"/>
      <c r="AB418" s="34"/>
      <c r="AC418" s="34"/>
      <c r="AD418" s="34"/>
      <c r="AE418" s="34"/>
      <c r="AR418" s="151" t="s">
        <v>185</v>
      </c>
      <c r="AT418" s="151" t="s">
        <v>180</v>
      </c>
      <c r="AU418" s="151" t="s">
        <v>87</v>
      </c>
      <c r="AY418" s="19" t="s">
        <v>177</v>
      </c>
      <c r="BE418" s="152">
        <f>IF(N418="základní",J418,0)</f>
        <v>0</v>
      </c>
      <c r="BF418" s="152">
        <f>IF(N418="snížená",J418,0)</f>
        <v>0</v>
      </c>
      <c r="BG418" s="152">
        <f>IF(N418="zákl. přenesená",J418,0)</f>
        <v>0</v>
      </c>
      <c r="BH418" s="152">
        <f>IF(N418="sníž. přenesená",J418,0)</f>
        <v>0</v>
      </c>
      <c r="BI418" s="152">
        <f>IF(N418="nulová",J418,0)</f>
        <v>0</v>
      </c>
      <c r="BJ418" s="19" t="s">
        <v>85</v>
      </c>
      <c r="BK418" s="152">
        <f>ROUND(I418*H418,2)</f>
        <v>0</v>
      </c>
      <c r="BL418" s="19" t="s">
        <v>185</v>
      </c>
      <c r="BM418" s="151" t="s">
        <v>2615</v>
      </c>
    </row>
    <row r="419" spans="1:65" s="2" customFormat="1">
      <c r="A419" s="34"/>
      <c r="B419" s="35"/>
      <c r="C419" s="34"/>
      <c r="D419" s="153" t="s">
        <v>187</v>
      </c>
      <c r="E419" s="34"/>
      <c r="F419" s="154" t="s">
        <v>2616</v>
      </c>
      <c r="G419" s="34"/>
      <c r="H419" s="34"/>
      <c r="I419" s="155"/>
      <c r="J419" s="34"/>
      <c r="K419" s="34"/>
      <c r="L419" s="35"/>
      <c r="M419" s="156"/>
      <c r="N419" s="157"/>
      <c r="O419" s="55"/>
      <c r="P419" s="55"/>
      <c r="Q419" s="55"/>
      <c r="R419" s="55"/>
      <c r="S419" s="55"/>
      <c r="T419" s="56"/>
      <c r="U419" s="34"/>
      <c r="V419" s="34"/>
      <c r="W419" s="34"/>
      <c r="X419" s="34"/>
      <c r="Y419" s="34"/>
      <c r="Z419" s="34"/>
      <c r="AA419" s="34"/>
      <c r="AB419" s="34"/>
      <c r="AC419" s="34"/>
      <c r="AD419" s="34"/>
      <c r="AE419" s="34"/>
      <c r="AT419" s="19" t="s">
        <v>187</v>
      </c>
      <c r="AU419" s="19" t="s">
        <v>87</v>
      </c>
    </row>
    <row r="420" spans="1:65" s="2" customFormat="1">
      <c r="A420" s="34"/>
      <c r="B420" s="35"/>
      <c r="C420" s="34"/>
      <c r="D420" s="158" t="s">
        <v>189</v>
      </c>
      <c r="E420" s="34"/>
      <c r="F420" s="159" t="s">
        <v>2617</v>
      </c>
      <c r="G420" s="34"/>
      <c r="H420" s="34"/>
      <c r="I420" s="155"/>
      <c r="J420" s="34"/>
      <c r="K420" s="34"/>
      <c r="L420" s="35"/>
      <c r="M420" s="156"/>
      <c r="N420" s="157"/>
      <c r="O420" s="55"/>
      <c r="P420" s="55"/>
      <c r="Q420" s="55"/>
      <c r="R420" s="55"/>
      <c r="S420" s="55"/>
      <c r="T420" s="56"/>
      <c r="U420" s="34"/>
      <c r="V420" s="34"/>
      <c r="W420" s="34"/>
      <c r="X420" s="34"/>
      <c r="Y420" s="34"/>
      <c r="Z420" s="34"/>
      <c r="AA420" s="34"/>
      <c r="AB420" s="34"/>
      <c r="AC420" s="34"/>
      <c r="AD420" s="34"/>
      <c r="AE420" s="34"/>
      <c r="AT420" s="19" t="s">
        <v>189</v>
      </c>
      <c r="AU420" s="19" t="s">
        <v>87</v>
      </c>
    </row>
    <row r="421" spans="1:65" s="2" customFormat="1" ht="87.75">
      <c r="A421" s="34"/>
      <c r="B421" s="35"/>
      <c r="C421" s="34"/>
      <c r="D421" s="153" t="s">
        <v>191</v>
      </c>
      <c r="E421" s="34"/>
      <c r="F421" s="160" t="s">
        <v>2060</v>
      </c>
      <c r="G421" s="34"/>
      <c r="H421" s="34"/>
      <c r="I421" s="155"/>
      <c r="J421" s="34"/>
      <c r="K421" s="34"/>
      <c r="L421" s="35"/>
      <c r="M421" s="156"/>
      <c r="N421" s="157"/>
      <c r="O421" s="55"/>
      <c r="P421" s="55"/>
      <c r="Q421" s="55"/>
      <c r="R421" s="55"/>
      <c r="S421" s="55"/>
      <c r="T421" s="56"/>
      <c r="U421" s="34"/>
      <c r="V421" s="34"/>
      <c r="W421" s="34"/>
      <c r="X421" s="34"/>
      <c r="Y421" s="34"/>
      <c r="Z421" s="34"/>
      <c r="AA421" s="34"/>
      <c r="AB421" s="34"/>
      <c r="AC421" s="34"/>
      <c r="AD421" s="34"/>
      <c r="AE421" s="34"/>
      <c r="AT421" s="19" t="s">
        <v>191</v>
      </c>
      <c r="AU421" s="19" t="s">
        <v>87</v>
      </c>
    </row>
    <row r="422" spans="1:65" s="2" customFormat="1" ht="16.5" customHeight="1">
      <c r="A422" s="34"/>
      <c r="B422" s="139"/>
      <c r="C422" s="140" t="s">
        <v>1216</v>
      </c>
      <c r="D422" s="140" t="s">
        <v>180</v>
      </c>
      <c r="E422" s="141" t="s">
        <v>2618</v>
      </c>
      <c r="F422" s="142" t="s">
        <v>2619</v>
      </c>
      <c r="G422" s="143" t="s">
        <v>808</v>
      </c>
      <c r="H422" s="144">
        <v>3.008</v>
      </c>
      <c r="I422" s="145"/>
      <c r="J422" s="146">
        <f>ROUND(I422*H422,2)</f>
        <v>0</v>
      </c>
      <c r="K422" s="142" t="s">
        <v>184</v>
      </c>
      <c r="L422" s="35"/>
      <c r="M422" s="147" t="s">
        <v>3</v>
      </c>
      <c r="N422" s="148" t="s">
        <v>48</v>
      </c>
      <c r="O422" s="55"/>
      <c r="P422" s="149">
        <f>O422*H422</f>
        <v>0</v>
      </c>
      <c r="Q422" s="149">
        <v>0</v>
      </c>
      <c r="R422" s="149">
        <f>Q422*H422</f>
        <v>0</v>
      </c>
      <c r="S422" s="149">
        <v>2.4</v>
      </c>
      <c r="T422" s="150">
        <f>S422*H422</f>
        <v>7.2191999999999998</v>
      </c>
      <c r="U422" s="34"/>
      <c r="V422" s="34"/>
      <c r="W422" s="34"/>
      <c r="X422" s="34"/>
      <c r="Y422" s="34"/>
      <c r="Z422" s="34"/>
      <c r="AA422" s="34"/>
      <c r="AB422" s="34"/>
      <c r="AC422" s="34"/>
      <c r="AD422" s="34"/>
      <c r="AE422" s="34"/>
      <c r="AR422" s="151" t="s">
        <v>185</v>
      </c>
      <c r="AT422" s="151" t="s">
        <v>180</v>
      </c>
      <c r="AU422" s="151" t="s">
        <v>87</v>
      </c>
      <c r="AY422" s="19" t="s">
        <v>177</v>
      </c>
      <c r="BE422" s="152">
        <f>IF(N422="základní",J422,0)</f>
        <v>0</v>
      </c>
      <c r="BF422" s="152">
        <f>IF(N422="snížená",J422,0)</f>
        <v>0</v>
      </c>
      <c r="BG422" s="152">
        <f>IF(N422="zákl. přenesená",J422,0)</f>
        <v>0</v>
      </c>
      <c r="BH422" s="152">
        <f>IF(N422="sníž. přenesená",J422,0)</f>
        <v>0</v>
      </c>
      <c r="BI422" s="152">
        <f>IF(N422="nulová",J422,0)</f>
        <v>0</v>
      </c>
      <c r="BJ422" s="19" t="s">
        <v>85</v>
      </c>
      <c r="BK422" s="152">
        <f>ROUND(I422*H422,2)</f>
        <v>0</v>
      </c>
      <c r="BL422" s="19" t="s">
        <v>185</v>
      </c>
      <c r="BM422" s="151" t="s">
        <v>2620</v>
      </c>
    </row>
    <row r="423" spans="1:65" s="2" customFormat="1">
      <c r="A423" s="34"/>
      <c r="B423" s="35"/>
      <c r="C423" s="34"/>
      <c r="D423" s="153" t="s">
        <v>187</v>
      </c>
      <c r="E423" s="34"/>
      <c r="F423" s="154" t="s">
        <v>2621</v>
      </c>
      <c r="G423" s="34"/>
      <c r="H423" s="34"/>
      <c r="I423" s="155"/>
      <c r="J423" s="34"/>
      <c r="K423" s="34"/>
      <c r="L423" s="35"/>
      <c r="M423" s="156"/>
      <c r="N423" s="157"/>
      <c r="O423" s="55"/>
      <c r="P423" s="55"/>
      <c r="Q423" s="55"/>
      <c r="R423" s="55"/>
      <c r="S423" s="55"/>
      <c r="T423" s="56"/>
      <c r="U423" s="34"/>
      <c r="V423" s="34"/>
      <c r="W423" s="34"/>
      <c r="X423" s="34"/>
      <c r="Y423" s="34"/>
      <c r="Z423" s="34"/>
      <c r="AA423" s="34"/>
      <c r="AB423" s="34"/>
      <c r="AC423" s="34"/>
      <c r="AD423" s="34"/>
      <c r="AE423" s="34"/>
      <c r="AT423" s="19" t="s">
        <v>187</v>
      </c>
      <c r="AU423" s="19" t="s">
        <v>87</v>
      </c>
    </row>
    <row r="424" spans="1:65" s="2" customFormat="1">
      <c r="A424" s="34"/>
      <c r="B424" s="35"/>
      <c r="C424" s="34"/>
      <c r="D424" s="158" t="s">
        <v>189</v>
      </c>
      <c r="E424" s="34"/>
      <c r="F424" s="159" t="s">
        <v>2622</v>
      </c>
      <c r="G424" s="34"/>
      <c r="H424" s="34"/>
      <c r="I424" s="155"/>
      <c r="J424" s="34"/>
      <c r="K424" s="34"/>
      <c r="L424" s="35"/>
      <c r="M424" s="156"/>
      <c r="N424" s="157"/>
      <c r="O424" s="55"/>
      <c r="P424" s="55"/>
      <c r="Q424" s="55"/>
      <c r="R424" s="55"/>
      <c r="S424" s="55"/>
      <c r="T424" s="56"/>
      <c r="U424" s="34"/>
      <c r="V424" s="34"/>
      <c r="W424" s="34"/>
      <c r="X424" s="34"/>
      <c r="Y424" s="34"/>
      <c r="Z424" s="34"/>
      <c r="AA424" s="34"/>
      <c r="AB424" s="34"/>
      <c r="AC424" s="34"/>
      <c r="AD424" s="34"/>
      <c r="AE424" s="34"/>
      <c r="AT424" s="19" t="s">
        <v>189</v>
      </c>
      <c r="AU424" s="19" t="s">
        <v>87</v>
      </c>
    </row>
    <row r="425" spans="1:65" s="14" customFormat="1">
      <c r="B425" s="169"/>
      <c r="D425" s="153" t="s">
        <v>193</v>
      </c>
      <c r="E425" s="170" t="s">
        <v>3</v>
      </c>
      <c r="F425" s="171" t="s">
        <v>2623</v>
      </c>
      <c r="H425" s="170" t="s">
        <v>3</v>
      </c>
      <c r="I425" s="172"/>
      <c r="L425" s="169"/>
      <c r="M425" s="173"/>
      <c r="N425" s="174"/>
      <c r="O425" s="174"/>
      <c r="P425" s="174"/>
      <c r="Q425" s="174"/>
      <c r="R425" s="174"/>
      <c r="S425" s="174"/>
      <c r="T425" s="175"/>
      <c r="AT425" s="170" t="s">
        <v>193</v>
      </c>
      <c r="AU425" s="170" t="s">
        <v>87</v>
      </c>
      <c r="AV425" s="14" t="s">
        <v>85</v>
      </c>
      <c r="AW425" s="14" t="s">
        <v>36</v>
      </c>
      <c r="AX425" s="14" t="s">
        <v>77</v>
      </c>
      <c r="AY425" s="170" t="s">
        <v>177</v>
      </c>
    </row>
    <row r="426" spans="1:65" s="13" customFormat="1">
      <c r="B426" s="161"/>
      <c r="D426" s="153" t="s">
        <v>193</v>
      </c>
      <c r="E426" s="162" t="s">
        <v>3</v>
      </c>
      <c r="F426" s="163" t="s">
        <v>2624</v>
      </c>
      <c r="H426" s="164">
        <v>0.99</v>
      </c>
      <c r="I426" s="165"/>
      <c r="L426" s="161"/>
      <c r="M426" s="166"/>
      <c r="N426" s="167"/>
      <c r="O426" s="167"/>
      <c r="P426" s="167"/>
      <c r="Q426" s="167"/>
      <c r="R426" s="167"/>
      <c r="S426" s="167"/>
      <c r="T426" s="168"/>
      <c r="AT426" s="162" t="s">
        <v>193</v>
      </c>
      <c r="AU426" s="162" t="s">
        <v>87</v>
      </c>
      <c r="AV426" s="13" t="s">
        <v>87</v>
      </c>
      <c r="AW426" s="13" t="s">
        <v>36</v>
      </c>
      <c r="AX426" s="13" t="s">
        <v>77</v>
      </c>
      <c r="AY426" s="162" t="s">
        <v>177</v>
      </c>
    </row>
    <row r="427" spans="1:65" s="13" customFormat="1">
      <c r="B427" s="161"/>
      <c r="D427" s="153" t="s">
        <v>193</v>
      </c>
      <c r="E427" s="162" t="s">
        <v>3</v>
      </c>
      <c r="F427" s="163" t="s">
        <v>2625</v>
      </c>
      <c r="H427" s="164">
        <v>0.86399999999999999</v>
      </c>
      <c r="I427" s="165"/>
      <c r="L427" s="161"/>
      <c r="M427" s="166"/>
      <c r="N427" s="167"/>
      <c r="O427" s="167"/>
      <c r="P427" s="167"/>
      <c r="Q427" s="167"/>
      <c r="R427" s="167"/>
      <c r="S427" s="167"/>
      <c r="T427" s="168"/>
      <c r="AT427" s="162" t="s">
        <v>193</v>
      </c>
      <c r="AU427" s="162" t="s">
        <v>87</v>
      </c>
      <c r="AV427" s="13" t="s">
        <v>87</v>
      </c>
      <c r="AW427" s="13" t="s">
        <v>36</v>
      </c>
      <c r="AX427" s="13" t="s">
        <v>77</v>
      </c>
      <c r="AY427" s="162" t="s">
        <v>177</v>
      </c>
    </row>
    <row r="428" spans="1:65" s="13" customFormat="1">
      <c r="B428" s="161"/>
      <c r="D428" s="153" t="s">
        <v>193</v>
      </c>
      <c r="E428" s="162" t="s">
        <v>3</v>
      </c>
      <c r="F428" s="163" t="s">
        <v>2626</v>
      </c>
      <c r="H428" s="164">
        <v>1.1539999999999999</v>
      </c>
      <c r="I428" s="165"/>
      <c r="L428" s="161"/>
      <c r="M428" s="166"/>
      <c r="N428" s="167"/>
      <c r="O428" s="167"/>
      <c r="P428" s="167"/>
      <c r="Q428" s="167"/>
      <c r="R428" s="167"/>
      <c r="S428" s="167"/>
      <c r="T428" s="168"/>
      <c r="AT428" s="162" t="s">
        <v>193</v>
      </c>
      <c r="AU428" s="162" t="s">
        <v>87</v>
      </c>
      <c r="AV428" s="13" t="s">
        <v>87</v>
      </c>
      <c r="AW428" s="13" t="s">
        <v>36</v>
      </c>
      <c r="AX428" s="13" t="s">
        <v>77</v>
      </c>
      <c r="AY428" s="162" t="s">
        <v>177</v>
      </c>
    </row>
    <row r="429" spans="1:65" s="16" customFormat="1">
      <c r="B429" s="184"/>
      <c r="D429" s="153" t="s">
        <v>193</v>
      </c>
      <c r="E429" s="185" t="s">
        <v>3</v>
      </c>
      <c r="F429" s="186" t="s">
        <v>201</v>
      </c>
      <c r="H429" s="187">
        <v>3.008</v>
      </c>
      <c r="I429" s="188"/>
      <c r="L429" s="184"/>
      <c r="M429" s="189"/>
      <c r="N429" s="190"/>
      <c r="O429" s="190"/>
      <c r="P429" s="190"/>
      <c r="Q429" s="190"/>
      <c r="R429" s="190"/>
      <c r="S429" s="190"/>
      <c r="T429" s="191"/>
      <c r="AT429" s="185" t="s">
        <v>193</v>
      </c>
      <c r="AU429" s="185" t="s">
        <v>87</v>
      </c>
      <c r="AV429" s="16" t="s">
        <v>185</v>
      </c>
      <c r="AW429" s="16" t="s">
        <v>36</v>
      </c>
      <c r="AX429" s="16" t="s">
        <v>85</v>
      </c>
      <c r="AY429" s="185" t="s">
        <v>177</v>
      </c>
    </row>
    <row r="430" spans="1:65" s="2" customFormat="1" ht="21.75" customHeight="1">
      <c r="A430" s="34"/>
      <c r="B430" s="139"/>
      <c r="C430" s="140" t="s">
        <v>1224</v>
      </c>
      <c r="D430" s="140" t="s">
        <v>180</v>
      </c>
      <c r="E430" s="141" t="s">
        <v>1496</v>
      </c>
      <c r="F430" s="142" t="s">
        <v>1497</v>
      </c>
      <c r="G430" s="143" t="s">
        <v>808</v>
      </c>
      <c r="H430" s="144">
        <v>3.306</v>
      </c>
      <c r="I430" s="145"/>
      <c r="J430" s="146">
        <f>ROUND(I430*H430,2)</f>
        <v>0</v>
      </c>
      <c r="K430" s="142" t="s">
        <v>184</v>
      </c>
      <c r="L430" s="35"/>
      <c r="M430" s="147" t="s">
        <v>3</v>
      </c>
      <c r="N430" s="148" t="s">
        <v>48</v>
      </c>
      <c r="O430" s="55"/>
      <c r="P430" s="149">
        <f>O430*H430</f>
        <v>0</v>
      </c>
      <c r="Q430" s="149">
        <v>0</v>
      </c>
      <c r="R430" s="149">
        <f>Q430*H430</f>
        <v>0</v>
      </c>
      <c r="S430" s="149">
        <v>2.2000000000000002</v>
      </c>
      <c r="T430" s="150">
        <f>S430*H430</f>
        <v>7.273200000000001</v>
      </c>
      <c r="U430" s="34"/>
      <c r="V430" s="34"/>
      <c r="W430" s="34"/>
      <c r="X430" s="34"/>
      <c r="Y430" s="34"/>
      <c r="Z430" s="34"/>
      <c r="AA430" s="34"/>
      <c r="AB430" s="34"/>
      <c r="AC430" s="34"/>
      <c r="AD430" s="34"/>
      <c r="AE430" s="34"/>
      <c r="AR430" s="151" t="s">
        <v>185</v>
      </c>
      <c r="AT430" s="151" t="s">
        <v>180</v>
      </c>
      <c r="AU430" s="151" t="s">
        <v>87</v>
      </c>
      <c r="AY430" s="19" t="s">
        <v>177</v>
      </c>
      <c r="BE430" s="152">
        <f>IF(N430="základní",J430,0)</f>
        <v>0</v>
      </c>
      <c r="BF430" s="152">
        <f>IF(N430="snížená",J430,0)</f>
        <v>0</v>
      </c>
      <c r="BG430" s="152">
        <f>IF(N430="zákl. přenesená",J430,0)</f>
        <v>0</v>
      </c>
      <c r="BH430" s="152">
        <f>IF(N430="sníž. přenesená",J430,0)</f>
        <v>0</v>
      </c>
      <c r="BI430" s="152">
        <f>IF(N430="nulová",J430,0)</f>
        <v>0</v>
      </c>
      <c r="BJ430" s="19" t="s">
        <v>85</v>
      </c>
      <c r="BK430" s="152">
        <f>ROUND(I430*H430,2)</f>
        <v>0</v>
      </c>
      <c r="BL430" s="19" t="s">
        <v>185</v>
      </c>
      <c r="BM430" s="151" t="s">
        <v>2627</v>
      </c>
    </row>
    <row r="431" spans="1:65" s="2" customFormat="1">
      <c r="A431" s="34"/>
      <c r="B431" s="35"/>
      <c r="C431" s="34"/>
      <c r="D431" s="153" t="s">
        <v>187</v>
      </c>
      <c r="E431" s="34"/>
      <c r="F431" s="154" t="s">
        <v>1499</v>
      </c>
      <c r="G431" s="34"/>
      <c r="H431" s="34"/>
      <c r="I431" s="155"/>
      <c r="J431" s="34"/>
      <c r="K431" s="34"/>
      <c r="L431" s="35"/>
      <c r="M431" s="156"/>
      <c r="N431" s="157"/>
      <c r="O431" s="55"/>
      <c r="P431" s="55"/>
      <c r="Q431" s="55"/>
      <c r="R431" s="55"/>
      <c r="S431" s="55"/>
      <c r="T431" s="56"/>
      <c r="U431" s="34"/>
      <c r="V431" s="34"/>
      <c r="W431" s="34"/>
      <c r="X431" s="34"/>
      <c r="Y431" s="34"/>
      <c r="Z431" s="34"/>
      <c r="AA431" s="34"/>
      <c r="AB431" s="34"/>
      <c r="AC431" s="34"/>
      <c r="AD431" s="34"/>
      <c r="AE431" s="34"/>
      <c r="AT431" s="19" t="s">
        <v>187</v>
      </c>
      <c r="AU431" s="19" t="s">
        <v>87</v>
      </c>
    </row>
    <row r="432" spans="1:65" s="2" customFormat="1">
      <c r="A432" s="34"/>
      <c r="B432" s="35"/>
      <c r="C432" s="34"/>
      <c r="D432" s="158" t="s">
        <v>189</v>
      </c>
      <c r="E432" s="34"/>
      <c r="F432" s="159" t="s">
        <v>1500</v>
      </c>
      <c r="G432" s="34"/>
      <c r="H432" s="34"/>
      <c r="I432" s="155"/>
      <c r="J432" s="34"/>
      <c r="K432" s="34"/>
      <c r="L432" s="35"/>
      <c r="M432" s="156"/>
      <c r="N432" s="157"/>
      <c r="O432" s="55"/>
      <c r="P432" s="55"/>
      <c r="Q432" s="55"/>
      <c r="R432" s="55"/>
      <c r="S432" s="55"/>
      <c r="T432" s="56"/>
      <c r="U432" s="34"/>
      <c r="V432" s="34"/>
      <c r="W432" s="34"/>
      <c r="X432" s="34"/>
      <c r="Y432" s="34"/>
      <c r="Z432" s="34"/>
      <c r="AA432" s="34"/>
      <c r="AB432" s="34"/>
      <c r="AC432" s="34"/>
      <c r="AD432" s="34"/>
      <c r="AE432" s="34"/>
      <c r="AT432" s="19" t="s">
        <v>189</v>
      </c>
      <c r="AU432" s="19" t="s">
        <v>87</v>
      </c>
    </row>
    <row r="433" spans="1:65" s="13" customFormat="1">
      <c r="B433" s="161"/>
      <c r="D433" s="153" t="s">
        <v>193</v>
      </c>
      <c r="E433" s="162" t="s">
        <v>3</v>
      </c>
      <c r="F433" s="163" t="s">
        <v>2628</v>
      </c>
      <c r="H433" s="164">
        <v>1.35</v>
      </c>
      <c r="I433" s="165"/>
      <c r="L433" s="161"/>
      <c r="M433" s="166"/>
      <c r="N433" s="167"/>
      <c r="O433" s="167"/>
      <c r="P433" s="167"/>
      <c r="Q433" s="167"/>
      <c r="R433" s="167"/>
      <c r="S433" s="167"/>
      <c r="T433" s="168"/>
      <c r="AT433" s="162" t="s">
        <v>193</v>
      </c>
      <c r="AU433" s="162" t="s">
        <v>87</v>
      </c>
      <c r="AV433" s="13" t="s">
        <v>87</v>
      </c>
      <c r="AW433" s="13" t="s">
        <v>36</v>
      </c>
      <c r="AX433" s="13" t="s">
        <v>77</v>
      </c>
      <c r="AY433" s="162" t="s">
        <v>177</v>
      </c>
    </row>
    <row r="434" spans="1:65" s="13" customFormat="1">
      <c r="B434" s="161"/>
      <c r="D434" s="153" t="s">
        <v>193</v>
      </c>
      <c r="E434" s="162" t="s">
        <v>3</v>
      </c>
      <c r="F434" s="163" t="s">
        <v>2629</v>
      </c>
      <c r="H434" s="164">
        <v>1.956</v>
      </c>
      <c r="I434" s="165"/>
      <c r="L434" s="161"/>
      <c r="M434" s="166"/>
      <c r="N434" s="167"/>
      <c r="O434" s="167"/>
      <c r="P434" s="167"/>
      <c r="Q434" s="167"/>
      <c r="R434" s="167"/>
      <c r="S434" s="167"/>
      <c r="T434" s="168"/>
      <c r="AT434" s="162" t="s">
        <v>193</v>
      </c>
      <c r="AU434" s="162" t="s">
        <v>87</v>
      </c>
      <c r="AV434" s="13" t="s">
        <v>87</v>
      </c>
      <c r="AW434" s="13" t="s">
        <v>36</v>
      </c>
      <c r="AX434" s="13" t="s">
        <v>77</v>
      </c>
      <c r="AY434" s="162" t="s">
        <v>177</v>
      </c>
    </row>
    <row r="435" spans="1:65" s="16" customFormat="1">
      <c r="B435" s="184"/>
      <c r="D435" s="153" t="s">
        <v>193</v>
      </c>
      <c r="E435" s="185" t="s">
        <v>3</v>
      </c>
      <c r="F435" s="186" t="s">
        <v>201</v>
      </c>
      <c r="H435" s="187">
        <v>3.306</v>
      </c>
      <c r="I435" s="188"/>
      <c r="L435" s="184"/>
      <c r="M435" s="189"/>
      <c r="N435" s="190"/>
      <c r="O435" s="190"/>
      <c r="P435" s="190"/>
      <c r="Q435" s="190"/>
      <c r="R435" s="190"/>
      <c r="S435" s="190"/>
      <c r="T435" s="191"/>
      <c r="AT435" s="185" t="s">
        <v>193</v>
      </c>
      <c r="AU435" s="185" t="s">
        <v>87</v>
      </c>
      <c r="AV435" s="16" t="s">
        <v>185</v>
      </c>
      <c r="AW435" s="16" t="s">
        <v>36</v>
      </c>
      <c r="AX435" s="16" t="s">
        <v>85</v>
      </c>
      <c r="AY435" s="185" t="s">
        <v>177</v>
      </c>
    </row>
    <row r="436" spans="1:65" s="2" customFormat="1" ht="16.5" customHeight="1">
      <c r="A436" s="34"/>
      <c r="B436" s="139"/>
      <c r="C436" s="140" t="s">
        <v>1231</v>
      </c>
      <c r="D436" s="140" t="s">
        <v>180</v>
      </c>
      <c r="E436" s="141" t="s">
        <v>1507</v>
      </c>
      <c r="F436" s="142" t="s">
        <v>1508</v>
      </c>
      <c r="G436" s="143" t="s">
        <v>332</v>
      </c>
      <c r="H436" s="144">
        <v>24.42</v>
      </c>
      <c r="I436" s="145"/>
      <c r="J436" s="146">
        <f>ROUND(I436*H436,2)</f>
        <v>0</v>
      </c>
      <c r="K436" s="142" t="s">
        <v>184</v>
      </c>
      <c r="L436" s="35"/>
      <c r="M436" s="147" t="s">
        <v>3</v>
      </c>
      <c r="N436" s="148" t="s">
        <v>48</v>
      </c>
      <c r="O436" s="55"/>
      <c r="P436" s="149">
        <f>O436*H436</f>
        <v>0</v>
      </c>
      <c r="Q436" s="149">
        <v>0</v>
      </c>
      <c r="R436" s="149">
        <f>Q436*H436</f>
        <v>0</v>
      </c>
      <c r="S436" s="149">
        <v>5.7000000000000002E-2</v>
      </c>
      <c r="T436" s="150">
        <f>S436*H436</f>
        <v>1.3919400000000002</v>
      </c>
      <c r="U436" s="34"/>
      <c r="V436" s="34"/>
      <c r="W436" s="34"/>
      <c r="X436" s="34"/>
      <c r="Y436" s="34"/>
      <c r="Z436" s="34"/>
      <c r="AA436" s="34"/>
      <c r="AB436" s="34"/>
      <c r="AC436" s="34"/>
      <c r="AD436" s="34"/>
      <c r="AE436" s="34"/>
      <c r="AR436" s="151" t="s">
        <v>185</v>
      </c>
      <c r="AT436" s="151" t="s">
        <v>180</v>
      </c>
      <c r="AU436" s="151" t="s">
        <v>87</v>
      </c>
      <c r="AY436" s="19" t="s">
        <v>177</v>
      </c>
      <c r="BE436" s="152">
        <f>IF(N436="základní",J436,0)</f>
        <v>0</v>
      </c>
      <c r="BF436" s="152">
        <f>IF(N436="snížená",J436,0)</f>
        <v>0</v>
      </c>
      <c r="BG436" s="152">
        <f>IF(N436="zákl. přenesená",J436,0)</f>
        <v>0</v>
      </c>
      <c r="BH436" s="152">
        <f>IF(N436="sníž. přenesená",J436,0)</f>
        <v>0</v>
      </c>
      <c r="BI436" s="152">
        <f>IF(N436="nulová",J436,0)</f>
        <v>0</v>
      </c>
      <c r="BJ436" s="19" t="s">
        <v>85</v>
      </c>
      <c r="BK436" s="152">
        <f>ROUND(I436*H436,2)</f>
        <v>0</v>
      </c>
      <c r="BL436" s="19" t="s">
        <v>185</v>
      </c>
      <c r="BM436" s="151" t="s">
        <v>2630</v>
      </c>
    </row>
    <row r="437" spans="1:65" s="2" customFormat="1" ht="19.5">
      <c r="A437" s="34"/>
      <c r="B437" s="35"/>
      <c r="C437" s="34"/>
      <c r="D437" s="153" t="s">
        <v>187</v>
      </c>
      <c r="E437" s="34"/>
      <c r="F437" s="154" t="s">
        <v>1510</v>
      </c>
      <c r="G437" s="34"/>
      <c r="H437" s="34"/>
      <c r="I437" s="155"/>
      <c r="J437" s="34"/>
      <c r="K437" s="34"/>
      <c r="L437" s="35"/>
      <c r="M437" s="156"/>
      <c r="N437" s="157"/>
      <c r="O437" s="55"/>
      <c r="P437" s="55"/>
      <c r="Q437" s="55"/>
      <c r="R437" s="55"/>
      <c r="S437" s="55"/>
      <c r="T437" s="56"/>
      <c r="U437" s="34"/>
      <c r="V437" s="34"/>
      <c r="W437" s="34"/>
      <c r="X437" s="34"/>
      <c r="Y437" s="34"/>
      <c r="Z437" s="34"/>
      <c r="AA437" s="34"/>
      <c r="AB437" s="34"/>
      <c r="AC437" s="34"/>
      <c r="AD437" s="34"/>
      <c r="AE437" s="34"/>
      <c r="AT437" s="19" t="s">
        <v>187</v>
      </c>
      <c r="AU437" s="19" t="s">
        <v>87</v>
      </c>
    </row>
    <row r="438" spans="1:65" s="2" customFormat="1">
      <c r="A438" s="34"/>
      <c r="B438" s="35"/>
      <c r="C438" s="34"/>
      <c r="D438" s="158" t="s">
        <v>189</v>
      </c>
      <c r="E438" s="34"/>
      <c r="F438" s="159" t="s">
        <v>1511</v>
      </c>
      <c r="G438" s="34"/>
      <c r="H438" s="34"/>
      <c r="I438" s="155"/>
      <c r="J438" s="34"/>
      <c r="K438" s="34"/>
      <c r="L438" s="35"/>
      <c r="M438" s="156"/>
      <c r="N438" s="157"/>
      <c r="O438" s="55"/>
      <c r="P438" s="55"/>
      <c r="Q438" s="55"/>
      <c r="R438" s="55"/>
      <c r="S438" s="55"/>
      <c r="T438" s="56"/>
      <c r="U438" s="34"/>
      <c r="V438" s="34"/>
      <c r="W438" s="34"/>
      <c r="X438" s="34"/>
      <c r="Y438" s="34"/>
      <c r="Z438" s="34"/>
      <c r="AA438" s="34"/>
      <c r="AB438" s="34"/>
      <c r="AC438" s="34"/>
      <c r="AD438" s="34"/>
      <c r="AE438" s="34"/>
      <c r="AT438" s="19" t="s">
        <v>189</v>
      </c>
      <c r="AU438" s="19" t="s">
        <v>87</v>
      </c>
    </row>
    <row r="439" spans="1:65" s="2" customFormat="1" ht="29.25">
      <c r="A439" s="34"/>
      <c r="B439" s="35"/>
      <c r="C439" s="34"/>
      <c r="D439" s="153" t="s">
        <v>191</v>
      </c>
      <c r="E439" s="34"/>
      <c r="F439" s="160" t="s">
        <v>1512</v>
      </c>
      <c r="G439" s="34"/>
      <c r="H439" s="34"/>
      <c r="I439" s="155"/>
      <c r="J439" s="34"/>
      <c r="K439" s="34"/>
      <c r="L439" s="35"/>
      <c r="M439" s="156"/>
      <c r="N439" s="157"/>
      <c r="O439" s="55"/>
      <c r="P439" s="55"/>
      <c r="Q439" s="55"/>
      <c r="R439" s="55"/>
      <c r="S439" s="55"/>
      <c r="T439" s="56"/>
      <c r="U439" s="34"/>
      <c r="V439" s="34"/>
      <c r="W439" s="34"/>
      <c r="X439" s="34"/>
      <c r="Y439" s="34"/>
      <c r="Z439" s="34"/>
      <c r="AA439" s="34"/>
      <c r="AB439" s="34"/>
      <c r="AC439" s="34"/>
      <c r="AD439" s="34"/>
      <c r="AE439" s="34"/>
      <c r="AT439" s="19" t="s">
        <v>191</v>
      </c>
      <c r="AU439" s="19" t="s">
        <v>87</v>
      </c>
    </row>
    <row r="440" spans="1:65" s="14" customFormat="1">
      <c r="B440" s="169"/>
      <c r="D440" s="153" t="s">
        <v>193</v>
      </c>
      <c r="E440" s="170" t="s">
        <v>3</v>
      </c>
      <c r="F440" s="171" t="s">
        <v>2332</v>
      </c>
      <c r="H440" s="170" t="s">
        <v>3</v>
      </c>
      <c r="I440" s="172"/>
      <c r="L440" s="169"/>
      <c r="M440" s="173"/>
      <c r="N440" s="174"/>
      <c r="O440" s="174"/>
      <c r="P440" s="174"/>
      <c r="Q440" s="174"/>
      <c r="R440" s="174"/>
      <c r="S440" s="174"/>
      <c r="T440" s="175"/>
      <c r="AT440" s="170" t="s">
        <v>193</v>
      </c>
      <c r="AU440" s="170" t="s">
        <v>87</v>
      </c>
      <c r="AV440" s="14" t="s">
        <v>85</v>
      </c>
      <c r="AW440" s="14" t="s">
        <v>36</v>
      </c>
      <c r="AX440" s="14" t="s">
        <v>77</v>
      </c>
      <c r="AY440" s="170" t="s">
        <v>177</v>
      </c>
    </row>
    <row r="441" spans="1:65" s="13" customFormat="1">
      <c r="B441" s="161"/>
      <c r="D441" s="153" t="s">
        <v>193</v>
      </c>
      <c r="E441" s="162" t="s">
        <v>3</v>
      </c>
      <c r="F441" s="163" t="s">
        <v>2631</v>
      </c>
      <c r="H441" s="164">
        <v>19.559999999999999</v>
      </c>
      <c r="I441" s="165"/>
      <c r="L441" s="161"/>
      <c r="M441" s="166"/>
      <c r="N441" s="167"/>
      <c r="O441" s="167"/>
      <c r="P441" s="167"/>
      <c r="Q441" s="167"/>
      <c r="R441" s="167"/>
      <c r="S441" s="167"/>
      <c r="T441" s="168"/>
      <c r="AT441" s="162" t="s">
        <v>193</v>
      </c>
      <c r="AU441" s="162" t="s">
        <v>87</v>
      </c>
      <c r="AV441" s="13" t="s">
        <v>87</v>
      </c>
      <c r="AW441" s="13" t="s">
        <v>36</v>
      </c>
      <c r="AX441" s="13" t="s">
        <v>77</v>
      </c>
      <c r="AY441" s="162" t="s">
        <v>177</v>
      </c>
    </row>
    <row r="442" spans="1:65" s="13" customFormat="1">
      <c r="B442" s="161"/>
      <c r="D442" s="153" t="s">
        <v>193</v>
      </c>
      <c r="E442" s="162" t="s">
        <v>3</v>
      </c>
      <c r="F442" s="163" t="s">
        <v>2632</v>
      </c>
      <c r="H442" s="164">
        <v>4.8600000000000003</v>
      </c>
      <c r="I442" s="165"/>
      <c r="L442" s="161"/>
      <c r="M442" s="166"/>
      <c r="N442" s="167"/>
      <c r="O442" s="167"/>
      <c r="P442" s="167"/>
      <c r="Q442" s="167"/>
      <c r="R442" s="167"/>
      <c r="S442" s="167"/>
      <c r="T442" s="168"/>
      <c r="AT442" s="162" t="s">
        <v>193</v>
      </c>
      <c r="AU442" s="162" t="s">
        <v>87</v>
      </c>
      <c r="AV442" s="13" t="s">
        <v>87</v>
      </c>
      <c r="AW442" s="13" t="s">
        <v>36</v>
      </c>
      <c r="AX442" s="13" t="s">
        <v>77</v>
      </c>
      <c r="AY442" s="162" t="s">
        <v>177</v>
      </c>
    </row>
    <row r="443" spans="1:65" s="16" customFormat="1">
      <c r="B443" s="184"/>
      <c r="D443" s="153" t="s">
        <v>193</v>
      </c>
      <c r="E443" s="185" t="s">
        <v>3</v>
      </c>
      <c r="F443" s="186" t="s">
        <v>201</v>
      </c>
      <c r="H443" s="187">
        <v>24.42</v>
      </c>
      <c r="I443" s="188"/>
      <c r="L443" s="184"/>
      <c r="M443" s="189"/>
      <c r="N443" s="190"/>
      <c r="O443" s="190"/>
      <c r="P443" s="190"/>
      <c r="Q443" s="190"/>
      <c r="R443" s="190"/>
      <c r="S443" s="190"/>
      <c r="T443" s="191"/>
      <c r="AT443" s="185" t="s">
        <v>193</v>
      </c>
      <c r="AU443" s="185" t="s">
        <v>87</v>
      </c>
      <c r="AV443" s="16" t="s">
        <v>185</v>
      </c>
      <c r="AW443" s="16" t="s">
        <v>36</v>
      </c>
      <c r="AX443" s="16" t="s">
        <v>85</v>
      </c>
      <c r="AY443" s="185" t="s">
        <v>177</v>
      </c>
    </row>
    <row r="444" spans="1:65" s="2" customFormat="1" ht="21.75" customHeight="1">
      <c r="A444" s="34"/>
      <c r="B444" s="139"/>
      <c r="C444" s="140" t="s">
        <v>1235</v>
      </c>
      <c r="D444" s="140" t="s">
        <v>180</v>
      </c>
      <c r="E444" s="141" t="s">
        <v>2633</v>
      </c>
      <c r="F444" s="142" t="s">
        <v>2634</v>
      </c>
      <c r="G444" s="143" t="s">
        <v>332</v>
      </c>
      <c r="H444" s="144">
        <v>9</v>
      </c>
      <c r="I444" s="145"/>
      <c r="J444" s="146">
        <f>ROUND(I444*H444,2)</f>
        <v>0</v>
      </c>
      <c r="K444" s="142" t="s">
        <v>184</v>
      </c>
      <c r="L444" s="35"/>
      <c r="M444" s="147" t="s">
        <v>3</v>
      </c>
      <c r="N444" s="148" t="s">
        <v>48</v>
      </c>
      <c r="O444" s="55"/>
      <c r="P444" s="149">
        <f>O444*H444</f>
        <v>0</v>
      </c>
      <c r="Q444" s="149">
        <v>0</v>
      </c>
      <c r="R444" s="149">
        <f>Q444*H444</f>
        <v>0</v>
      </c>
      <c r="S444" s="149">
        <v>0.12</v>
      </c>
      <c r="T444" s="150">
        <f>S444*H444</f>
        <v>1.08</v>
      </c>
      <c r="U444" s="34"/>
      <c r="V444" s="34"/>
      <c r="W444" s="34"/>
      <c r="X444" s="34"/>
      <c r="Y444" s="34"/>
      <c r="Z444" s="34"/>
      <c r="AA444" s="34"/>
      <c r="AB444" s="34"/>
      <c r="AC444" s="34"/>
      <c r="AD444" s="34"/>
      <c r="AE444" s="34"/>
      <c r="AR444" s="151" t="s">
        <v>185</v>
      </c>
      <c r="AT444" s="151" t="s">
        <v>180</v>
      </c>
      <c r="AU444" s="151" t="s">
        <v>87</v>
      </c>
      <c r="AY444" s="19" t="s">
        <v>177</v>
      </c>
      <c r="BE444" s="152">
        <f>IF(N444="základní",J444,0)</f>
        <v>0</v>
      </c>
      <c r="BF444" s="152">
        <f>IF(N444="snížená",J444,0)</f>
        <v>0</v>
      </c>
      <c r="BG444" s="152">
        <f>IF(N444="zákl. přenesená",J444,0)</f>
        <v>0</v>
      </c>
      <c r="BH444" s="152">
        <f>IF(N444="sníž. přenesená",J444,0)</f>
        <v>0</v>
      </c>
      <c r="BI444" s="152">
        <f>IF(N444="nulová",J444,0)</f>
        <v>0</v>
      </c>
      <c r="BJ444" s="19" t="s">
        <v>85</v>
      </c>
      <c r="BK444" s="152">
        <f>ROUND(I444*H444,2)</f>
        <v>0</v>
      </c>
      <c r="BL444" s="19" t="s">
        <v>185</v>
      </c>
      <c r="BM444" s="151" t="s">
        <v>2635</v>
      </c>
    </row>
    <row r="445" spans="1:65" s="2" customFormat="1" ht="19.5">
      <c r="A445" s="34"/>
      <c r="B445" s="35"/>
      <c r="C445" s="34"/>
      <c r="D445" s="153" t="s">
        <v>187</v>
      </c>
      <c r="E445" s="34"/>
      <c r="F445" s="154" t="s">
        <v>2636</v>
      </c>
      <c r="G445" s="34"/>
      <c r="H445" s="34"/>
      <c r="I445" s="155"/>
      <c r="J445" s="34"/>
      <c r="K445" s="34"/>
      <c r="L445" s="35"/>
      <c r="M445" s="156"/>
      <c r="N445" s="157"/>
      <c r="O445" s="55"/>
      <c r="P445" s="55"/>
      <c r="Q445" s="55"/>
      <c r="R445" s="55"/>
      <c r="S445" s="55"/>
      <c r="T445" s="56"/>
      <c r="U445" s="34"/>
      <c r="V445" s="34"/>
      <c r="W445" s="34"/>
      <c r="X445" s="34"/>
      <c r="Y445" s="34"/>
      <c r="Z445" s="34"/>
      <c r="AA445" s="34"/>
      <c r="AB445" s="34"/>
      <c r="AC445" s="34"/>
      <c r="AD445" s="34"/>
      <c r="AE445" s="34"/>
      <c r="AT445" s="19" t="s">
        <v>187</v>
      </c>
      <c r="AU445" s="19" t="s">
        <v>87</v>
      </c>
    </row>
    <row r="446" spans="1:65" s="2" customFormat="1">
      <c r="A446" s="34"/>
      <c r="B446" s="35"/>
      <c r="C446" s="34"/>
      <c r="D446" s="158" t="s">
        <v>189</v>
      </c>
      <c r="E446" s="34"/>
      <c r="F446" s="159" t="s">
        <v>2637</v>
      </c>
      <c r="G446" s="34"/>
      <c r="H446" s="34"/>
      <c r="I446" s="155"/>
      <c r="J446" s="34"/>
      <c r="K446" s="34"/>
      <c r="L446" s="35"/>
      <c r="M446" s="156"/>
      <c r="N446" s="157"/>
      <c r="O446" s="55"/>
      <c r="P446" s="55"/>
      <c r="Q446" s="55"/>
      <c r="R446" s="55"/>
      <c r="S446" s="55"/>
      <c r="T446" s="56"/>
      <c r="U446" s="34"/>
      <c r="V446" s="34"/>
      <c r="W446" s="34"/>
      <c r="X446" s="34"/>
      <c r="Y446" s="34"/>
      <c r="Z446" s="34"/>
      <c r="AA446" s="34"/>
      <c r="AB446" s="34"/>
      <c r="AC446" s="34"/>
      <c r="AD446" s="34"/>
      <c r="AE446" s="34"/>
      <c r="AT446" s="19" t="s">
        <v>189</v>
      </c>
      <c r="AU446" s="19" t="s">
        <v>87</v>
      </c>
    </row>
    <row r="447" spans="1:65" s="2" customFormat="1" ht="29.25">
      <c r="A447" s="34"/>
      <c r="B447" s="35"/>
      <c r="C447" s="34"/>
      <c r="D447" s="153" t="s">
        <v>191</v>
      </c>
      <c r="E447" s="34"/>
      <c r="F447" s="160" t="s">
        <v>1512</v>
      </c>
      <c r="G447" s="34"/>
      <c r="H447" s="34"/>
      <c r="I447" s="155"/>
      <c r="J447" s="34"/>
      <c r="K447" s="34"/>
      <c r="L447" s="35"/>
      <c r="M447" s="156"/>
      <c r="N447" s="157"/>
      <c r="O447" s="55"/>
      <c r="P447" s="55"/>
      <c r="Q447" s="55"/>
      <c r="R447" s="55"/>
      <c r="S447" s="55"/>
      <c r="T447" s="56"/>
      <c r="U447" s="34"/>
      <c r="V447" s="34"/>
      <c r="W447" s="34"/>
      <c r="X447" s="34"/>
      <c r="Y447" s="34"/>
      <c r="Z447" s="34"/>
      <c r="AA447" s="34"/>
      <c r="AB447" s="34"/>
      <c r="AC447" s="34"/>
      <c r="AD447" s="34"/>
      <c r="AE447" s="34"/>
      <c r="AT447" s="19" t="s">
        <v>191</v>
      </c>
      <c r="AU447" s="19" t="s">
        <v>87</v>
      </c>
    </row>
    <row r="448" spans="1:65" s="14" customFormat="1">
      <c r="B448" s="169"/>
      <c r="D448" s="153" t="s">
        <v>193</v>
      </c>
      <c r="E448" s="170" t="s">
        <v>3</v>
      </c>
      <c r="F448" s="171" t="s">
        <v>2638</v>
      </c>
      <c r="H448" s="170" t="s">
        <v>3</v>
      </c>
      <c r="I448" s="172"/>
      <c r="L448" s="169"/>
      <c r="M448" s="173"/>
      <c r="N448" s="174"/>
      <c r="O448" s="174"/>
      <c r="P448" s="174"/>
      <c r="Q448" s="174"/>
      <c r="R448" s="174"/>
      <c r="S448" s="174"/>
      <c r="T448" s="175"/>
      <c r="AT448" s="170" t="s">
        <v>193</v>
      </c>
      <c r="AU448" s="170" t="s">
        <v>87</v>
      </c>
      <c r="AV448" s="14" t="s">
        <v>85</v>
      </c>
      <c r="AW448" s="14" t="s">
        <v>36</v>
      </c>
      <c r="AX448" s="14" t="s">
        <v>77</v>
      </c>
      <c r="AY448" s="170" t="s">
        <v>177</v>
      </c>
    </row>
    <row r="449" spans="1:65" s="13" customFormat="1">
      <c r="B449" s="161"/>
      <c r="D449" s="153" t="s">
        <v>193</v>
      </c>
      <c r="E449" s="162" t="s">
        <v>3</v>
      </c>
      <c r="F449" s="163" t="s">
        <v>2639</v>
      </c>
      <c r="H449" s="164">
        <v>9</v>
      </c>
      <c r="I449" s="165"/>
      <c r="L449" s="161"/>
      <c r="M449" s="166"/>
      <c r="N449" s="167"/>
      <c r="O449" s="167"/>
      <c r="P449" s="167"/>
      <c r="Q449" s="167"/>
      <c r="R449" s="167"/>
      <c r="S449" s="167"/>
      <c r="T449" s="168"/>
      <c r="AT449" s="162" t="s">
        <v>193</v>
      </c>
      <c r="AU449" s="162" t="s">
        <v>87</v>
      </c>
      <c r="AV449" s="13" t="s">
        <v>87</v>
      </c>
      <c r="AW449" s="13" t="s">
        <v>36</v>
      </c>
      <c r="AX449" s="13" t="s">
        <v>85</v>
      </c>
      <c r="AY449" s="162" t="s">
        <v>177</v>
      </c>
    </row>
    <row r="450" spans="1:65" s="2" customFormat="1" ht="16.5" customHeight="1">
      <c r="A450" s="34"/>
      <c r="B450" s="139"/>
      <c r="C450" s="140" t="s">
        <v>1239</v>
      </c>
      <c r="D450" s="140" t="s">
        <v>180</v>
      </c>
      <c r="E450" s="141" t="s">
        <v>2640</v>
      </c>
      <c r="F450" s="142" t="s">
        <v>2641</v>
      </c>
      <c r="G450" s="143" t="s">
        <v>332</v>
      </c>
      <c r="H450" s="144">
        <v>322.887</v>
      </c>
      <c r="I450" s="145"/>
      <c r="J450" s="146">
        <f>ROUND(I450*H450,2)</f>
        <v>0</v>
      </c>
      <c r="K450" s="142" t="s">
        <v>184</v>
      </c>
      <c r="L450" s="35"/>
      <c r="M450" s="147" t="s">
        <v>3</v>
      </c>
      <c r="N450" s="148" t="s">
        <v>48</v>
      </c>
      <c r="O450" s="55"/>
      <c r="P450" s="149">
        <f>O450*H450</f>
        <v>0</v>
      </c>
      <c r="Q450" s="149">
        <v>0</v>
      </c>
      <c r="R450" s="149">
        <f>Q450*H450</f>
        <v>0</v>
      </c>
      <c r="S450" s="149">
        <v>1.4999999999999999E-2</v>
      </c>
      <c r="T450" s="150">
        <f>S450*H450</f>
        <v>4.843305</v>
      </c>
      <c r="U450" s="34"/>
      <c r="V450" s="34"/>
      <c r="W450" s="34"/>
      <c r="X450" s="34"/>
      <c r="Y450" s="34"/>
      <c r="Z450" s="34"/>
      <c r="AA450" s="34"/>
      <c r="AB450" s="34"/>
      <c r="AC450" s="34"/>
      <c r="AD450" s="34"/>
      <c r="AE450" s="34"/>
      <c r="AR450" s="151" t="s">
        <v>185</v>
      </c>
      <c r="AT450" s="151" t="s">
        <v>180</v>
      </c>
      <c r="AU450" s="151" t="s">
        <v>87</v>
      </c>
      <c r="AY450" s="19" t="s">
        <v>177</v>
      </c>
      <c r="BE450" s="152">
        <f>IF(N450="základní",J450,0)</f>
        <v>0</v>
      </c>
      <c r="BF450" s="152">
        <f>IF(N450="snížená",J450,0)</f>
        <v>0</v>
      </c>
      <c r="BG450" s="152">
        <f>IF(N450="zákl. přenesená",J450,0)</f>
        <v>0</v>
      </c>
      <c r="BH450" s="152">
        <f>IF(N450="sníž. přenesená",J450,0)</f>
        <v>0</v>
      </c>
      <c r="BI450" s="152">
        <f>IF(N450="nulová",J450,0)</f>
        <v>0</v>
      </c>
      <c r="BJ450" s="19" t="s">
        <v>85</v>
      </c>
      <c r="BK450" s="152">
        <f>ROUND(I450*H450,2)</f>
        <v>0</v>
      </c>
      <c r="BL450" s="19" t="s">
        <v>185</v>
      </c>
      <c r="BM450" s="151" t="s">
        <v>2642</v>
      </c>
    </row>
    <row r="451" spans="1:65" s="2" customFormat="1">
      <c r="A451" s="34"/>
      <c r="B451" s="35"/>
      <c r="C451" s="34"/>
      <c r="D451" s="153" t="s">
        <v>187</v>
      </c>
      <c r="E451" s="34"/>
      <c r="F451" s="154" t="s">
        <v>2643</v>
      </c>
      <c r="G451" s="34"/>
      <c r="H451" s="34"/>
      <c r="I451" s="155"/>
      <c r="J451" s="34"/>
      <c r="K451" s="34"/>
      <c r="L451" s="35"/>
      <c r="M451" s="156"/>
      <c r="N451" s="157"/>
      <c r="O451" s="55"/>
      <c r="P451" s="55"/>
      <c r="Q451" s="55"/>
      <c r="R451" s="55"/>
      <c r="S451" s="55"/>
      <c r="T451" s="56"/>
      <c r="U451" s="34"/>
      <c r="V451" s="34"/>
      <c r="W451" s="34"/>
      <c r="X451" s="34"/>
      <c r="Y451" s="34"/>
      <c r="Z451" s="34"/>
      <c r="AA451" s="34"/>
      <c r="AB451" s="34"/>
      <c r="AC451" s="34"/>
      <c r="AD451" s="34"/>
      <c r="AE451" s="34"/>
      <c r="AT451" s="19" t="s">
        <v>187</v>
      </c>
      <c r="AU451" s="19" t="s">
        <v>87</v>
      </c>
    </row>
    <row r="452" spans="1:65" s="2" customFormat="1">
      <c r="A452" s="34"/>
      <c r="B452" s="35"/>
      <c r="C452" s="34"/>
      <c r="D452" s="158" t="s">
        <v>189</v>
      </c>
      <c r="E452" s="34"/>
      <c r="F452" s="159" t="s">
        <v>2644</v>
      </c>
      <c r="G452" s="34"/>
      <c r="H452" s="34"/>
      <c r="I452" s="155"/>
      <c r="J452" s="34"/>
      <c r="K452" s="34"/>
      <c r="L452" s="35"/>
      <c r="M452" s="156"/>
      <c r="N452" s="157"/>
      <c r="O452" s="55"/>
      <c r="P452" s="55"/>
      <c r="Q452" s="55"/>
      <c r="R452" s="55"/>
      <c r="S452" s="55"/>
      <c r="T452" s="56"/>
      <c r="U452" s="34"/>
      <c r="V452" s="34"/>
      <c r="W452" s="34"/>
      <c r="X452" s="34"/>
      <c r="Y452" s="34"/>
      <c r="Z452" s="34"/>
      <c r="AA452" s="34"/>
      <c r="AB452" s="34"/>
      <c r="AC452" s="34"/>
      <c r="AD452" s="34"/>
      <c r="AE452" s="34"/>
      <c r="AT452" s="19" t="s">
        <v>189</v>
      </c>
      <c r="AU452" s="19" t="s">
        <v>87</v>
      </c>
    </row>
    <row r="453" spans="1:65" s="14" customFormat="1">
      <c r="B453" s="169"/>
      <c r="D453" s="153" t="s">
        <v>193</v>
      </c>
      <c r="E453" s="170" t="s">
        <v>3</v>
      </c>
      <c r="F453" s="171" t="s">
        <v>1008</v>
      </c>
      <c r="H453" s="170" t="s">
        <v>3</v>
      </c>
      <c r="I453" s="172"/>
      <c r="L453" s="169"/>
      <c r="M453" s="173"/>
      <c r="N453" s="174"/>
      <c r="O453" s="174"/>
      <c r="P453" s="174"/>
      <c r="Q453" s="174"/>
      <c r="R453" s="174"/>
      <c r="S453" s="174"/>
      <c r="T453" s="175"/>
      <c r="AT453" s="170" t="s">
        <v>193</v>
      </c>
      <c r="AU453" s="170" t="s">
        <v>87</v>
      </c>
      <c r="AV453" s="14" t="s">
        <v>85</v>
      </c>
      <c r="AW453" s="14" t="s">
        <v>36</v>
      </c>
      <c r="AX453" s="14" t="s">
        <v>77</v>
      </c>
      <c r="AY453" s="170" t="s">
        <v>177</v>
      </c>
    </row>
    <row r="454" spans="1:65" s="13" customFormat="1">
      <c r="B454" s="161"/>
      <c r="D454" s="153" t="s">
        <v>193</v>
      </c>
      <c r="E454" s="162" t="s">
        <v>3</v>
      </c>
      <c r="F454" s="163" t="s">
        <v>2645</v>
      </c>
      <c r="H454" s="164">
        <v>65.343000000000004</v>
      </c>
      <c r="I454" s="165"/>
      <c r="L454" s="161"/>
      <c r="M454" s="166"/>
      <c r="N454" s="167"/>
      <c r="O454" s="167"/>
      <c r="P454" s="167"/>
      <c r="Q454" s="167"/>
      <c r="R454" s="167"/>
      <c r="S454" s="167"/>
      <c r="T454" s="168"/>
      <c r="AT454" s="162" t="s">
        <v>193</v>
      </c>
      <c r="AU454" s="162" t="s">
        <v>87</v>
      </c>
      <c r="AV454" s="13" t="s">
        <v>87</v>
      </c>
      <c r="AW454" s="13" t="s">
        <v>36</v>
      </c>
      <c r="AX454" s="13" t="s">
        <v>77</v>
      </c>
      <c r="AY454" s="162" t="s">
        <v>177</v>
      </c>
    </row>
    <row r="455" spans="1:65" s="14" customFormat="1">
      <c r="B455" s="169"/>
      <c r="D455" s="153" t="s">
        <v>193</v>
      </c>
      <c r="E455" s="170" t="s">
        <v>3</v>
      </c>
      <c r="F455" s="171" t="s">
        <v>2646</v>
      </c>
      <c r="H455" s="170" t="s">
        <v>3</v>
      </c>
      <c r="I455" s="172"/>
      <c r="L455" s="169"/>
      <c r="M455" s="173"/>
      <c r="N455" s="174"/>
      <c r="O455" s="174"/>
      <c r="P455" s="174"/>
      <c r="Q455" s="174"/>
      <c r="R455" s="174"/>
      <c r="S455" s="174"/>
      <c r="T455" s="175"/>
      <c r="AT455" s="170" t="s">
        <v>193</v>
      </c>
      <c r="AU455" s="170" t="s">
        <v>87</v>
      </c>
      <c r="AV455" s="14" t="s">
        <v>85</v>
      </c>
      <c r="AW455" s="14" t="s">
        <v>36</v>
      </c>
      <c r="AX455" s="14" t="s">
        <v>77</v>
      </c>
      <c r="AY455" s="170" t="s">
        <v>177</v>
      </c>
    </row>
    <row r="456" spans="1:65" s="13" customFormat="1">
      <c r="B456" s="161"/>
      <c r="D456" s="153" t="s">
        <v>193</v>
      </c>
      <c r="E456" s="162" t="s">
        <v>3</v>
      </c>
      <c r="F456" s="163" t="s">
        <v>2647</v>
      </c>
      <c r="H456" s="164">
        <v>176.31800000000001</v>
      </c>
      <c r="I456" s="165"/>
      <c r="L456" s="161"/>
      <c r="M456" s="166"/>
      <c r="N456" s="167"/>
      <c r="O456" s="167"/>
      <c r="P456" s="167"/>
      <c r="Q456" s="167"/>
      <c r="R456" s="167"/>
      <c r="S456" s="167"/>
      <c r="T456" s="168"/>
      <c r="AT456" s="162" t="s">
        <v>193</v>
      </c>
      <c r="AU456" s="162" t="s">
        <v>87</v>
      </c>
      <c r="AV456" s="13" t="s">
        <v>87</v>
      </c>
      <c r="AW456" s="13" t="s">
        <v>36</v>
      </c>
      <c r="AX456" s="13" t="s">
        <v>77</v>
      </c>
      <c r="AY456" s="162" t="s">
        <v>177</v>
      </c>
    </row>
    <row r="457" spans="1:65" s="13" customFormat="1">
      <c r="B457" s="161"/>
      <c r="D457" s="153" t="s">
        <v>193</v>
      </c>
      <c r="E457" s="162" t="s">
        <v>3</v>
      </c>
      <c r="F457" s="163" t="s">
        <v>2648</v>
      </c>
      <c r="H457" s="164">
        <v>70.16</v>
      </c>
      <c r="I457" s="165"/>
      <c r="L457" s="161"/>
      <c r="M457" s="166"/>
      <c r="N457" s="167"/>
      <c r="O457" s="167"/>
      <c r="P457" s="167"/>
      <c r="Q457" s="167"/>
      <c r="R457" s="167"/>
      <c r="S457" s="167"/>
      <c r="T457" s="168"/>
      <c r="AT457" s="162" t="s">
        <v>193</v>
      </c>
      <c r="AU457" s="162" t="s">
        <v>87</v>
      </c>
      <c r="AV457" s="13" t="s">
        <v>87</v>
      </c>
      <c r="AW457" s="13" t="s">
        <v>36</v>
      </c>
      <c r="AX457" s="13" t="s">
        <v>77</v>
      </c>
      <c r="AY457" s="162" t="s">
        <v>177</v>
      </c>
    </row>
    <row r="458" spans="1:65" s="14" customFormat="1">
      <c r="B458" s="169"/>
      <c r="D458" s="153" t="s">
        <v>193</v>
      </c>
      <c r="E458" s="170" t="s">
        <v>3</v>
      </c>
      <c r="F458" s="171" t="s">
        <v>2434</v>
      </c>
      <c r="H458" s="170" t="s">
        <v>3</v>
      </c>
      <c r="I458" s="172"/>
      <c r="L458" s="169"/>
      <c r="M458" s="173"/>
      <c r="N458" s="174"/>
      <c r="O458" s="174"/>
      <c r="P458" s="174"/>
      <c r="Q458" s="174"/>
      <c r="R458" s="174"/>
      <c r="S458" s="174"/>
      <c r="T458" s="175"/>
      <c r="AT458" s="170" t="s">
        <v>193</v>
      </c>
      <c r="AU458" s="170" t="s">
        <v>87</v>
      </c>
      <c r="AV458" s="14" t="s">
        <v>85</v>
      </c>
      <c r="AW458" s="14" t="s">
        <v>36</v>
      </c>
      <c r="AX458" s="14" t="s">
        <v>77</v>
      </c>
      <c r="AY458" s="170" t="s">
        <v>177</v>
      </c>
    </row>
    <row r="459" spans="1:65" s="13" customFormat="1">
      <c r="B459" s="161"/>
      <c r="D459" s="153" t="s">
        <v>193</v>
      </c>
      <c r="E459" s="162" t="s">
        <v>3</v>
      </c>
      <c r="F459" s="163" t="s">
        <v>2435</v>
      </c>
      <c r="H459" s="164">
        <v>11.066000000000001</v>
      </c>
      <c r="I459" s="165"/>
      <c r="L459" s="161"/>
      <c r="M459" s="166"/>
      <c r="N459" s="167"/>
      <c r="O459" s="167"/>
      <c r="P459" s="167"/>
      <c r="Q459" s="167"/>
      <c r="R459" s="167"/>
      <c r="S459" s="167"/>
      <c r="T459" s="168"/>
      <c r="AT459" s="162" t="s">
        <v>193</v>
      </c>
      <c r="AU459" s="162" t="s">
        <v>87</v>
      </c>
      <c r="AV459" s="13" t="s">
        <v>87</v>
      </c>
      <c r="AW459" s="13" t="s">
        <v>36</v>
      </c>
      <c r="AX459" s="13" t="s">
        <v>77</v>
      </c>
      <c r="AY459" s="162" t="s">
        <v>177</v>
      </c>
    </row>
    <row r="460" spans="1:65" s="16" customFormat="1">
      <c r="B460" s="184"/>
      <c r="D460" s="153" t="s">
        <v>193</v>
      </c>
      <c r="E460" s="185" t="s">
        <v>3</v>
      </c>
      <c r="F460" s="186" t="s">
        <v>201</v>
      </c>
      <c r="H460" s="187">
        <v>322.887</v>
      </c>
      <c r="I460" s="188"/>
      <c r="L460" s="184"/>
      <c r="M460" s="189"/>
      <c r="N460" s="190"/>
      <c r="O460" s="190"/>
      <c r="P460" s="190"/>
      <c r="Q460" s="190"/>
      <c r="R460" s="190"/>
      <c r="S460" s="190"/>
      <c r="T460" s="191"/>
      <c r="AT460" s="185" t="s">
        <v>193</v>
      </c>
      <c r="AU460" s="185" t="s">
        <v>87</v>
      </c>
      <c r="AV460" s="16" t="s">
        <v>185</v>
      </c>
      <c r="AW460" s="16" t="s">
        <v>36</v>
      </c>
      <c r="AX460" s="16" t="s">
        <v>85</v>
      </c>
      <c r="AY460" s="185" t="s">
        <v>177</v>
      </c>
    </row>
    <row r="461" spans="1:65" s="2" customFormat="1" ht="16.5" customHeight="1">
      <c r="A461" s="34"/>
      <c r="B461" s="139"/>
      <c r="C461" s="140" t="s">
        <v>1249</v>
      </c>
      <c r="D461" s="140" t="s">
        <v>180</v>
      </c>
      <c r="E461" s="141" t="s">
        <v>2649</v>
      </c>
      <c r="F461" s="142" t="s">
        <v>2650</v>
      </c>
      <c r="G461" s="143" t="s">
        <v>476</v>
      </c>
      <c r="H461" s="144">
        <v>9.4</v>
      </c>
      <c r="I461" s="145"/>
      <c r="J461" s="146">
        <f>ROUND(I461*H461,2)</f>
        <v>0</v>
      </c>
      <c r="K461" s="142" t="s">
        <v>184</v>
      </c>
      <c r="L461" s="35"/>
      <c r="M461" s="147" t="s">
        <v>3</v>
      </c>
      <c r="N461" s="148" t="s">
        <v>48</v>
      </c>
      <c r="O461" s="55"/>
      <c r="P461" s="149">
        <f>O461*H461</f>
        <v>0</v>
      </c>
      <c r="Q461" s="149">
        <v>0</v>
      </c>
      <c r="R461" s="149">
        <f>Q461*H461</f>
        <v>0</v>
      </c>
      <c r="S461" s="149">
        <v>3.6999999999999998E-2</v>
      </c>
      <c r="T461" s="150">
        <f>S461*H461</f>
        <v>0.3478</v>
      </c>
      <c r="U461" s="34"/>
      <c r="V461" s="34"/>
      <c r="W461" s="34"/>
      <c r="X461" s="34"/>
      <c r="Y461" s="34"/>
      <c r="Z461" s="34"/>
      <c r="AA461" s="34"/>
      <c r="AB461" s="34"/>
      <c r="AC461" s="34"/>
      <c r="AD461" s="34"/>
      <c r="AE461" s="34"/>
      <c r="AR461" s="151" t="s">
        <v>185</v>
      </c>
      <c r="AT461" s="151" t="s">
        <v>180</v>
      </c>
      <c r="AU461" s="151" t="s">
        <v>87</v>
      </c>
      <c r="AY461" s="19" t="s">
        <v>177</v>
      </c>
      <c r="BE461" s="152">
        <f>IF(N461="základní",J461,0)</f>
        <v>0</v>
      </c>
      <c r="BF461" s="152">
        <f>IF(N461="snížená",J461,0)</f>
        <v>0</v>
      </c>
      <c r="BG461" s="152">
        <f>IF(N461="zákl. přenesená",J461,0)</f>
        <v>0</v>
      </c>
      <c r="BH461" s="152">
        <f>IF(N461="sníž. přenesená",J461,0)</f>
        <v>0</v>
      </c>
      <c r="BI461" s="152">
        <f>IF(N461="nulová",J461,0)</f>
        <v>0</v>
      </c>
      <c r="BJ461" s="19" t="s">
        <v>85</v>
      </c>
      <c r="BK461" s="152">
        <f>ROUND(I461*H461,2)</f>
        <v>0</v>
      </c>
      <c r="BL461" s="19" t="s">
        <v>185</v>
      </c>
      <c r="BM461" s="151" t="s">
        <v>2651</v>
      </c>
    </row>
    <row r="462" spans="1:65" s="2" customFormat="1">
      <c r="A462" s="34"/>
      <c r="B462" s="35"/>
      <c r="C462" s="34"/>
      <c r="D462" s="153" t="s">
        <v>187</v>
      </c>
      <c r="E462" s="34"/>
      <c r="F462" s="154" t="s">
        <v>2652</v>
      </c>
      <c r="G462" s="34"/>
      <c r="H462" s="34"/>
      <c r="I462" s="155"/>
      <c r="J462" s="34"/>
      <c r="K462" s="34"/>
      <c r="L462" s="35"/>
      <c r="M462" s="156"/>
      <c r="N462" s="157"/>
      <c r="O462" s="55"/>
      <c r="P462" s="55"/>
      <c r="Q462" s="55"/>
      <c r="R462" s="55"/>
      <c r="S462" s="55"/>
      <c r="T462" s="56"/>
      <c r="U462" s="34"/>
      <c r="V462" s="34"/>
      <c r="W462" s="34"/>
      <c r="X462" s="34"/>
      <c r="Y462" s="34"/>
      <c r="Z462" s="34"/>
      <c r="AA462" s="34"/>
      <c r="AB462" s="34"/>
      <c r="AC462" s="34"/>
      <c r="AD462" s="34"/>
      <c r="AE462" s="34"/>
      <c r="AT462" s="19" t="s">
        <v>187</v>
      </c>
      <c r="AU462" s="19" t="s">
        <v>87</v>
      </c>
    </row>
    <row r="463" spans="1:65" s="2" customFormat="1">
      <c r="A463" s="34"/>
      <c r="B463" s="35"/>
      <c r="C463" s="34"/>
      <c r="D463" s="158" t="s">
        <v>189</v>
      </c>
      <c r="E463" s="34"/>
      <c r="F463" s="159" t="s">
        <v>2653</v>
      </c>
      <c r="G463" s="34"/>
      <c r="H463" s="34"/>
      <c r="I463" s="155"/>
      <c r="J463" s="34"/>
      <c r="K463" s="34"/>
      <c r="L463" s="35"/>
      <c r="M463" s="156"/>
      <c r="N463" s="157"/>
      <c r="O463" s="55"/>
      <c r="P463" s="55"/>
      <c r="Q463" s="55"/>
      <c r="R463" s="55"/>
      <c r="S463" s="55"/>
      <c r="T463" s="56"/>
      <c r="U463" s="34"/>
      <c r="V463" s="34"/>
      <c r="W463" s="34"/>
      <c r="X463" s="34"/>
      <c r="Y463" s="34"/>
      <c r="Z463" s="34"/>
      <c r="AA463" s="34"/>
      <c r="AB463" s="34"/>
      <c r="AC463" s="34"/>
      <c r="AD463" s="34"/>
      <c r="AE463" s="34"/>
      <c r="AT463" s="19" t="s">
        <v>189</v>
      </c>
      <c r="AU463" s="19" t="s">
        <v>87</v>
      </c>
    </row>
    <row r="464" spans="1:65" s="14" customFormat="1">
      <c r="B464" s="169"/>
      <c r="D464" s="153" t="s">
        <v>193</v>
      </c>
      <c r="E464" s="170" t="s">
        <v>3</v>
      </c>
      <c r="F464" s="171" t="s">
        <v>2654</v>
      </c>
      <c r="H464" s="170" t="s">
        <v>3</v>
      </c>
      <c r="I464" s="172"/>
      <c r="L464" s="169"/>
      <c r="M464" s="173"/>
      <c r="N464" s="174"/>
      <c r="O464" s="174"/>
      <c r="P464" s="174"/>
      <c r="Q464" s="174"/>
      <c r="R464" s="174"/>
      <c r="S464" s="174"/>
      <c r="T464" s="175"/>
      <c r="AT464" s="170" t="s">
        <v>193</v>
      </c>
      <c r="AU464" s="170" t="s">
        <v>87</v>
      </c>
      <c r="AV464" s="14" t="s">
        <v>85</v>
      </c>
      <c r="AW464" s="14" t="s">
        <v>36</v>
      </c>
      <c r="AX464" s="14" t="s">
        <v>77</v>
      </c>
      <c r="AY464" s="170" t="s">
        <v>177</v>
      </c>
    </row>
    <row r="465" spans="1:65" s="13" customFormat="1">
      <c r="B465" s="161"/>
      <c r="D465" s="153" t="s">
        <v>193</v>
      </c>
      <c r="E465" s="162" t="s">
        <v>3</v>
      </c>
      <c r="F465" s="163" t="s">
        <v>2655</v>
      </c>
      <c r="H465" s="164">
        <v>9.4</v>
      </c>
      <c r="I465" s="165"/>
      <c r="L465" s="161"/>
      <c r="M465" s="166"/>
      <c r="N465" s="167"/>
      <c r="O465" s="167"/>
      <c r="P465" s="167"/>
      <c r="Q465" s="167"/>
      <c r="R465" s="167"/>
      <c r="S465" s="167"/>
      <c r="T465" s="168"/>
      <c r="AT465" s="162" t="s">
        <v>193</v>
      </c>
      <c r="AU465" s="162" t="s">
        <v>87</v>
      </c>
      <c r="AV465" s="13" t="s">
        <v>87</v>
      </c>
      <c r="AW465" s="13" t="s">
        <v>36</v>
      </c>
      <c r="AX465" s="13" t="s">
        <v>85</v>
      </c>
      <c r="AY465" s="162" t="s">
        <v>177</v>
      </c>
    </row>
    <row r="466" spans="1:65" s="2" customFormat="1" ht="16.5" customHeight="1">
      <c r="A466" s="34"/>
      <c r="B466" s="139"/>
      <c r="C466" s="140" t="s">
        <v>1255</v>
      </c>
      <c r="D466" s="140" t="s">
        <v>180</v>
      </c>
      <c r="E466" s="141" t="s">
        <v>1120</v>
      </c>
      <c r="F466" s="142" t="s">
        <v>1121</v>
      </c>
      <c r="G466" s="143" t="s">
        <v>332</v>
      </c>
      <c r="H466" s="144">
        <v>1.3480000000000001</v>
      </c>
      <c r="I466" s="145"/>
      <c r="J466" s="146">
        <f>ROUND(I466*H466,2)</f>
        <v>0</v>
      </c>
      <c r="K466" s="142" t="s">
        <v>184</v>
      </c>
      <c r="L466" s="35"/>
      <c r="M466" s="147" t="s">
        <v>3</v>
      </c>
      <c r="N466" s="148" t="s">
        <v>48</v>
      </c>
      <c r="O466" s="55"/>
      <c r="P466" s="149">
        <f>O466*H466</f>
        <v>0</v>
      </c>
      <c r="Q466" s="149">
        <v>0</v>
      </c>
      <c r="R466" s="149">
        <f>Q466*H466</f>
        <v>0</v>
      </c>
      <c r="S466" s="149">
        <v>6.6000000000000003E-2</v>
      </c>
      <c r="T466" s="150">
        <f>S466*H466</f>
        <v>8.8968000000000005E-2</v>
      </c>
      <c r="U466" s="34"/>
      <c r="V466" s="34"/>
      <c r="W466" s="34"/>
      <c r="X466" s="34"/>
      <c r="Y466" s="34"/>
      <c r="Z466" s="34"/>
      <c r="AA466" s="34"/>
      <c r="AB466" s="34"/>
      <c r="AC466" s="34"/>
      <c r="AD466" s="34"/>
      <c r="AE466" s="34"/>
      <c r="AR466" s="151" t="s">
        <v>185</v>
      </c>
      <c r="AT466" s="151" t="s">
        <v>180</v>
      </c>
      <c r="AU466" s="151" t="s">
        <v>87</v>
      </c>
      <c r="AY466" s="19" t="s">
        <v>177</v>
      </c>
      <c r="BE466" s="152">
        <f>IF(N466="základní",J466,0)</f>
        <v>0</v>
      </c>
      <c r="BF466" s="152">
        <f>IF(N466="snížená",J466,0)</f>
        <v>0</v>
      </c>
      <c r="BG466" s="152">
        <f>IF(N466="zákl. přenesená",J466,0)</f>
        <v>0</v>
      </c>
      <c r="BH466" s="152">
        <f>IF(N466="sníž. přenesená",J466,0)</f>
        <v>0</v>
      </c>
      <c r="BI466" s="152">
        <f>IF(N466="nulová",J466,0)</f>
        <v>0</v>
      </c>
      <c r="BJ466" s="19" t="s">
        <v>85</v>
      </c>
      <c r="BK466" s="152">
        <f>ROUND(I466*H466,2)</f>
        <v>0</v>
      </c>
      <c r="BL466" s="19" t="s">
        <v>185</v>
      </c>
      <c r="BM466" s="151" t="s">
        <v>2656</v>
      </c>
    </row>
    <row r="467" spans="1:65" s="2" customFormat="1">
      <c r="A467" s="34"/>
      <c r="B467" s="35"/>
      <c r="C467" s="34"/>
      <c r="D467" s="153" t="s">
        <v>187</v>
      </c>
      <c r="E467" s="34"/>
      <c r="F467" s="154" t="s">
        <v>1123</v>
      </c>
      <c r="G467" s="34"/>
      <c r="H467" s="34"/>
      <c r="I467" s="155"/>
      <c r="J467" s="34"/>
      <c r="K467" s="34"/>
      <c r="L467" s="35"/>
      <c r="M467" s="156"/>
      <c r="N467" s="157"/>
      <c r="O467" s="55"/>
      <c r="P467" s="55"/>
      <c r="Q467" s="55"/>
      <c r="R467" s="55"/>
      <c r="S467" s="55"/>
      <c r="T467" s="56"/>
      <c r="U467" s="34"/>
      <c r="V467" s="34"/>
      <c r="W467" s="34"/>
      <c r="X467" s="34"/>
      <c r="Y467" s="34"/>
      <c r="Z467" s="34"/>
      <c r="AA467" s="34"/>
      <c r="AB467" s="34"/>
      <c r="AC467" s="34"/>
      <c r="AD467" s="34"/>
      <c r="AE467" s="34"/>
      <c r="AT467" s="19" t="s">
        <v>187</v>
      </c>
      <c r="AU467" s="19" t="s">
        <v>87</v>
      </c>
    </row>
    <row r="468" spans="1:65" s="2" customFormat="1">
      <c r="A468" s="34"/>
      <c r="B468" s="35"/>
      <c r="C468" s="34"/>
      <c r="D468" s="158" t="s">
        <v>189</v>
      </c>
      <c r="E468" s="34"/>
      <c r="F468" s="159" t="s">
        <v>1124</v>
      </c>
      <c r="G468" s="34"/>
      <c r="H468" s="34"/>
      <c r="I468" s="155"/>
      <c r="J468" s="34"/>
      <c r="K468" s="34"/>
      <c r="L468" s="35"/>
      <c r="M468" s="156"/>
      <c r="N468" s="157"/>
      <c r="O468" s="55"/>
      <c r="P468" s="55"/>
      <c r="Q468" s="55"/>
      <c r="R468" s="55"/>
      <c r="S468" s="55"/>
      <c r="T468" s="56"/>
      <c r="U468" s="34"/>
      <c r="V468" s="34"/>
      <c r="W468" s="34"/>
      <c r="X468" s="34"/>
      <c r="Y468" s="34"/>
      <c r="Z468" s="34"/>
      <c r="AA468" s="34"/>
      <c r="AB468" s="34"/>
      <c r="AC468" s="34"/>
      <c r="AD468" s="34"/>
      <c r="AE468" s="34"/>
      <c r="AT468" s="19" t="s">
        <v>189</v>
      </c>
      <c r="AU468" s="19" t="s">
        <v>87</v>
      </c>
    </row>
    <row r="469" spans="1:65" s="2" customFormat="1" ht="39">
      <c r="A469" s="34"/>
      <c r="B469" s="35"/>
      <c r="C469" s="34"/>
      <c r="D469" s="153" t="s">
        <v>191</v>
      </c>
      <c r="E469" s="34"/>
      <c r="F469" s="160" t="s">
        <v>350</v>
      </c>
      <c r="G469" s="34"/>
      <c r="H469" s="34"/>
      <c r="I469" s="155"/>
      <c r="J469" s="34"/>
      <c r="K469" s="34"/>
      <c r="L469" s="35"/>
      <c r="M469" s="156"/>
      <c r="N469" s="157"/>
      <c r="O469" s="55"/>
      <c r="P469" s="55"/>
      <c r="Q469" s="55"/>
      <c r="R469" s="55"/>
      <c r="S469" s="55"/>
      <c r="T469" s="56"/>
      <c r="U469" s="34"/>
      <c r="V469" s="34"/>
      <c r="W469" s="34"/>
      <c r="X469" s="34"/>
      <c r="Y469" s="34"/>
      <c r="Z469" s="34"/>
      <c r="AA469" s="34"/>
      <c r="AB469" s="34"/>
      <c r="AC469" s="34"/>
      <c r="AD469" s="34"/>
      <c r="AE469" s="34"/>
      <c r="AT469" s="19" t="s">
        <v>191</v>
      </c>
      <c r="AU469" s="19" t="s">
        <v>87</v>
      </c>
    </row>
    <row r="470" spans="1:65" s="2" customFormat="1" ht="16.5" customHeight="1">
      <c r="A470" s="34"/>
      <c r="B470" s="139"/>
      <c r="C470" s="140" t="s">
        <v>1261</v>
      </c>
      <c r="D470" s="140" t="s">
        <v>180</v>
      </c>
      <c r="E470" s="141" t="s">
        <v>1127</v>
      </c>
      <c r="F470" s="142" t="s">
        <v>1128</v>
      </c>
      <c r="G470" s="143" t="s">
        <v>332</v>
      </c>
      <c r="H470" s="144">
        <v>2.6960000000000002</v>
      </c>
      <c r="I470" s="145"/>
      <c r="J470" s="146">
        <f>ROUND(I470*H470,2)</f>
        <v>0</v>
      </c>
      <c r="K470" s="142" t="s">
        <v>184</v>
      </c>
      <c r="L470" s="35"/>
      <c r="M470" s="147" t="s">
        <v>3</v>
      </c>
      <c r="N470" s="148" t="s">
        <v>48</v>
      </c>
      <c r="O470" s="55"/>
      <c r="P470" s="149">
        <f>O470*H470</f>
        <v>0</v>
      </c>
      <c r="Q470" s="149">
        <v>0</v>
      </c>
      <c r="R470" s="149">
        <f>Q470*H470</f>
        <v>0</v>
      </c>
      <c r="S470" s="149">
        <v>0.11</v>
      </c>
      <c r="T470" s="150">
        <f>S470*H470</f>
        <v>0.29656000000000005</v>
      </c>
      <c r="U470" s="34"/>
      <c r="V470" s="34"/>
      <c r="W470" s="34"/>
      <c r="X470" s="34"/>
      <c r="Y470" s="34"/>
      <c r="Z470" s="34"/>
      <c r="AA470" s="34"/>
      <c r="AB470" s="34"/>
      <c r="AC470" s="34"/>
      <c r="AD470" s="34"/>
      <c r="AE470" s="34"/>
      <c r="AR470" s="151" t="s">
        <v>185</v>
      </c>
      <c r="AT470" s="151" t="s">
        <v>180</v>
      </c>
      <c r="AU470" s="151" t="s">
        <v>87</v>
      </c>
      <c r="AY470" s="19" t="s">
        <v>177</v>
      </c>
      <c r="BE470" s="152">
        <f>IF(N470="základní",J470,0)</f>
        <v>0</v>
      </c>
      <c r="BF470" s="152">
        <f>IF(N470="snížená",J470,0)</f>
        <v>0</v>
      </c>
      <c r="BG470" s="152">
        <f>IF(N470="zákl. přenesená",J470,0)</f>
        <v>0</v>
      </c>
      <c r="BH470" s="152">
        <f>IF(N470="sníž. přenesená",J470,0)</f>
        <v>0</v>
      </c>
      <c r="BI470" s="152">
        <f>IF(N470="nulová",J470,0)</f>
        <v>0</v>
      </c>
      <c r="BJ470" s="19" t="s">
        <v>85</v>
      </c>
      <c r="BK470" s="152">
        <f>ROUND(I470*H470,2)</f>
        <v>0</v>
      </c>
      <c r="BL470" s="19" t="s">
        <v>185</v>
      </c>
      <c r="BM470" s="151" t="s">
        <v>2657</v>
      </c>
    </row>
    <row r="471" spans="1:65" s="2" customFormat="1">
      <c r="A471" s="34"/>
      <c r="B471" s="35"/>
      <c r="C471" s="34"/>
      <c r="D471" s="153" t="s">
        <v>187</v>
      </c>
      <c r="E471" s="34"/>
      <c r="F471" s="154" t="s">
        <v>1130</v>
      </c>
      <c r="G471" s="34"/>
      <c r="H471" s="34"/>
      <c r="I471" s="155"/>
      <c r="J471" s="34"/>
      <c r="K471" s="34"/>
      <c r="L471" s="35"/>
      <c r="M471" s="156"/>
      <c r="N471" s="157"/>
      <c r="O471" s="55"/>
      <c r="P471" s="55"/>
      <c r="Q471" s="55"/>
      <c r="R471" s="55"/>
      <c r="S471" s="55"/>
      <c r="T471" s="56"/>
      <c r="U471" s="34"/>
      <c r="V471" s="34"/>
      <c r="W471" s="34"/>
      <c r="X471" s="34"/>
      <c r="Y471" s="34"/>
      <c r="Z471" s="34"/>
      <c r="AA471" s="34"/>
      <c r="AB471" s="34"/>
      <c r="AC471" s="34"/>
      <c r="AD471" s="34"/>
      <c r="AE471" s="34"/>
      <c r="AT471" s="19" t="s">
        <v>187</v>
      </c>
      <c r="AU471" s="19" t="s">
        <v>87</v>
      </c>
    </row>
    <row r="472" spans="1:65" s="2" customFormat="1">
      <c r="A472" s="34"/>
      <c r="B472" s="35"/>
      <c r="C472" s="34"/>
      <c r="D472" s="158" t="s">
        <v>189</v>
      </c>
      <c r="E472" s="34"/>
      <c r="F472" s="159" t="s">
        <v>1131</v>
      </c>
      <c r="G472" s="34"/>
      <c r="H472" s="34"/>
      <c r="I472" s="155"/>
      <c r="J472" s="34"/>
      <c r="K472" s="34"/>
      <c r="L472" s="35"/>
      <c r="M472" s="156"/>
      <c r="N472" s="157"/>
      <c r="O472" s="55"/>
      <c r="P472" s="55"/>
      <c r="Q472" s="55"/>
      <c r="R472" s="55"/>
      <c r="S472" s="55"/>
      <c r="T472" s="56"/>
      <c r="U472" s="34"/>
      <c r="V472" s="34"/>
      <c r="W472" s="34"/>
      <c r="X472" s="34"/>
      <c r="Y472" s="34"/>
      <c r="Z472" s="34"/>
      <c r="AA472" s="34"/>
      <c r="AB472" s="34"/>
      <c r="AC472" s="34"/>
      <c r="AD472" s="34"/>
      <c r="AE472" s="34"/>
      <c r="AT472" s="19" t="s">
        <v>189</v>
      </c>
      <c r="AU472" s="19" t="s">
        <v>87</v>
      </c>
    </row>
    <row r="473" spans="1:65" s="2" customFormat="1" ht="39">
      <c r="A473" s="34"/>
      <c r="B473" s="35"/>
      <c r="C473" s="34"/>
      <c r="D473" s="153" t="s">
        <v>191</v>
      </c>
      <c r="E473" s="34"/>
      <c r="F473" s="160" t="s">
        <v>350</v>
      </c>
      <c r="G473" s="34"/>
      <c r="H473" s="34"/>
      <c r="I473" s="155"/>
      <c r="J473" s="34"/>
      <c r="K473" s="34"/>
      <c r="L473" s="35"/>
      <c r="M473" s="156"/>
      <c r="N473" s="157"/>
      <c r="O473" s="55"/>
      <c r="P473" s="55"/>
      <c r="Q473" s="55"/>
      <c r="R473" s="55"/>
      <c r="S473" s="55"/>
      <c r="T473" s="56"/>
      <c r="U473" s="34"/>
      <c r="V473" s="34"/>
      <c r="W473" s="34"/>
      <c r="X473" s="34"/>
      <c r="Y473" s="34"/>
      <c r="Z473" s="34"/>
      <c r="AA473" s="34"/>
      <c r="AB473" s="34"/>
      <c r="AC473" s="34"/>
      <c r="AD473" s="34"/>
      <c r="AE473" s="34"/>
      <c r="AT473" s="19" t="s">
        <v>191</v>
      </c>
      <c r="AU473" s="19" t="s">
        <v>87</v>
      </c>
    </row>
    <row r="474" spans="1:65" s="2" customFormat="1" ht="16.5" customHeight="1">
      <c r="A474" s="34"/>
      <c r="B474" s="139"/>
      <c r="C474" s="140" t="s">
        <v>1268</v>
      </c>
      <c r="D474" s="140" t="s">
        <v>180</v>
      </c>
      <c r="E474" s="141" t="s">
        <v>367</v>
      </c>
      <c r="F474" s="142" t="s">
        <v>368</v>
      </c>
      <c r="G474" s="143" t="s">
        <v>332</v>
      </c>
      <c r="H474" s="144">
        <v>4.0439999999999996</v>
      </c>
      <c r="I474" s="145"/>
      <c r="J474" s="146">
        <f>ROUND(I474*H474,2)</f>
        <v>0</v>
      </c>
      <c r="K474" s="142" t="s">
        <v>184</v>
      </c>
      <c r="L474" s="35"/>
      <c r="M474" s="147" t="s">
        <v>3</v>
      </c>
      <c r="N474" s="148" t="s">
        <v>48</v>
      </c>
      <c r="O474" s="55"/>
      <c r="P474" s="149">
        <f>O474*H474</f>
        <v>0</v>
      </c>
      <c r="Q474" s="149">
        <v>0</v>
      </c>
      <c r="R474" s="149">
        <f>Q474*H474</f>
        <v>0</v>
      </c>
      <c r="S474" s="149">
        <v>7.0000000000000007E-2</v>
      </c>
      <c r="T474" s="150">
        <f>S474*H474</f>
        <v>0.28308</v>
      </c>
      <c r="U474" s="34"/>
      <c r="V474" s="34"/>
      <c r="W474" s="34"/>
      <c r="X474" s="34"/>
      <c r="Y474" s="34"/>
      <c r="Z474" s="34"/>
      <c r="AA474" s="34"/>
      <c r="AB474" s="34"/>
      <c r="AC474" s="34"/>
      <c r="AD474" s="34"/>
      <c r="AE474" s="34"/>
      <c r="AR474" s="151" t="s">
        <v>185</v>
      </c>
      <c r="AT474" s="151" t="s">
        <v>180</v>
      </c>
      <c r="AU474" s="151" t="s">
        <v>87</v>
      </c>
      <c r="AY474" s="19" t="s">
        <v>177</v>
      </c>
      <c r="BE474" s="152">
        <f>IF(N474="základní",J474,0)</f>
        <v>0</v>
      </c>
      <c r="BF474" s="152">
        <f>IF(N474="snížená",J474,0)</f>
        <v>0</v>
      </c>
      <c r="BG474" s="152">
        <f>IF(N474="zákl. přenesená",J474,0)</f>
        <v>0</v>
      </c>
      <c r="BH474" s="152">
        <f>IF(N474="sníž. přenesená",J474,0)</f>
        <v>0</v>
      </c>
      <c r="BI474" s="152">
        <f>IF(N474="nulová",J474,0)</f>
        <v>0</v>
      </c>
      <c r="BJ474" s="19" t="s">
        <v>85</v>
      </c>
      <c r="BK474" s="152">
        <f>ROUND(I474*H474,2)</f>
        <v>0</v>
      </c>
      <c r="BL474" s="19" t="s">
        <v>185</v>
      </c>
      <c r="BM474" s="151" t="s">
        <v>2658</v>
      </c>
    </row>
    <row r="475" spans="1:65" s="2" customFormat="1">
      <c r="A475" s="34"/>
      <c r="B475" s="35"/>
      <c r="C475" s="34"/>
      <c r="D475" s="153" t="s">
        <v>187</v>
      </c>
      <c r="E475" s="34"/>
      <c r="F475" s="154" t="s">
        <v>370</v>
      </c>
      <c r="G475" s="34"/>
      <c r="H475" s="34"/>
      <c r="I475" s="155"/>
      <c r="J475" s="34"/>
      <c r="K475" s="34"/>
      <c r="L475" s="35"/>
      <c r="M475" s="156"/>
      <c r="N475" s="157"/>
      <c r="O475" s="55"/>
      <c r="P475" s="55"/>
      <c r="Q475" s="55"/>
      <c r="R475" s="55"/>
      <c r="S475" s="55"/>
      <c r="T475" s="56"/>
      <c r="U475" s="34"/>
      <c r="V475" s="34"/>
      <c r="W475" s="34"/>
      <c r="X475" s="34"/>
      <c r="Y475" s="34"/>
      <c r="Z475" s="34"/>
      <c r="AA475" s="34"/>
      <c r="AB475" s="34"/>
      <c r="AC475" s="34"/>
      <c r="AD475" s="34"/>
      <c r="AE475" s="34"/>
      <c r="AT475" s="19" t="s">
        <v>187</v>
      </c>
      <c r="AU475" s="19" t="s">
        <v>87</v>
      </c>
    </row>
    <row r="476" spans="1:65" s="2" customFormat="1">
      <c r="A476" s="34"/>
      <c r="B476" s="35"/>
      <c r="C476" s="34"/>
      <c r="D476" s="158" t="s">
        <v>189</v>
      </c>
      <c r="E476" s="34"/>
      <c r="F476" s="159" t="s">
        <v>371</v>
      </c>
      <c r="G476" s="34"/>
      <c r="H476" s="34"/>
      <c r="I476" s="155"/>
      <c r="J476" s="34"/>
      <c r="K476" s="34"/>
      <c r="L476" s="35"/>
      <c r="M476" s="156"/>
      <c r="N476" s="157"/>
      <c r="O476" s="55"/>
      <c r="P476" s="55"/>
      <c r="Q476" s="55"/>
      <c r="R476" s="55"/>
      <c r="S476" s="55"/>
      <c r="T476" s="56"/>
      <c r="U476" s="34"/>
      <c r="V476" s="34"/>
      <c r="W476" s="34"/>
      <c r="X476" s="34"/>
      <c r="Y476" s="34"/>
      <c r="Z476" s="34"/>
      <c r="AA476" s="34"/>
      <c r="AB476" s="34"/>
      <c r="AC476" s="34"/>
      <c r="AD476" s="34"/>
      <c r="AE476" s="34"/>
      <c r="AT476" s="19" t="s">
        <v>189</v>
      </c>
      <c r="AU476" s="19" t="s">
        <v>87</v>
      </c>
    </row>
    <row r="477" spans="1:65" s="2" customFormat="1" ht="58.5">
      <c r="A477" s="34"/>
      <c r="B477" s="35"/>
      <c r="C477" s="34"/>
      <c r="D477" s="153" t="s">
        <v>191</v>
      </c>
      <c r="E477" s="34"/>
      <c r="F477" s="160" t="s">
        <v>372</v>
      </c>
      <c r="G477" s="34"/>
      <c r="H477" s="34"/>
      <c r="I477" s="155"/>
      <c r="J477" s="34"/>
      <c r="K477" s="34"/>
      <c r="L477" s="35"/>
      <c r="M477" s="156"/>
      <c r="N477" s="157"/>
      <c r="O477" s="55"/>
      <c r="P477" s="55"/>
      <c r="Q477" s="55"/>
      <c r="R477" s="55"/>
      <c r="S477" s="55"/>
      <c r="T477" s="56"/>
      <c r="U477" s="34"/>
      <c r="V477" s="34"/>
      <c r="W477" s="34"/>
      <c r="X477" s="34"/>
      <c r="Y477" s="34"/>
      <c r="Z477" s="34"/>
      <c r="AA477" s="34"/>
      <c r="AB477" s="34"/>
      <c r="AC477" s="34"/>
      <c r="AD477" s="34"/>
      <c r="AE477" s="34"/>
      <c r="AT477" s="19" t="s">
        <v>191</v>
      </c>
      <c r="AU477" s="19" t="s">
        <v>87</v>
      </c>
    </row>
    <row r="478" spans="1:65" s="2" customFormat="1" ht="16.5" customHeight="1">
      <c r="A478" s="34"/>
      <c r="B478" s="139"/>
      <c r="C478" s="140" t="s">
        <v>1276</v>
      </c>
      <c r="D478" s="140" t="s">
        <v>180</v>
      </c>
      <c r="E478" s="141" t="s">
        <v>378</v>
      </c>
      <c r="F478" s="142" t="s">
        <v>379</v>
      </c>
      <c r="G478" s="143" t="s">
        <v>332</v>
      </c>
      <c r="H478" s="144">
        <v>4.0439999999999996</v>
      </c>
      <c r="I478" s="145"/>
      <c r="J478" s="146">
        <f>ROUND(I478*H478,2)</f>
        <v>0</v>
      </c>
      <c r="K478" s="142" t="s">
        <v>184</v>
      </c>
      <c r="L478" s="35"/>
      <c r="M478" s="147" t="s">
        <v>3</v>
      </c>
      <c r="N478" s="148" t="s">
        <v>48</v>
      </c>
      <c r="O478" s="55"/>
      <c r="P478" s="149">
        <f>O478*H478</f>
        <v>0</v>
      </c>
      <c r="Q478" s="149">
        <v>0</v>
      </c>
      <c r="R478" s="149">
        <f>Q478*H478</f>
        <v>0</v>
      </c>
      <c r="S478" s="149">
        <v>0</v>
      </c>
      <c r="T478" s="150">
        <f>S478*H478</f>
        <v>0</v>
      </c>
      <c r="U478" s="34"/>
      <c r="V478" s="34"/>
      <c r="W478" s="34"/>
      <c r="X478" s="34"/>
      <c r="Y478" s="34"/>
      <c r="Z478" s="34"/>
      <c r="AA478" s="34"/>
      <c r="AB478" s="34"/>
      <c r="AC478" s="34"/>
      <c r="AD478" s="34"/>
      <c r="AE478" s="34"/>
      <c r="AR478" s="151" t="s">
        <v>185</v>
      </c>
      <c r="AT478" s="151" t="s">
        <v>180</v>
      </c>
      <c r="AU478" s="151" t="s">
        <v>87</v>
      </c>
      <c r="AY478" s="19" t="s">
        <v>177</v>
      </c>
      <c r="BE478" s="152">
        <f>IF(N478="základní",J478,0)</f>
        <v>0</v>
      </c>
      <c r="BF478" s="152">
        <f>IF(N478="snížená",J478,0)</f>
        <v>0</v>
      </c>
      <c r="BG478" s="152">
        <f>IF(N478="zákl. přenesená",J478,0)</f>
        <v>0</v>
      </c>
      <c r="BH478" s="152">
        <f>IF(N478="sníž. přenesená",J478,0)</f>
        <v>0</v>
      </c>
      <c r="BI478" s="152">
        <f>IF(N478="nulová",J478,0)</f>
        <v>0</v>
      </c>
      <c r="BJ478" s="19" t="s">
        <v>85</v>
      </c>
      <c r="BK478" s="152">
        <f>ROUND(I478*H478,2)</f>
        <v>0</v>
      </c>
      <c r="BL478" s="19" t="s">
        <v>185</v>
      </c>
      <c r="BM478" s="151" t="s">
        <v>2659</v>
      </c>
    </row>
    <row r="479" spans="1:65" s="2" customFormat="1">
      <c r="A479" s="34"/>
      <c r="B479" s="35"/>
      <c r="C479" s="34"/>
      <c r="D479" s="153" t="s">
        <v>187</v>
      </c>
      <c r="E479" s="34"/>
      <c r="F479" s="154" t="s">
        <v>381</v>
      </c>
      <c r="G479" s="34"/>
      <c r="H479" s="34"/>
      <c r="I479" s="155"/>
      <c r="J479" s="34"/>
      <c r="K479" s="34"/>
      <c r="L479" s="35"/>
      <c r="M479" s="156"/>
      <c r="N479" s="157"/>
      <c r="O479" s="55"/>
      <c r="P479" s="55"/>
      <c r="Q479" s="55"/>
      <c r="R479" s="55"/>
      <c r="S479" s="55"/>
      <c r="T479" s="56"/>
      <c r="U479" s="34"/>
      <c r="V479" s="34"/>
      <c r="W479" s="34"/>
      <c r="X479" s="34"/>
      <c r="Y479" s="34"/>
      <c r="Z479" s="34"/>
      <c r="AA479" s="34"/>
      <c r="AB479" s="34"/>
      <c r="AC479" s="34"/>
      <c r="AD479" s="34"/>
      <c r="AE479" s="34"/>
      <c r="AT479" s="19" t="s">
        <v>187</v>
      </c>
      <c r="AU479" s="19" t="s">
        <v>87</v>
      </c>
    </row>
    <row r="480" spans="1:65" s="2" customFormat="1">
      <c r="A480" s="34"/>
      <c r="B480" s="35"/>
      <c r="C480" s="34"/>
      <c r="D480" s="158" t="s">
        <v>189</v>
      </c>
      <c r="E480" s="34"/>
      <c r="F480" s="159" t="s">
        <v>382</v>
      </c>
      <c r="G480" s="34"/>
      <c r="H480" s="34"/>
      <c r="I480" s="155"/>
      <c r="J480" s="34"/>
      <c r="K480" s="34"/>
      <c r="L480" s="35"/>
      <c r="M480" s="156"/>
      <c r="N480" s="157"/>
      <c r="O480" s="55"/>
      <c r="P480" s="55"/>
      <c r="Q480" s="55"/>
      <c r="R480" s="55"/>
      <c r="S480" s="55"/>
      <c r="T480" s="56"/>
      <c r="U480" s="34"/>
      <c r="V480" s="34"/>
      <c r="W480" s="34"/>
      <c r="X480" s="34"/>
      <c r="Y480" s="34"/>
      <c r="Z480" s="34"/>
      <c r="AA480" s="34"/>
      <c r="AB480" s="34"/>
      <c r="AC480" s="34"/>
      <c r="AD480" s="34"/>
      <c r="AE480" s="34"/>
      <c r="AT480" s="19" t="s">
        <v>189</v>
      </c>
      <c r="AU480" s="19" t="s">
        <v>87</v>
      </c>
    </row>
    <row r="481" spans="1:65" s="2" customFormat="1" ht="58.5">
      <c r="A481" s="34"/>
      <c r="B481" s="35"/>
      <c r="C481" s="34"/>
      <c r="D481" s="153" t="s">
        <v>191</v>
      </c>
      <c r="E481" s="34"/>
      <c r="F481" s="160" t="s">
        <v>383</v>
      </c>
      <c r="G481" s="34"/>
      <c r="H481" s="34"/>
      <c r="I481" s="155"/>
      <c r="J481" s="34"/>
      <c r="K481" s="34"/>
      <c r="L481" s="35"/>
      <c r="M481" s="156"/>
      <c r="N481" s="157"/>
      <c r="O481" s="55"/>
      <c r="P481" s="55"/>
      <c r="Q481" s="55"/>
      <c r="R481" s="55"/>
      <c r="S481" s="55"/>
      <c r="T481" s="56"/>
      <c r="U481" s="34"/>
      <c r="V481" s="34"/>
      <c r="W481" s="34"/>
      <c r="X481" s="34"/>
      <c r="Y481" s="34"/>
      <c r="Z481" s="34"/>
      <c r="AA481" s="34"/>
      <c r="AB481" s="34"/>
      <c r="AC481" s="34"/>
      <c r="AD481" s="34"/>
      <c r="AE481" s="34"/>
      <c r="AT481" s="19" t="s">
        <v>191</v>
      </c>
      <c r="AU481" s="19" t="s">
        <v>87</v>
      </c>
    </row>
    <row r="482" spans="1:65" s="2" customFormat="1" ht="16.5" customHeight="1">
      <c r="A482" s="34"/>
      <c r="B482" s="139"/>
      <c r="C482" s="140" t="s">
        <v>1284</v>
      </c>
      <c r="D482" s="140" t="s">
        <v>180</v>
      </c>
      <c r="E482" s="141" t="s">
        <v>1151</v>
      </c>
      <c r="F482" s="142" t="s">
        <v>1152</v>
      </c>
      <c r="G482" s="143" t="s">
        <v>332</v>
      </c>
      <c r="H482" s="144">
        <v>1.3480000000000001</v>
      </c>
      <c r="I482" s="145"/>
      <c r="J482" s="146">
        <f>ROUND(I482*H482,2)</f>
        <v>0</v>
      </c>
      <c r="K482" s="142" t="s">
        <v>184</v>
      </c>
      <c r="L482" s="35"/>
      <c r="M482" s="147" t="s">
        <v>3</v>
      </c>
      <c r="N482" s="148" t="s">
        <v>48</v>
      </c>
      <c r="O482" s="55"/>
      <c r="P482" s="149">
        <f>O482*H482</f>
        <v>0</v>
      </c>
      <c r="Q482" s="149">
        <v>4.0289999999999999E-2</v>
      </c>
      <c r="R482" s="149">
        <f>Q482*H482</f>
        <v>5.4310920000000006E-2</v>
      </c>
      <c r="S482" s="149">
        <v>0</v>
      </c>
      <c r="T482" s="150">
        <f>S482*H482</f>
        <v>0</v>
      </c>
      <c r="U482" s="34"/>
      <c r="V482" s="34"/>
      <c r="W482" s="34"/>
      <c r="X482" s="34"/>
      <c r="Y482" s="34"/>
      <c r="Z482" s="34"/>
      <c r="AA482" s="34"/>
      <c r="AB482" s="34"/>
      <c r="AC482" s="34"/>
      <c r="AD482" s="34"/>
      <c r="AE482" s="34"/>
      <c r="AR482" s="151" t="s">
        <v>185</v>
      </c>
      <c r="AT482" s="151" t="s">
        <v>180</v>
      </c>
      <c r="AU482" s="151" t="s">
        <v>87</v>
      </c>
      <c r="AY482" s="19" t="s">
        <v>177</v>
      </c>
      <c r="BE482" s="152">
        <f>IF(N482="základní",J482,0)</f>
        <v>0</v>
      </c>
      <c r="BF482" s="152">
        <f>IF(N482="snížená",J482,0)</f>
        <v>0</v>
      </c>
      <c r="BG482" s="152">
        <f>IF(N482="zákl. přenesená",J482,0)</f>
        <v>0</v>
      </c>
      <c r="BH482" s="152">
        <f>IF(N482="sníž. přenesená",J482,0)</f>
        <v>0</v>
      </c>
      <c r="BI482" s="152">
        <f>IF(N482="nulová",J482,0)</f>
        <v>0</v>
      </c>
      <c r="BJ482" s="19" t="s">
        <v>85</v>
      </c>
      <c r="BK482" s="152">
        <f>ROUND(I482*H482,2)</f>
        <v>0</v>
      </c>
      <c r="BL482" s="19" t="s">
        <v>185</v>
      </c>
      <c r="BM482" s="151" t="s">
        <v>2660</v>
      </c>
    </row>
    <row r="483" spans="1:65" s="2" customFormat="1">
      <c r="A483" s="34"/>
      <c r="B483" s="35"/>
      <c r="C483" s="34"/>
      <c r="D483" s="153" t="s">
        <v>187</v>
      </c>
      <c r="E483" s="34"/>
      <c r="F483" s="154" t="s">
        <v>1154</v>
      </c>
      <c r="G483" s="34"/>
      <c r="H483" s="34"/>
      <c r="I483" s="155"/>
      <c r="J483" s="34"/>
      <c r="K483" s="34"/>
      <c r="L483" s="35"/>
      <c r="M483" s="156"/>
      <c r="N483" s="157"/>
      <c r="O483" s="55"/>
      <c r="P483" s="55"/>
      <c r="Q483" s="55"/>
      <c r="R483" s="55"/>
      <c r="S483" s="55"/>
      <c r="T483" s="56"/>
      <c r="U483" s="34"/>
      <c r="V483" s="34"/>
      <c r="W483" s="34"/>
      <c r="X483" s="34"/>
      <c r="Y483" s="34"/>
      <c r="Z483" s="34"/>
      <c r="AA483" s="34"/>
      <c r="AB483" s="34"/>
      <c r="AC483" s="34"/>
      <c r="AD483" s="34"/>
      <c r="AE483" s="34"/>
      <c r="AT483" s="19" t="s">
        <v>187</v>
      </c>
      <c r="AU483" s="19" t="s">
        <v>87</v>
      </c>
    </row>
    <row r="484" spans="1:65" s="2" customFormat="1">
      <c r="A484" s="34"/>
      <c r="B484" s="35"/>
      <c r="C484" s="34"/>
      <c r="D484" s="158" t="s">
        <v>189</v>
      </c>
      <c r="E484" s="34"/>
      <c r="F484" s="159" t="s">
        <v>1155</v>
      </c>
      <c r="G484" s="34"/>
      <c r="H484" s="34"/>
      <c r="I484" s="155"/>
      <c r="J484" s="34"/>
      <c r="K484" s="34"/>
      <c r="L484" s="35"/>
      <c r="M484" s="156"/>
      <c r="N484" s="157"/>
      <c r="O484" s="55"/>
      <c r="P484" s="55"/>
      <c r="Q484" s="55"/>
      <c r="R484" s="55"/>
      <c r="S484" s="55"/>
      <c r="T484" s="56"/>
      <c r="U484" s="34"/>
      <c r="V484" s="34"/>
      <c r="W484" s="34"/>
      <c r="X484" s="34"/>
      <c r="Y484" s="34"/>
      <c r="Z484" s="34"/>
      <c r="AA484" s="34"/>
      <c r="AB484" s="34"/>
      <c r="AC484" s="34"/>
      <c r="AD484" s="34"/>
      <c r="AE484" s="34"/>
      <c r="AT484" s="19" t="s">
        <v>189</v>
      </c>
      <c r="AU484" s="19" t="s">
        <v>87</v>
      </c>
    </row>
    <row r="485" spans="1:65" s="2" customFormat="1" ht="107.25">
      <c r="A485" s="34"/>
      <c r="B485" s="35"/>
      <c r="C485" s="34"/>
      <c r="D485" s="153" t="s">
        <v>191</v>
      </c>
      <c r="E485" s="34"/>
      <c r="F485" s="160" t="s">
        <v>396</v>
      </c>
      <c r="G485" s="34"/>
      <c r="H485" s="34"/>
      <c r="I485" s="155"/>
      <c r="J485" s="34"/>
      <c r="K485" s="34"/>
      <c r="L485" s="35"/>
      <c r="M485" s="156"/>
      <c r="N485" s="157"/>
      <c r="O485" s="55"/>
      <c r="P485" s="55"/>
      <c r="Q485" s="55"/>
      <c r="R485" s="55"/>
      <c r="S485" s="55"/>
      <c r="T485" s="56"/>
      <c r="U485" s="34"/>
      <c r="V485" s="34"/>
      <c r="W485" s="34"/>
      <c r="X485" s="34"/>
      <c r="Y485" s="34"/>
      <c r="Z485" s="34"/>
      <c r="AA485" s="34"/>
      <c r="AB485" s="34"/>
      <c r="AC485" s="34"/>
      <c r="AD485" s="34"/>
      <c r="AE485" s="34"/>
      <c r="AT485" s="19" t="s">
        <v>191</v>
      </c>
      <c r="AU485" s="19" t="s">
        <v>87</v>
      </c>
    </row>
    <row r="486" spans="1:65" s="14" customFormat="1">
      <c r="B486" s="169"/>
      <c r="D486" s="153" t="s">
        <v>193</v>
      </c>
      <c r="E486" s="170" t="s">
        <v>3</v>
      </c>
      <c r="F486" s="171" t="s">
        <v>2661</v>
      </c>
      <c r="H486" s="170" t="s">
        <v>3</v>
      </c>
      <c r="I486" s="172"/>
      <c r="L486" s="169"/>
      <c r="M486" s="173"/>
      <c r="N486" s="174"/>
      <c r="O486" s="174"/>
      <c r="P486" s="174"/>
      <c r="Q486" s="174"/>
      <c r="R486" s="174"/>
      <c r="S486" s="174"/>
      <c r="T486" s="175"/>
      <c r="AT486" s="170" t="s">
        <v>193</v>
      </c>
      <c r="AU486" s="170" t="s">
        <v>87</v>
      </c>
      <c r="AV486" s="14" t="s">
        <v>85</v>
      </c>
      <c r="AW486" s="14" t="s">
        <v>36</v>
      </c>
      <c r="AX486" s="14" t="s">
        <v>77</v>
      </c>
      <c r="AY486" s="170" t="s">
        <v>177</v>
      </c>
    </row>
    <row r="487" spans="1:65" s="13" customFormat="1">
      <c r="B487" s="161"/>
      <c r="D487" s="153" t="s">
        <v>193</v>
      </c>
      <c r="E487" s="162" t="s">
        <v>3</v>
      </c>
      <c r="F487" s="163" t="s">
        <v>2662</v>
      </c>
      <c r="H487" s="164">
        <v>1.3480000000000001</v>
      </c>
      <c r="I487" s="165"/>
      <c r="L487" s="161"/>
      <c r="M487" s="166"/>
      <c r="N487" s="167"/>
      <c r="O487" s="167"/>
      <c r="P487" s="167"/>
      <c r="Q487" s="167"/>
      <c r="R487" s="167"/>
      <c r="S487" s="167"/>
      <c r="T487" s="168"/>
      <c r="AT487" s="162" t="s">
        <v>193</v>
      </c>
      <c r="AU487" s="162" t="s">
        <v>87</v>
      </c>
      <c r="AV487" s="13" t="s">
        <v>87</v>
      </c>
      <c r="AW487" s="13" t="s">
        <v>36</v>
      </c>
      <c r="AX487" s="13" t="s">
        <v>85</v>
      </c>
      <c r="AY487" s="162" t="s">
        <v>177</v>
      </c>
    </row>
    <row r="488" spans="1:65" s="2" customFormat="1" ht="16.5" customHeight="1">
      <c r="A488" s="34"/>
      <c r="B488" s="139"/>
      <c r="C488" s="140" t="s">
        <v>1292</v>
      </c>
      <c r="D488" s="140" t="s">
        <v>180</v>
      </c>
      <c r="E488" s="141" t="s">
        <v>1159</v>
      </c>
      <c r="F488" s="142" t="s">
        <v>1160</v>
      </c>
      <c r="G488" s="143" t="s">
        <v>332</v>
      </c>
      <c r="H488" s="144">
        <v>2.6960000000000002</v>
      </c>
      <c r="I488" s="145"/>
      <c r="J488" s="146">
        <f>ROUND(I488*H488,2)</f>
        <v>0</v>
      </c>
      <c r="K488" s="142" t="s">
        <v>184</v>
      </c>
      <c r="L488" s="35"/>
      <c r="M488" s="147" t="s">
        <v>3</v>
      </c>
      <c r="N488" s="148" t="s">
        <v>48</v>
      </c>
      <c r="O488" s="55"/>
      <c r="P488" s="149">
        <f>O488*H488</f>
        <v>0</v>
      </c>
      <c r="Q488" s="149">
        <v>8.3739999999999995E-2</v>
      </c>
      <c r="R488" s="149">
        <f>Q488*H488</f>
        <v>0.22576304</v>
      </c>
      <c r="S488" s="149">
        <v>0</v>
      </c>
      <c r="T488" s="150">
        <f>S488*H488</f>
        <v>0</v>
      </c>
      <c r="U488" s="34"/>
      <c r="V488" s="34"/>
      <c r="W488" s="34"/>
      <c r="X488" s="34"/>
      <c r="Y488" s="34"/>
      <c r="Z488" s="34"/>
      <c r="AA488" s="34"/>
      <c r="AB488" s="34"/>
      <c r="AC488" s="34"/>
      <c r="AD488" s="34"/>
      <c r="AE488" s="34"/>
      <c r="AR488" s="151" t="s">
        <v>185</v>
      </c>
      <c r="AT488" s="151" t="s">
        <v>180</v>
      </c>
      <c r="AU488" s="151" t="s">
        <v>87</v>
      </c>
      <c r="AY488" s="19" t="s">
        <v>177</v>
      </c>
      <c r="BE488" s="152">
        <f>IF(N488="základní",J488,0)</f>
        <v>0</v>
      </c>
      <c r="BF488" s="152">
        <f>IF(N488="snížená",J488,0)</f>
        <v>0</v>
      </c>
      <c r="BG488" s="152">
        <f>IF(N488="zákl. přenesená",J488,0)</f>
        <v>0</v>
      </c>
      <c r="BH488" s="152">
        <f>IF(N488="sníž. přenesená",J488,0)</f>
        <v>0</v>
      </c>
      <c r="BI488" s="152">
        <f>IF(N488="nulová",J488,0)</f>
        <v>0</v>
      </c>
      <c r="BJ488" s="19" t="s">
        <v>85</v>
      </c>
      <c r="BK488" s="152">
        <f>ROUND(I488*H488,2)</f>
        <v>0</v>
      </c>
      <c r="BL488" s="19" t="s">
        <v>185</v>
      </c>
      <c r="BM488" s="151" t="s">
        <v>2663</v>
      </c>
    </row>
    <row r="489" spans="1:65" s="2" customFormat="1">
      <c r="A489" s="34"/>
      <c r="B489" s="35"/>
      <c r="C489" s="34"/>
      <c r="D489" s="153" t="s">
        <v>187</v>
      </c>
      <c r="E489" s="34"/>
      <c r="F489" s="154" t="s">
        <v>1162</v>
      </c>
      <c r="G489" s="34"/>
      <c r="H489" s="34"/>
      <c r="I489" s="155"/>
      <c r="J489" s="34"/>
      <c r="K489" s="34"/>
      <c r="L489" s="35"/>
      <c r="M489" s="156"/>
      <c r="N489" s="157"/>
      <c r="O489" s="55"/>
      <c r="P489" s="55"/>
      <c r="Q489" s="55"/>
      <c r="R489" s="55"/>
      <c r="S489" s="55"/>
      <c r="T489" s="56"/>
      <c r="U489" s="34"/>
      <c r="V489" s="34"/>
      <c r="W489" s="34"/>
      <c r="X489" s="34"/>
      <c r="Y489" s="34"/>
      <c r="Z489" s="34"/>
      <c r="AA489" s="34"/>
      <c r="AB489" s="34"/>
      <c r="AC489" s="34"/>
      <c r="AD489" s="34"/>
      <c r="AE489" s="34"/>
      <c r="AT489" s="19" t="s">
        <v>187</v>
      </c>
      <c r="AU489" s="19" t="s">
        <v>87</v>
      </c>
    </row>
    <row r="490" spans="1:65" s="2" customFormat="1">
      <c r="A490" s="34"/>
      <c r="B490" s="35"/>
      <c r="C490" s="34"/>
      <c r="D490" s="158" t="s">
        <v>189</v>
      </c>
      <c r="E490" s="34"/>
      <c r="F490" s="159" t="s">
        <v>1163</v>
      </c>
      <c r="G490" s="34"/>
      <c r="H490" s="34"/>
      <c r="I490" s="155"/>
      <c r="J490" s="34"/>
      <c r="K490" s="34"/>
      <c r="L490" s="35"/>
      <c r="M490" s="156"/>
      <c r="N490" s="157"/>
      <c r="O490" s="55"/>
      <c r="P490" s="55"/>
      <c r="Q490" s="55"/>
      <c r="R490" s="55"/>
      <c r="S490" s="55"/>
      <c r="T490" s="56"/>
      <c r="U490" s="34"/>
      <c r="V490" s="34"/>
      <c r="W490" s="34"/>
      <c r="X490" s="34"/>
      <c r="Y490" s="34"/>
      <c r="Z490" s="34"/>
      <c r="AA490" s="34"/>
      <c r="AB490" s="34"/>
      <c r="AC490" s="34"/>
      <c r="AD490" s="34"/>
      <c r="AE490" s="34"/>
      <c r="AT490" s="19" t="s">
        <v>189</v>
      </c>
      <c r="AU490" s="19" t="s">
        <v>87</v>
      </c>
    </row>
    <row r="491" spans="1:65" s="2" customFormat="1" ht="107.25">
      <c r="A491" s="34"/>
      <c r="B491" s="35"/>
      <c r="C491" s="34"/>
      <c r="D491" s="153" t="s">
        <v>191</v>
      </c>
      <c r="E491" s="34"/>
      <c r="F491" s="160" t="s">
        <v>396</v>
      </c>
      <c r="G491" s="34"/>
      <c r="H491" s="34"/>
      <c r="I491" s="155"/>
      <c r="J491" s="34"/>
      <c r="K491" s="34"/>
      <c r="L491" s="35"/>
      <c r="M491" s="156"/>
      <c r="N491" s="157"/>
      <c r="O491" s="55"/>
      <c r="P491" s="55"/>
      <c r="Q491" s="55"/>
      <c r="R491" s="55"/>
      <c r="S491" s="55"/>
      <c r="T491" s="56"/>
      <c r="U491" s="34"/>
      <c r="V491" s="34"/>
      <c r="W491" s="34"/>
      <c r="X491" s="34"/>
      <c r="Y491" s="34"/>
      <c r="Z491" s="34"/>
      <c r="AA491" s="34"/>
      <c r="AB491" s="34"/>
      <c r="AC491" s="34"/>
      <c r="AD491" s="34"/>
      <c r="AE491" s="34"/>
      <c r="AT491" s="19" t="s">
        <v>191</v>
      </c>
      <c r="AU491" s="19" t="s">
        <v>87</v>
      </c>
    </row>
    <row r="492" spans="1:65" s="14" customFormat="1">
      <c r="B492" s="169"/>
      <c r="D492" s="153" t="s">
        <v>193</v>
      </c>
      <c r="E492" s="170" t="s">
        <v>3</v>
      </c>
      <c r="F492" s="171" t="s">
        <v>1862</v>
      </c>
      <c r="H492" s="170" t="s">
        <v>3</v>
      </c>
      <c r="I492" s="172"/>
      <c r="L492" s="169"/>
      <c r="M492" s="173"/>
      <c r="N492" s="174"/>
      <c r="O492" s="174"/>
      <c r="P492" s="174"/>
      <c r="Q492" s="174"/>
      <c r="R492" s="174"/>
      <c r="S492" s="174"/>
      <c r="T492" s="175"/>
      <c r="AT492" s="170" t="s">
        <v>193</v>
      </c>
      <c r="AU492" s="170" t="s">
        <v>87</v>
      </c>
      <c r="AV492" s="14" t="s">
        <v>85</v>
      </c>
      <c r="AW492" s="14" t="s">
        <v>36</v>
      </c>
      <c r="AX492" s="14" t="s">
        <v>77</v>
      </c>
      <c r="AY492" s="170" t="s">
        <v>177</v>
      </c>
    </row>
    <row r="493" spans="1:65" s="13" customFormat="1">
      <c r="B493" s="161"/>
      <c r="D493" s="153" t="s">
        <v>193</v>
      </c>
      <c r="E493" s="162" t="s">
        <v>3</v>
      </c>
      <c r="F493" s="163" t="s">
        <v>2664</v>
      </c>
      <c r="H493" s="164">
        <v>2.6960000000000002</v>
      </c>
      <c r="I493" s="165"/>
      <c r="L493" s="161"/>
      <c r="M493" s="166"/>
      <c r="N493" s="167"/>
      <c r="O493" s="167"/>
      <c r="P493" s="167"/>
      <c r="Q493" s="167"/>
      <c r="R493" s="167"/>
      <c r="S493" s="167"/>
      <c r="T493" s="168"/>
      <c r="AT493" s="162" t="s">
        <v>193</v>
      </c>
      <c r="AU493" s="162" t="s">
        <v>87</v>
      </c>
      <c r="AV493" s="13" t="s">
        <v>87</v>
      </c>
      <c r="AW493" s="13" t="s">
        <v>36</v>
      </c>
      <c r="AX493" s="13" t="s">
        <v>85</v>
      </c>
      <c r="AY493" s="162" t="s">
        <v>177</v>
      </c>
    </row>
    <row r="494" spans="1:65" s="2" customFormat="1" ht="16.5" customHeight="1">
      <c r="A494" s="34"/>
      <c r="B494" s="139"/>
      <c r="C494" s="140" t="s">
        <v>1298</v>
      </c>
      <c r="D494" s="140" t="s">
        <v>180</v>
      </c>
      <c r="E494" s="141" t="s">
        <v>1170</v>
      </c>
      <c r="F494" s="142" t="s">
        <v>1171</v>
      </c>
      <c r="G494" s="143" t="s">
        <v>332</v>
      </c>
      <c r="H494" s="144">
        <v>2.6960000000000002</v>
      </c>
      <c r="I494" s="145"/>
      <c r="J494" s="146">
        <f>ROUND(I494*H494,2)</f>
        <v>0</v>
      </c>
      <c r="K494" s="142" t="s">
        <v>184</v>
      </c>
      <c r="L494" s="35"/>
      <c r="M494" s="147" t="s">
        <v>3</v>
      </c>
      <c r="N494" s="148" t="s">
        <v>48</v>
      </c>
      <c r="O494" s="55"/>
      <c r="P494" s="149">
        <f>O494*H494</f>
        <v>0</v>
      </c>
      <c r="Q494" s="149">
        <v>1.34E-3</v>
      </c>
      <c r="R494" s="149">
        <f>Q494*H494</f>
        <v>3.6126400000000003E-3</v>
      </c>
      <c r="S494" s="149">
        <v>0</v>
      </c>
      <c r="T494" s="150">
        <f>S494*H494</f>
        <v>0</v>
      </c>
      <c r="U494" s="34"/>
      <c r="V494" s="34"/>
      <c r="W494" s="34"/>
      <c r="X494" s="34"/>
      <c r="Y494" s="34"/>
      <c r="Z494" s="34"/>
      <c r="AA494" s="34"/>
      <c r="AB494" s="34"/>
      <c r="AC494" s="34"/>
      <c r="AD494" s="34"/>
      <c r="AE494" s="34"/>
      <c r="AR494" s="151" t="s">
        <v>185</v>
      </c>
      <c r="AT494" s="151" t="s">
        <v>180</v>
      </c>
      <c r="AU494" s="151" t="s">
        <v>87</v>
      </c>
      <c r="AY494" s="19" t="s">
        <v>177</v>
      </c>
      <c r="BE494" s="152">
        <f>IF(N494="základní",J494,0)</f>
        <v>0</v>
      </c>
      <c r="BF494" s="152">
        <f>IF(N494="snížená",J494,0)</f>
        <v>0</v>
      </c>
      <c r="BG494" s="152">
        <f>IF(N494="zákl. přenesená",J494,0)</f>
        <v>0</v>
      </c>
      <c r="BH494" s="152">
        <f>IF(N494="sníž. přenesená",J494,0)</f>
        <v>0</v>
      </c>
      <c r="BI494" s="152">
        <f>IF(N494="nulová",J494,0)</f>
        <v>0</v>
      </c>
      <c r="BJ494" s="19" t="s">
        <v>85</v>
      </c>
      <c r="BK494" s="152">
        <f>ROUND(I494*H494,2)</f>
        <v>0</v>
      </c>
      <c r="BL494" s="19" t="s">
        <v>185</v>
      </c>
      <c r="BM494" s="151" t="s">
        <v>2665</v>
      </c>
    </row>
    <row r="495" spans="1:65" s="2" customFormat="1">
      <c r="A495" s="34"/>
      <c r="B495" s="35"/>
      <c r="C495" s="34"/>
      <c r="D495" s="153" t="s">
        <v>187</v>
      </c>
      <c r="E495" s="34"/>
      <c r="F495" s="154" t="s">
        <v>1173</v>
      </c>
      <c r="G495" s="34"/>
      <c r="H495" s="34"/>
      <c r="I495" s="155"/>
      <c r="J495" s="34"/>
      <c r="K495" s="34"/>
      <c r="L495" s="35"/>
      <c r="M495" s="156"/>
      <c r="N495" s="157"/>
      <c r="O495" s="55"/>
      <c r="P495" s="55"/>
      <c r="Q495" s="55"/>
      <c r="R495" s="55"/>
      <c r="S495" s="55"/>
      <c r="T495" s="56"/>
      <c r="U495" s="34"/>
      <c r="V495" s="34"/>
      <c r="W495" s="34"/>
      <c r="X495" s="34"/>
      <c r="Y495" s="34"/>
      <c r="Z495" s="34"/>
      <c r="AA495" s="34"/>
      <c r="AB495" s="34"/>
      <c r="AC495" s="34"/>
      <c r="AD495" s="34"/>
      <c r="AE495" s="34"/>
      <c r="AT495" s="19" t="s">
        <v>187</v>
      </c>
      <c r="AU495" s="19" t="s">
        <v>87</v>
      </c>
    </row>
    <row r="496" spans="1:65" s="2" customFormat="1">
      <c r="A496" s="34"/>
      <c r="B496" s="35"/>
      <c r="C496" s="34"/>
      <c r="D496" s="158" t="s">
        <v>189</v>
      </c>
      <c r="E496" s="34"/>
      <c r="F496" s="159" t="s">
        <v>1174</v>
      </c>
      <c r="G496" s="34"/>
      <c r="H496" s="34"/>
      <c r="I496" s="155"/>
      <c r="J496" s="34"/>
      <c r="K496" s="34"/>
      <c r="L496" s="35"/>
      <c r="M496" s="156"/>
      <c r="N496" s="157"/>
      <c r="O496" s="55"/>
      <c r="P496" s="55"/>
      <c r="Q496" s="55"/>
      <c r="R496" s="55"/>
      <c r="S496" s="55"/>
      <c r="T496" s="56"/>
      <c r="U496" s="34"/>
      <c r="V496" s="34"/>
      <c r="W496" s="34"/>
      <c r="X496" s="34"/>
      <c r="Y496" s="34"/>
      <c r="Z496" s="34"/>
      <c r="AA496" s="34"/>
      <c r="AB496" s="34"/>
      <c r="AC496" s="34"/>
      <c r="AD496" s="34"/>
      <c r="AE496" s="34"/>
      <c r="AT496" s="19" t="s">
        <v>189</v>
      </c>
      <c r="AU496" s="19" t="s">
        <v>87</v>
      </c>
    </row>
    <row r="497" spans="1:65" s="2" customFormat="1" ht="39">
      <c r="A497" s="34"/>
      <c r="B497" s="35"/>
      <c r="C497" s="34"/>
      <c r="D497" s="153" t="s">
        <v>191</v>
      </c>
      <c r="E497" s="34"/>
      <c r="F497" s="160" t="s">
        <v>459</v>
      </c>
      <c r="G497" s="34"/>
      <c r="H497" s="34"/>
      <c r="I497" s="155"/>
      <c r="J497" s="34"/>
      <c r="K497" s="34"/>
      <c r="L497" s="35"/>
      <c r="M497" s="156"/>
      <c r="N497" s="157"/>
      <c r="O497" s="55"/>
      <c r="P497" s="55"/>
      <c r="Q497" s="55"/>
      <c r="R497" s="55"/>
      <c r="S497" s="55"/>
      <c r="T497" s="56"/>
      <c r="U497" s="34"/>
      <c r="V497" s="34"/>
      <c r="W497" s="34"/>
      <c r="X497" s="34"/>
      <c r="Y497" s="34"/>
      <c r="Z497" s="34"/>
      <c r="AA497" s="34"/>
      <c r="AB497" s="34"/>
      <c r="AC497" s="34"/>
      <c r="AD497" s="34"/>
      <c r="AE497" s="34"/>
      <c r="AT497" s="19" t="s">
        <v>191</v>
      </c>
      <c r="AU497" s="19" t="s">
        <v>87</v>
      </c>
    </row>
    <row r="498" spans="1:65" s="2" customFormat="1" ht="16.5" customHeight="1">
      <c r="A498" s="34"/>
      <c r="B498" s="139"/>
      <c r="C498" s="140" t="s">
        <v>1306</v>
      </c>
      <c r="D498" s="140" t="s">
        <v>180</v>
      </c>
      <c r="E498" s="141" t="s">
        <v>462</v>
      </c>
      <c r="F498" s="142" t="s">
        <v>463</v>
      </c>
      <c r="G498" s="143" t="s">
        <v>332</v>
      </c>
      <c r="H498" s="144">
        <v>4.0439999999999996</v>
      </c>
      <c r="I498" s="145"/>
      <c r="J498" s="146">
        <f>ROUND(I498*H498,2)</f>
        <v>0</v>
      </c>
      <c r="K498" s="142" t="s">
        <v>184</v>
      </c>
      <c r="L498" s="35"/>
      <c r="M498" s="147" t="s">
        <v>3</v>
      </c>
      <c r="N498" s="148" t="s">
        <v>48</v>
      </c>
      <c r="O498" s="55"/>
      <c r="P498" s="149">
        <f>O498*H498</f>
        <v>0</v>
      </c>
      <c r="Q498" s="149">
        <v>2.0999999999999999E-3</v>
      </c>
      <c r="R498" s="149">
        <f>Q498*H498</f>
        <v>8.4923999999999989E-3</v>
      </c>
      <c r="S498" s="149">
        <v>0</v>
      </c>
      <c r="T498" s="150">
        <f>S498*H498</f>
        <v>0</v>
      </c>
      <c r="U498" s="34"/>
      <c r="V498" s="34"/>
      <c r="W498" s="34"/>
      <c r="X498" s="34"/>
      <c r="Y498" s="34"/>
      <c r="Z498" s="34"/>
      <c r="AA498" s="34"/>
      <c r="AB498" s="34"/>
      <c r="AC498" s="34"/>
      <c r="AD498" s="34"/>
      <c r="AE498" s="34"/>
      <c r="AR498" s="151" t="s">
        <v>185</v>
      </c>
      <c r="AT498" s="151" t="s">
        <v>180</v>
      </c>
      <c r="AU498" s="151" t="s">
        <v>87</v>
      </c>
      <c r="AY498" s="19" t="s">
        <v>177</v>
      </c>
      <c r="BE498" s="152">
        <f>IF(N498="základní",J498,0)</f>
        <v>0</v>
      </c>
      <c r="BF498" s="152">
        <f>IF(N498="snížená",J498,0)</f>
        <v>0</v>
      </c>
      <c r="BG498" s="152">
        <f>IF(N498="zákl. přenesená",J498,0)</f>
        <v>0</v>
      </c>
      <c r="BH498" s="152">
        <f>IF(N498="sníž. přenesená",J498,0)</f>
        <v>0</v>
      </c>
      <c r="BI498" s="152">
        <f>IF(N498="nulová",J498,0)</f>
        <v>0</v>
      </c>
      <c r="BJ498" s="19" t="s">
        <v>85</v>
      </c>
      <c r="BK498" s="152">
        <f>ROUND(I498*H498,2)</f>
        <v>0</v>
      </c>
      <c r="BL498" s="19" t="s">
        <v>185</v>
      </c>
      <c r="BM498" s="151" t="s">
        <v>2666</v>
      </c>
    </row>
    <row r="499" spans="1:65" s="2" customFormat="1">
      <c r="A499" s="34"/>
      <c r="B499" s="35"/>
      <c r="C499" s="34"/>
      <c r="D499" s="153" t="s">
        <v>187</v>
      </c>
      <c r="E499" s="34"/>
      <c r="F499" s="154" t="s">
        <v>465</v>
      </c>
      <c r="G499" s="34"/>
      <c r="H499" s="34"/>
      <c r="I499" s="155"/>
      <c r="J499" s="34"/>
      <c r="K499" s="34"/>
      <c r="L499" s="35"/>
      <c r="M499" s="156"/>
      <c r="N499" s="157"/>
      <c r="O499" s="55"/>
      <c r="P499" s="55"/>
      <c r="Q499" s="55"/>
      <c r="R499" s="55"/>
      <c r="S499" s="55"/>
      <c r="T499" s="56"/>
      <c r="U499" s="34"/>
      <c r="V499" s="34"/>
      <c r="W499" s="34"/>
      <c r="X499" s="34"/>
      <c r="Y499" s="34"/>
      <c r="Z499" s="34"/>
      <c r="AA499" s="34"/>
      <c r="AB499" s="34"/>
      <c r="AC499" s="34"/>
      <c r="AD499" s="34"/>
      <c r="AE499" s="34"/>
      <c r="AT499" s="19" t="s">
        <v>187</v>
      </c>
      <c r="AU499" s="19" t="s">
        <v>87</v>
      </c>
    </row>
    <row r="500" spans="1:65" s="2" customFormat="1">
      <c r="A500" s="34"/>
      <c r="B500" s="35"/>
      <c r="C500" s="34"/>
      <c r="D500" s="158" t="s">
        <v>189</v>
      </c>
      <c r="E500" s="34"/>
      <c r="F500" s="159" t="s">
        <v>466</v>
      </c>
      <c r="G500" s="34"/>
      <c r="H500" s="34"/>
      <c r="I500" s="155"/>
      <c r="J500" s="34"/>
      <c r="K500" s="34"/>
      <c r="L500" s="35"/>
      <c r="M500" s="156"/>
      <c r="N500" s="157"/>
      <c r="O500" s="55"/>
      <c r="P500" s="55"/>
      <c r="Q500" s="55"/>
      <c r="R500" s="55"/>
      <c r="S500" s="55"/>
      <c r="T500" s="56"/>
      <c r="U500" s="34"/>
      <c r="V500" s="34"/>
      <c r="W500" s="34"/>
      <c r="X500" s="34"/>
      <c r="Y500" s="34"/>
      <c r="Z500" s="34"/>
      <c r="AA500" s="34"/>
      <c r="AB500" s="34"/>
      <c r="AC500" s="34"/>
      <c r="AD500" s="34"/>
      <c r="AE500" s="34"/>
      <c r="AT500" s="19" t="s">
        <v>189</v>
      </c>
      <c r="AU500" s="19" t="s">
        <v>87</v>
      </c>
    </row>
    <row r="501" spans="1:65" s="13" customFormat="1">
      <c r="B501" s="161"/>
      <c r="D501" s="153" t="s">
        <v>193</v>
      </c>
      <c r="E501" s="162" t="s">
        <v>3</v>
      </c>
      <c r="F501" s="163" t="s">
        <v>2667</v>
      </c>
      <c r="H501" s="164">
        <v>4.0439999999999996</v>
      </c>
      <c r="I501" s="165"/>
      <c r="L501" s="161"/>
      <c r="M501" s="166"/>
      <c r="N501" s="167"/>
      <c r="O501" s="167"/>
      <c r="P501" s="167"/>
      <c r="Q501" s="167"/>
      <c r="R501" s="167"/>
      <c r="S501" s="167"/>
      <c r="T501" s="168"/>
      <c r="AT501" s="162" t="s">
        <v>193</v>
      </c>
      <c r="AU501" s="162" t="s">
        <v>87</v>
      </c>
      <c r="AV501" s="13" t="s">
        <v>87</v>
      </c>
      <c r="AW501" s="13" t="s">
        <v>36</v>
      </c>
      <c r="AX501" s="13" t="s">
        <v>85</v>
      </c>
      <c r="AY501" s="162" t="s">
        <v>177</v>
      </c>
    </row>
    <row r="502" spans="1:65" s="2" customFormat="1" ht="16.5" customHeight="1">
      <c r="A502" s="34"/>
      <c r="B502" s="139"/>
      <c r="C502" s="140" t="s">
        <v>1314</v>
      </c>
      <c r="D502" s="140" t="s">
        <v>180</v>
      </c>
      <c r="E502" s="141" t="s">
        <v>474</v>
      </c>
      <c r="F502" s="142" t="s">
        <v>475</v>
      </c>
      <c r="G502" s="143" t="s">
        <v>476</v>
      </c>
      <c r="H502" s="144">
        <v>3.37</v>
      </c>
      <c r="I502" s="145"/>
      <c r="J502" s="146">
        <f>ROUND(I502*H502,2)</f>
        <v>0</v>
      </c>
      <c r="K502" s="142" t="s">
        <v>184</v>
      </c>
      <c r="L502" s="35"/>
      <c r="M502" s="147" t="s">
        <v>3</v>
      </c>
      <c r="N502" s="148" t="s">
        <v>48</v>
      </c>
      <c r="O502" s="55"/>
      <c r="P502" s="149">
        <f>O502*H502</f>
        <v>0</v>
      </c>
      <c r="Q502" s="149">
        <v>4.3140000000000002E-4</v>
      </c>
      <c r="R502" s="149">
        <f>Q502*H502</f>
        <v>1.4538180000000002E-3</v>
      </c>
      <c r="S502" s="149">
        <v>0</v>
      </c>
      <c r="T502" s="150">
        <f>S502*H502</f>
        <v>0</v>
      </c>
      <c r="U502" s="34"/>
      <c r="V502" s="34"/>
      <c r="W502" s="34"/>
      <c r="X502" s="34"/>
      <c r="Y502" s="34"/>
      <c r="Z502" s="34"/>
      <c r="AA502" s="34"/>
      <c r="AB502" s="34"/>
      <c r="AC502" s="34"/>
      <c r="AD502" s="34"/>
      <c r="AE502" s="34"/>
      <c r="AR502" s="151" t="s">
        <v>185</v>
      </c>
      <c r="AT502" s="151" t="s">
        <v>180</v>
      </c>
      <c r="AU502" s="151" t="s">
        <v>87</v>
      </c>
      <c r="AY502" s="19" t="s">
        <v>177</v>
      </c>
      <c r="BE502" s="152">
        <f>IF(N502="základní",J502,0)</f>
        <v>0</v>
      </c>
      <c r="BF502" s="152">
        <f>IF(N502="snížená",J502,0)</f>
        <v>0</v>
      </c>
      <c r="BG502" s="152">
        <f>IF(N502="zákl. přenesená",J502,0)</f>
        <v>0</v>
      </c>
      <c r="BH502" s="152">
        <f>IF(N502="sníž. přenesená",J502,0)</f>
        <v>0</v>
      </c>
      <c r="BI502" s="152">
        <f>IF(N502="nulová",J502,0)</f>
        <v>0</v>
      </c>
      <c r="BJ502" s="19" t="s">
        <v>85</v>
      </c>
      <c r="BK502" s="152">
        <f>ROUND(I502*H502,2)</f>
        <v>0</v>
      </c>
      <c r="BL502" s="19" t="s">
        <v>185</v>
      </c>
      <c r="BM502" s="151" t="s">
        <v>2668</v>
      </c>
    </row>
    <row r="503" spans="1:65" s="2" customFormat="1">
      <c r="A503" s="34"/>
      <c r="B503" s="35"/>
      <c r="C503" s="34"/>
      <c r="D503" s="153" t="s">
        <v>187</v>
      </c>
      <c r="E503" s="34"/>
      <c r="F503" s="154" t="s">
        <v>478</v>
      </c>
      <c r="G503" s="34"/>
      <c r="H503" s="34"/>
      <c r="I503" s="155"/>
      <c r="J503" s="34"/>
      <c r="K503" s="34"/>
      <c r="L503" s="35"/>
      <c r="M503" s="156"/>
      <c r="N503" s="157"/>
      <c r="O503" s="55"/>
      <c r="P503" s="55"/>
      <c r="Q503" s="55"/>
      <c r="R503" s="55"/>
      <c r="S503" s="55"/>
      <c r="T503" s="56"/>
      <c r="U503" s="34"/>
      <c r="V503" s="34"/>
      <c r="W503" s="34"/>
      <c r="X503" s="34"/>
      <c r="Y503" s="34"/>
      <c r="Z503" s="34"/>
      <c r="AA503" s="34"/>
      <c r="AB503" s="34"/>
      <c r="AC503" s="34"/>
      <c r="AD503" s="34"/>
      <c r="AE503" s="34"/>
      <c r="AT503" s="19" t="s">
        <v>187</v>
      </c>
      <c r="AU503" s="19" t="s">
        <v>87</v>
      </c>
    </row>
    <row r="504" spans="1:65" s="2" customFormat="1">
      <c r="A504" s="34"/>
      <c r="B504" s="35"/>
      <c r="C504" s="34"/>
      <c r="D504" s="158" t="s">
        <v>189</v>
      </c>
      <c r="E504" s="34"/>
      <c r="F504" s="159" t="s">
        <v>479</v>
      </c>
      <c r="G504" s="34"/>
      <c r="H504" s="34"/>
      <c r="I504" s="155"/>
      <c r="J504" s="34"/>
      <c r="K504" s="34"/>
      <c r="L504" s="35"/>
      <c r="M504" s="156"/>
      <c r="N504" s="157"/>
      <c r="O504" s="55"/>
      <c r="P504" s="55"/>
      <c r="Q504" s="55"/>
      <c r="R504" s="55"/>
      <c r="S504" s="55"/>
      <c r="T504" s="56"/>
      <c r="U504" s="34"/>
      <c r="V504" s="34"/>
      <c r="W504" s="34"/>
      <c r="X504" s="34"/>
      <c r="Y504" s="34"/>
      <c r="Z504" s="34"/>
      <c r="AA504" s="34"/>
      <c r="AB504" s="34"/>
      <c r="AC504" s="34"/>
      <c r="AD504" s="34"/>
      <c r="AE504" s="34"/>
      <c r="AT504" s="19" t="s">
        <v>189</v>
      </c>
      <c r="AU504" s="19" t="s">
        <v>87</v>
      </c>
    </row>
    <row r="505" spans="1:65" s="2" customFormat="1" ht="78">
      <c r="A505" s="34"/>
      <c r="B505" s="35"/>
      <c r="C505" s="34"/>
      <c r="D505" s="153" t="s">
        <v>191</v>
      </c>
      <c r="E505" s="34"/>
      <c r="F505" s="160" t="s">
        <v>480</v>
      </c>
      <c r="G505" s="34"/>
      <c r="H505" s="34"/>
      <c r="I505" s="155"/>
      <c r="J505" s="34"/>
      <c r="K505" s="34"/>
      <c r="L505" s="35"/>
      <c r="M505" s="156"/>
      <c r="N505" s="157"/>
      <c r="O505" s="55"/>
      <c r="P505" s="55"/>
      <c r="Q505" s="55"/>
      <c r="R505" s="55"/>
      <c r="S505" s="55"/>
      <c r="T505" s="56"/>
      <c r="U505" s="34"/>
      <c r="V505" s="34"/>
      <c r="W505" s="34"/>
      <c r="X505" s="34"/>
      <c r="Y505" s="34"/>
      <c r="Z505" s="34"/>
      <c r="AA505" s="34"/>
      <c r="AB505" s="34"/>
      <c r="AC505" s="34"/>
      <c r="AD505" s="34"/>
      <c r="AE505" s="34"/>
      <c r="AT505" s="19" t="s">
        <v>191</v>
      </c>
      <c r="AU505" s="19" t="s">
        <v>87</v>
      </c>
    </row>
    <row r="506" spans="1:65" s="14" customFormat="1">
      <c r="B506" s="169"/>
      <c r="D506" s="153" t="s">
        <v>193</v>
      </c>
      <c r="E506" s="170" t="s">
        <v>3</v>
      </c>
      <c r="F506" s="171" t="s">
        <v>481</v>
      </c>
      <c r="H506" s="170" t="s">
        <v>3</v>
      </c>
      <c r="I506" s="172"/>
      <c r="L506" s="169"/>
      <c r="M506" s="173"/>
      <c r="N506" s="174"/>
      <c r="O506" s="174"/>
      <c r="P506" s="174"/>
      <c r="Q506" s="174"/>
      <c r="R506" s="174"/>
      <c r="S506" s="174"/>
      <c r="T506" s="175"/>
      <c r="AT506" s="170" t="s">
        <v>193</v>
      </c>
      <c r="AU506" s="170" t="s">
        <v>87</v>
      </c>
      <c r="AV506" s="14" t="s">
        <v>85</v>
      </c>
      <c r="AW506" s="14" t="s">
        <v>36</v>
      </c>
      <c r="AX506" s="14" t="s">
        <v>77</v>
      </c>
      <c r="AY506" s="170" t="s">
        <v>177</v>
      </c>
    </row>
    <row r="507" spans="1:65" s="13" customFormat="1">
      <c r="B507" s="161"/>
      <c r="D507" s="153" t="s">
        <v>193</v>
      </c>
      <c r="E507" s="162" t="s">
        <v>3</v>
      </c>
      <c r="F507" s="163" t="s">
        <v>2669</v>
      </c>
      <c r="H507" s="164">
        <v>3.37</v>
      </c>
      <c r="I507" s="165"/>
      <c r="L507" s="161"/>
      <c r="M507" s="166"/>
      <c r="N507" s="167"/>
      <c r="O507" s="167"/>
      <c r="P507" s="167"/>
      <c r="Q507" s="167"/>
      <c r="R507" s="167"/>
      <c r="S507" s="167"/>
      <c r="T507" s="168"/>
      <c r="AT507" s="162" t="s">
        <v>193</v>
      </c>
      <c r="AU507" s="162" t="s">
        <v>87</v>
      </c>
      <c r="AV507" s="13" t="s">
        <v>87</v>
      </c>
      <c r="AW507" s="13" t="s">
        <v>36</v>
      </c>
      <c r="AX507" s="13" t="s">
        <v>85</v>
      </c>
      <c r="AY507" s="162" t="s">
        <v>177</v>
      </c>
    </row>
    <row r="508" spans="1:65" s="2" customFormat="1" ht="16.5" customHeight="1">
      <c r="A508" s="34"/>
      <c r="B508" s="139"/>
      <c r="C508" s="195" t="s">
        <v>1326</v>
      </c>
      <c r="D508" s="195" t="s">
        <v>484</v>
      </c>
      <c r="E508" s="196" t="s">
        <v>485</v>
      </c>
      <c r="F508" s="197" t="s">
        <v>486</v>
      </c>
      <c r="G508" s="198" t="s">
        <v>183</v>
      </c>
      <c r="H508" s="199">
        <v>3.0000000000000001E-3</v>
      </c>
      <c r="I508" s="200"/>
      <c r="J508" s="201">
        <f>ROUND(I508*H508,2)</f>
        <v>0</v>
      </c>
      <c r="K508" s="197" t="s">
        <v>184</v>
      </c>
      <c r="L508" s="202"/>
      <c r="M508" s="203" t="s">
        <v>3</v>
      </c>
      <c r="N508" s="204" t="s">
        <v>48</v>
      </c>
      <c r="O508" s="55"/>
      <c r="P508" s="149">
        <f>O508*H508</f>
        <v>0</v>
      </c>
      <c r="Q508" s="149">
        <v>1</v>
      </c>
      <c r="R508" s="149">
        <f>Q508*H508</f>
        <v>3.0000000000000001E-3</v>
      </c>
      <c r="S508" s="149">
        <v>0</v>
      </c>
      <c r="T508" s="150">
        <f>S508*H508</f>
        <v>0</v>
      </c>
      <c r="U508" s="34"/>
      <c r="V508" s="34"/>
      <c r="W508" s="34"/>
      <c r="X508" s="34"/>
      <c r="Y508" s="34"/>
      <c r="Z508" s="34"/>
      <c r="AA508" s="34"/>
      <c r="AB508" s="34"/>
      <c r="AC508" s="34"/>
      <c r="AD508" s="34"/>
      <c r="AE508" s="34"/>
      <c r="AR508" s="151" t="s">
        <v>248</v>
      </c>
      <c r="AT508" s="151" t="s">
        <v>484</v>
      </c>
      <c r="AU508" s="151" t="s">
        <v>87</v>
      </c>
      <c r="AY508" s="19" t="s">
        <v>177</v>
      </c>
      <c r="BE508" s="152">
        <f>IF(N508="základní",J508,0)</f>
        <v>0</v>
      </c>
      <c r="BF508" s="152">
        <f>IF(N508="snížená",J508,0)</f>
        <v>0</v>
      </c>
      <c r="BG508" s="152">
        <f>IF(N508="zákl. přenesená",J508,0)</f>
        <v>0</v>
      </c>
      <c r="BH508" s="152">
        <f>IF(N508="sníž. přenesená",J508,0)</f>
        <v>0</v>
      </c>
      <c r="BI508" s="152">
        <f>IF(N508="nulová",J508,0)</f>
        <v>0</v>
      </c>
      <c r="BJ508" s="19" t="s">
        <v>85</v>
      </c>
      <c r="BK508" s="152">
        <f>ROUND(I508*H508,2)</f>
        <v>0</v>
      </c>
      <c r="BL508" s="19" t="s">
        <v>185</v>
      </c>
      <c r="BM508" s="151" t="s">
        <v>2670</v>
      </c>
    </row>
    <row r="509" spans="1:65" s="2" customFormat="1">
      <c r="A509" s="34"/>
      <c r="B509" s="35"/>
      <c r="C509" s="34"/>
      <c r="D509" s="153" t="s">
        <v>187</v>
      </c>
      <c r="E509" s="34"/>
      <c r="F509" s="154" t="s">
        <v>488</v>
      </c>
      <c r="G509" s="34"/>
      <c r="H509" s="34"/>
      <c r="I509" s="155"/>
      <c r="J509" s="34"/>
      <c r="K509" s="34"/>
      <c r="L509" s="35"/>
      <c r="M509" s="156"/>
      <c r="N509" s="157"/>
      <c r="O509" s="55"/>
      <c r="P509" s="55"/>
      <c r="Q509" s="55"/>
      <c r="R509" s="55"/>
      <c r="S509" s="55"/>
      <c r="T509" s="56"/>
      <c r="U509" s="34"/>
      <c r="V509" s="34"/>
      <c r="W509" s="34"/>
      <c r="X509" s="34"/>
      <c r="Y509" s="34"/>
      <c r="Z509" s="34"/>
      <c r="AA509" s="34"/>
      <c r="AB509" s="34"/>
      <c r="AC509" s="34"/>
      <c r="AD509" s="34"/>
      <c r="AE509" s="34"/>
      <c r="AT509" s="19" t="s">
        <v>187</v>
      </c>
      <c r="AU509" s="19" t="s">
        <v>87</v>
      </c>
    </row>
    <row r="510" spans="1:65" s="13" customFormat="1">
      <c r="B510" s="161"/>
      <c r="D510" s="153" t="s">
        <v>193</v>
      </c>
      <c r="E510" s="162" t="s">
        <v>3</v>
      </c>
      <c r="F510" s="163" t="s">
        <v>2671</v>
      </c>
      <c r="H510" s="164">
        <v>3.0000000000000001E-3</v>
      </c>
      <c r="I510" s="165"/>
      <c r="L510" s="161"/>
      <c r="M510" s="166"/>
      <c r="N510" s="167"/>
      <c r="O510" s="167"/>
      <c r="P510" s="167"/>
      <c r="Q510" s="167"/>
      <c r="R510" s="167"/>
      <c r="S510" s="167"/>
      <c r="T510" s="168"/>
      <c r="AT510" s="162" t="s">
        <v>193</v>
      </c>
      <c r="AU510" s="162" t="s">
        <v>87</v>
      </c>
      <c r="AV510" s="13" t="s">
        <v>87</v>
      </c>
      <c r="AW510" s="13" t="s">
        <v>36</v>
      </c>
      <c r="AX510" s="13" t="s">
        <v>85</v>
      </c>
      <c r="AY510" s="162" t="s">
        <v>177</v>
      </c>
    </row>
    <row r="511" spans="1:65" s="2" customFormat="1" ht="16.5" customHeight="1">
      <c r="A511" s="34"/>
      <c r="B511" s="139"/>
      <c r="C511" s="140" t="s">
        <v>1334</v>
      </c>
      <c r="D511" s="140" t="s">
        <v>180</v>
      </c>
      <c r="E511" s="141" t="s">
        <v>2672</v>
      </c>
      <c r="F511" s="142" t="s">
        <v>2673</v>
      </c>
      <c r="G511" s="143" t="s">
        <v>236</v>
      </c>
      <c r="H511" s="144">
        <v>8</v>
      </c>
      <c r="I511" s="145"/>
      <c r="J511" s="146">
        <f>ROUND(I511*H511,2)</f>
        <v>0</v>
      </c>
      <c r="K511" s="142" t="s">
        <v>244</v>
      </c>
      <c r="L511" s="35"/>
      <c r="M511" s="147" t="s">
        <v>3</v>
      </c>
      <c r="N511" s="148" t="s">
        <v>48</v>
      </c>
      <c r="O511" s="55"/>
      <c r="P511" s="149">
        <f>O511*H511</f>
        <v>0</v>
      </c>
      <c r="Q511" s="149">
        <v>0</v>
      </c>
      <c r="R511" s="149">
        <f>Q511*H511</f>
        <v>0</v>
      </c>
      <c r="S511" s="149">
        <v>0</v>
      </c>
      <c r="T511" s="150">
        <f>S511*H511</f>
        <v>0</v>
      </c>
      <c r="U511" s="34"/>
      <c r="V511" s="34"/>
      <c r="W511" s="34"/>
      <c r="X511" s="34"/>
      <c r="Y511" s="34"/>
      <c r="Z511" s="34"/>
      <c r="AA511" s="34"/>
      <c r="AB511" s="34"/>
      <c r="AC511" s="34"/>
      <c r="AD511" s="34"/>
      <c r="AE511" s="34"/>
      <c r="AR511" s="151" t="s">
        <v>185</v>
      </c>
      <c r="AT511" s="151" t="s">
        <v>180</v>
      </c>
      <c r="AU511" s="151" t="s">
        <v>87</v>
      </c>
      <c r="AY511" s="19" t="s">
        <v>177</v>
      </c>
      <c r="BE511" s="152">
        <f>IF(N511="základní",J511,0)</f>
        <v>0</v>
      </c>
      <c r="BF511" s="152">
        <f>IF(N511="snížená",J511,0)</f>
        <v>0</v>
      </c>
      <c r="BG511" s="152">
        <f>IF(N511="zákl. přenesená",J511,0)</f>
        <v>0</v>
      </c>
      <c r="BH511" s="152">
        <f>IF(N511="sníž. přenesená",J511,0)</f>
        <v>0</v>
      </c>
      <c r="BI511" s="152">
        <f>IF(N511="nulová",J511,0)</f>
        <v>0</v>
      </c>
      <c r="BJ511" s="19" t="s">
        <v>85</v>
      </c>
      <c r="BK511" s="152">
        <f>ROUND(I511*H511,2)</f>
        <v>0</v>
      </c>
      <c r="BL511" s="19" t="s">
        <v>185</v>
      </c>
      <c r="BM511" s="151" t="s">
        <v>2674</v>
      </c>
    </row>
    <row r="512" spans="1:65" s="2" customFormat="1">
      <c r="A512" s="34"/>
      <c r="B512" s="35"/>
      <c r="C512" s="34"/>
      <c r="D512" s="153" t="s">
        <v>187</v>
      </c>
      <c r="E512" s="34"/>
      <c r="F512" s="154" t="s">
        <v>2673</v>
      </c>
      <c r="G512" s="34"/>
      <c r="H512" s="34"/>
      <c r="I512" s="155"/>
      <c r="J512" s="34"/>
      <c r="K512" s="34"/>
      <c r="L512" s="35"/>
      <c r="M512" s="156"/>
      <c r="N512" s="157"/>
      <c r="O512" s="55"/>
      <c r="P512" s="55"/>
      <c r="Q512" s="55"/>
      <c r="R512" s="55"/>
      <c r="S512" s="55"/>
      <c r="T512" s="56"/>
      <c r="U512" s="34"/>
      <c r="V512" s="34"/>
      <c r="W512" s="34"/>
      <c r="X512" s="34"/>
      <c r="Y512" s="34"/>
      <c r="Z512" s="34"/>
      <c r="AA512" s="34"/>
      <c r="AB512" s="34"/>
      <c r="AC512" s="34"/>
      <c r="AD512" s="34"/>
      <c r="AE512" s="34"/>
      <c r="AT512" s="19" t="s">
        <v>187</v>
      </c>
      <c r="AU512" s="19" t="s">
        <v>87</v>
      </c>
    </row>
    <row r="513" spans="1:65" s="2" customFormat="1" ht="16.5" customHeight="1">
      <c r="A513" s="34"/>
      <c r="B513" s="139"/>
      <c r="C513" s="140" t="s">
        <v>1340</v>
      </c>
      <c r="D513" s="140" t="s">
        <v>180</v>
      </c>
      <c r="E513" s="141" t="s">
        <v>2675</v>
      </c>
      <c r="F513" s="142" t="s">
        <v>2676</v>
      </c>
      <c r="G513" s="143" t="s">
        <v>236</v>
      </c>
      <c r="H513" s="144">
        <v>4</v>
      </c>
      <c r="I513" s="145"/>
      <c r="J513" s="146">
        <f>ROUND(I513*H513,2)</f>
        <v>0</v>
      </c>
      <c r="K513" s="142" t="s">
        <v>244</v>
      </c>
      <c r="L513" s="35"/>
      <c r="M513" s="147" t="s">
        <v>3</v>
      </c>
      <c r="N513" s="148" t="s">
        <v>48</v>
      </c>
      <c r="O513" s="55"/>
      <c r="P513" s="149">
        <f>O513*H513</f>
        <v>0</v>
      </c>
      <c r="Q513" s="149">
        <v>0</v>
      </c>
      <c r="R513" s="149">
        <f>Q513*H513</f>
        <v>0</v>
      </c>
      <c r="S513" s="149">
        <v>0</v>
      </c>
      <c r="T513" s="150">
        <f>S513*H513</f>
        <v>0</v>
      </c>
      <c r="U513" s="34"/>
      <c r="V513" s="34"/>
      <c r="W513" s="34"/>
      <c r="X513" s="34"/>
      <c r="Y513" s="34"/>
      <c r="Z513" s="34"/>
      <c r="AA513" s="34"/>
      <c r="AB513" s="34"/>
      <c r="AC513" s="34"/>
      <c r="AD513" s="34"/>
      <c r="AE513" s="34"/>
      <c r="AR513" s="151" t="s">
        <v>185</v>
      </c>
      <c r="AT513" s="151" t="s">
        <v>180</v>
      </c>
      <c r="AU513" s="151" t="s">
        <v>87</v>
      </c>
      <c r="AY513" s="19" t="s">
        <v>177</v>
      </c>
      <c r="BE513" s="152">
        <f>IF(N513="základní",J513,0)</f>
        <v>0</v>
      </c>
      <c r="BF513" s="152">
        <f>IF(N513="snížená",J513,0)</f>
        <v>0</v>
      </c>
      <c r="BG513" s="152">
        <f>IF(N513="zákl. přenesená",J513,0)</f>
        <v>0</v>
      </c>
      <c r="BH513" s="152">
        <f>IF(N513="sníž. přenesená",J513,0)</f>
        <v>0</v>
      </c>
      <c r="BI513" s="152">
        <f>IF(N513="nulová",J513,0)</f>
        <v>0</v>
      </c>
      <c r="BJ513" s="19" t="s">
        <v>85</v>
      </c>
      <c r="BK513" s="152">
        <f>ROUND(I513*H513,2)</f>
        <v>0</v>
      </c>
      <c r="BL513" s="19" t="s">
        <v>185</v>
      </c>
      <c r="BM513" s="151" t="s">
        <v>2677</v>
      </c>
    </row>
    <row r="514" spans="1:65" s="2" customFormat="1">
      <c r="A514" s="34"/>
      <c r="B514" s="35"/>
      <c r="C514" s="34"/>
      <c r="D514" s="153" t="s">
        <v>187</v>
      </c>
      <c r="E514" s="34"/>
      <c r="F514" s="154" t="s">
        <v>2676</v>
      </c>
      <c r="G514" s="34"/>
      <c r="H514" s="34"/>
      <c r="I514" s="155"/>
      <c r="J514" s="34"/>
      <c r="K514" s="34"/>
      <c r="L514" s="35"/>
      <c r="M514" s="156"/>
      <c r="N514" s="157"/>
      <c r="O514" s="55"/>
      <c r="P514" s="55"/>
      <c r="Q514" s="55"/>
      <c r="R514" s="55"/>
      <c r="S514" s="55"/>
      <c r="T514" s="56"/>
      <c r="U514" s="34"/>
      <c r="V514" s="34"/>
      <c r="W514" s="34"/>
      <c r="X514" s="34"/>
      <c r="Y514" s="34"/>
      <c r="Z514" s="34"/>
      <c r="AA514" s="34"/>
      <c r="AB514" s="34"/>
      <c r="AC514" s="34"/>
      <c r="AD514" s="34"/>
      <c r="AE514" s="34"/>
      <c r="AT514" s="19" t="s">
        <v>187</v>
      </c>
      <c r="AU514" s="19" t="s">
        <v>87</v>
      </c>
    </row>
    <row r="515" spans="1:65" s="12" customFormat="1" ht="22.9" customHeight="1">
      <c r="B515" s="126"/>
      <c r="D515" s="127" t="s">
        <v>76</v>
      </c>
      <c r="E515" s="137" t="s">
        <v>178</v>
      </c>
      <c r="F515" s="137" t="s">
        <v>179</v>
      </c>
      <c r="I515" s="129"/>
      <c r="J515" s="138">
        <f>BK515</f>
        <v>0</v>
      </c>
      <c r="L515" s="126"/>
      <c r="M515" s="131"/>
      <c r="N515" s="132"/>
      <c r="O515" s="132"/>
      <c r="P515" s="133">
        <f>SUM(P516:P537)</f>
        <v>0</v>
      </c>
      <c r="Q515" s="132"/>
      <c r="R515" s="133">
        <f>SUM(R516:R537)</f>
        <v>0</v>
      </c>
      <c r="S515" s="132"/>
      <c r="T515" s="134">
        <f>SUM(T516:T537)</f>
        <v>0</v>
      </c>
      <c r="AR515" s="127" t="s">
        <v>85</v>
      </c>
      <c r="AT515" s="135" t="s">
        <v>76</v>
      </c>
      <c r="AU515" s="135" t="s">
        <v>85</v>
      </c>
      <c r="AY515" s="127" t="s">
        <v>177</v>
      </c>
      <c r="BK515" s="136">
        <f>SUM(BK516:BK537)</f>
        <v>0</v>
      </c>
    </row>
    <row r="516" spans="1:65" s="2" customFormat="1" ht="16.5" customHeight="1">
      <c r="A516" s="34"/>
      <c r="B516" s="139"/>
      <c r="C516" s="140" t="s">
        <v>2678</v>
      </c>
      <c r="D516" s="140" t="s">
        <v>180</v>
      </c>
      <c r="E516" s="141" t="s">
        <v>181</v>
      </c>
      <c r="F516" s="142" t="s">
        <v>182</v>
      </c>
      <c r="G516" s="143" t="s">
        <v>183</v>
      </c>
      <c r="H516" s="144">
        <v>23.385999999999999</v>
      </c>
      <c r="I516" s="145"/>
      <c r="J516" s="146">
        <f>ROUND(I516*H516,2)</f>
        <v>0</v>
      </c>
      <c r="K516" s="142" t="s">
        <v>184</v>
      </c>
      <c r="L516" s="35"/>
      <c r="M516" s="147" t="s">
        <v>3</v>
      </c>
      <c r="N516" s="148" t="s">
        <v>48</v>
      </c>
      <c r="O516" s="55"/>
      <c r="P516" s="149">
        <f>O516*H516</f>
        <v>0</v>
      </c>
      <c r="Q516" s="149">
        <v>0</v>
      </c>
      <c r="R516" s="149">
        <f>Q516*H516</f>
        <v>0</v>
      </c>
      <c r="S516" s="149">
        <v>0</v>
      </c>
      <c r="T516" s="150">
        <f>S516*H516</f>
        <v>0</v>
      </c>
      <c r="U516" s="34"/>
      <c r="V516" s="34"/>
      <c r="W516" s="34"/>
      <c r="X516" s="34"/>
      <c r="Y516" s="34"/>
      <c r="Z516" s="34"/>
      <c r="AA516" s="34"/>
      <c r="AB516" s="34"/>
      <c r="AC516" s="34"/>
      <c r="AD516" s="34"/>
      <c r="AE516" s="34"/>
      <c r="AR516" s="151" t="s">
        <v>185</v>
      </c>
      <c r="AT516" s="151" t="s">
        <v>180</v>
      </c>
      <c r="AU516" s="151" t="s">
        <v>87</v>
      </c>
      <c r="AY516" s="19" t="s">
        <v>177</v>
      </c>
      <c r="BE516" s="152">
        <f>IF(N516="základní",J516,0)</f>
        <v>0</v>
      </c>
      <c r="BF516" s="152">
        <f>IF(N516="snížená",J516,0)</f>
        <v>0</v>
      </c>
      <c r="BG516" s="152">
        <f>IF(N516="zákl. přenesená",J516,0)</f>
        <v>0</v>
      </c>
      <c r="BH516" s="152">
        <f>IF(N516="sníž. přenesená",J516,0)</f>
        <v>0</v>
      </c>
      <c r="BI516" s="152">
        <f>IF(N516="nulová",J516,0)</f>
        <v>0</v>
      </c>
      <c r="BJ516" s="19" t="s">
        <v>85</v>
      </c>
      <c r="BK516" s="152">
        <f>ROUND(I516*H516,2)</f>
        <v>0</v>
      </c>
      <c r="BL516" s="19" t="s">
        <v>185</v>
      </c>
      <c r="BM516" s="151" t="s">
        <v>2679</v>
      </c>
    </row>
    <row r="517" spans="1:65" s="2" customFormat="1">
      <c r="A517" s="34"/>
      <c r="B517" s="35"/>
      <c r="C517" s="34"/>
      <c r="D517" s="153" t="s">
        <v>187</v>
      </c>
      <c r="E517" s="34"/>
      <c r="F517" s="154" t="s">
        <v>188</v>
      </c>
      <c r="G517" s="34"/>
      <c r="H517" s="34"/>
      <c r="I517" s="155"/>
      <c r="J517" s="34"/>
      <c r="K517" s="34"/>
      <c r="L517" s="35"/>
      <c r="M517" s="156"/>
      <c r="N517" s="157"/>
      <c r="O517" s="55"/>
      <c r="P517" s="55"/>
      <c r="Q517" s="55"/>
      <c r="R517" s="55"/>
      <c r="S517" s="55"/>
      <c r="T517" s="56"/>
      <c r="U517" s="34"/>
      <c r="V517" s="34"/>
      <c r="W517" s="34"/>
      <c r="X517" s="34"/>
      <c r="Y517" s="34"/>
      <c r="Z517" s="34"/>
      <c r="AA517" s="34"/>
      <c r="AB517" s="34"/>
      <c r="AC517" s="34"/>
      <c r="AD517" s="34"/>
      <c r="AE517" s="34"/>
      <c r="AT517" s="19" t="s">
        <v>187</v>
      </c>
      <c r="AU517" s="19" t="s">
        <v>87</v>
      </c>
    </row>
    <row r="518" spans="1:65" s="2" customFormat="1">
      <c r="A518" s="34"/>
      <c r="B518" s="35"/>
      <c r="C518" s="34"/>
      <c r="D518" s="158" t="s">
        <v>189</v>
      </c>
      <c r="E518" s="34"/>
      <c r="F518" s="159" t="s">
        <v>190</v>
      </c>
      <c r="G518" s="34"/>
      <c r="H518" s="34"/>
      <c r="I518" s="155"/>
      <c r="J518" s="34"/>
      <c r="K518" s="34"/>
      <c r="L518" s="35"/>
      <c r="M518" s="156"/>
      <c r="N518" s="157"/>
      <c r="O518" s="55"/>
      <c r="P518" s="55"/>
      <c r="Q518" s="55"/>
      <c r="R518" s="55"/>
      <c r="S518" s="55"/>
      <c r="T518" s="56"/>
      <c r="U518" s="34"/>
      <c r="V518" s="34"/>
      <c r="W518" s="34"/>
      <c r="X518" s="34"/>
      <c r="Y518" s="34"/>
      <c r="Z518" s="34"/>
      <c r="AA518" s="34"/>
      <c r="AB518" s="34"/>
      <c r="AC518" s="34"/>
      <c r="AD518" s="34"/>
      <c r="AE518" s="34"/>
      <c r="AT518" s="19" t="s">
        <v>189</v>
      </c>
      <c r="AU518" s="19" t="s">
        <v>87</v>
      </c>
    </row>
    <row r="519" spans="1:65" s="2" customFormat="1" ht="107.25">
      <c r="A519" s="34"/>
      <c r="B519" s="35"/>
      <c r="C519" s="34"/>
      <c r="D519" s="153" t="s">
        <v>191</v>
      </c>
      <c r="E519" s="34"/>
      <c r="F519" s="160" t="s">
        <v>192</v>
      </c>
      <c r="G519" s="34"/>
      <c r="H519" s="34"/>
      <c r="I519" s="155"/>
      <c r="J519" s="34"/>
      <c r="K519" s="34"/>
      <c r="L519" s="35"/>
      <c r="M519" s="156"/>
      <c r="N519" s="157"/>
      <c r="O519" s="55"/>
      <c r="P519" s="55"/>
      <c r="Q519" s="55"/>
      <c r="R519" s="55"/>
      <c r="S519" s="55"/>
      <c r="T519" s="56"/>
      <c r="U519" s="34"/>
      <c r="V519" s="34"/>
      <c r="W519" s="34"/>
      <c r="X519" s="34"/>
      <c r="Y519" s="34"/>
      <c r="Z519" s="34"/>
      <c r="AA519" s="34"/>
      <c r="AB519" s="34"/>
      <c r="AC519" s="34"/>
      <c r="AD519" s="34"/>
      <c r="AE519" s="34"/>
      <c r="AT519" s="19" t="s">
        <v>191</v>
      </c>
      <c r="AU519" s="19" t="s">
        <v>87</v>
      </c>
    </row>
    <row r="520" spans="1:65" s="2" customFormat="1" ht="21.75" customHeight="1">
      <c r="A520" s="34"/>
      <c r="B520" s="139"/>
      <c r="C520" s="140" t="s">
        <v>2680</v>
      </c>
      <c r="D520" s="140" t="s">
        <v>180</v>
      </c>
      <c r="E520" s="141" t="s">
        <v>202</v>
      </c>
      <c r="F520" s="142" t="s">
        <v>203</v>
      </c>
      <c r="G520" s="143" t="s">
        <v>183</v>
      </c>
      <c r="H520" s="144">
        <v>46.771999999999998</v>
      </c>
      <c r="I520" s="145"/>
      <c r="J520" s="146">
        <f>ROUND(I520*H520,2)</f>
        <v>0</v>
      </c>
      <c r="K520" s="142" t="s">
        <v>184</v>
      </c>
      <c r="L520" s="35"/>
      <c r="M520" s="147" t="s">
        <v>3</v>
      </c>
      <c r="N520" s="148" t="s">
        <v>48</v>
      </c>
      <c r="O520" s="55"/>
      <c r="P520" s="149">
        <f>O520*H520</f>
        <v>0</v>
      </c>
      <c r="Q520" s="149">
        <v>0</v>
      </c>
      <c r="R520" s="149">
        <f>Q520*H520</f>
        <v>0</v>
      </c>
      <c r="S520" s="149">
        <v>0</v>
      </c>
      <c r="T520" s="150">
        <f>S520*H520</f>
        <v>0</v>
      </c>
      <c r="U520" s="34"/>
      <c r="V520" s="34"/>
      <c r="W520" s="34"/>
      <c r="X520" s="34"/>
      <c r="Y520" s="34"/>
      <c r="Z520" s="34"/>
      <c r="AA520" s="34"/>
      <c r="AB520" s="34"/>
      <c r="AC520" s="34"/>
      <c r="AD520" s="34"/>
      <c r="AE520" s="34"/>
      <c r="AR520" s="151" t="s">
        <v>185</v>
      </c>
      <c r="AT520" s="151" t="s">
        <v>180</v>
      </c>
      <c r="AU520" s="151" t="s">
        <v>87</v>
      </c>
      <c r="AY520" s="19" t="s">
        <v>177</v>
      </c>
      <c r="BE520" s="152">
        <f>IF(N520="základní",J520,0)</f>
        <v>0</v>
      </c>
      <c r="BF520" s="152">
        <f>IF(N520="snížená",J520,0)</f>
        <v>0</v>
      </c>
      <c r="BG520" s="152">
        <f>IF(N520="zákl. přenesená",J520,0)</f>
        <v>0</v>
      </c>
      <c r="BH520" s="152">
        <f>IF(N520="sníž. přenesená",J520,0)</f>
        <v>0</v>
      </c>
      <c r="BI520" s="152">
        <f>IF(N520="nulová",J520,0)</f>
        <v>0</v>
      </c>
      <c r="BJ520" s="19" t="s">
        <v>85</v>
      </c>
      <c r="BK520" s="152">
        <f>ROUND(I520*H520,2)</f>
        <v>0</v>
      </c>
      <c r="BL520" s="19" t="s">
        <v>185</v>
      </c>
      <c r="BM520" s="151" t="s">
        <v>2681</v>
      </c>
    </row>
    <row r="521" spans="1:65" s="2" customFormat="1" ht="19.5">
      <c r="A521" s="34"/>
      <c r="B521" s="35"/>
      <c r="C521" s="34"/>
      <c r="D521" s="153" t="s">
        <v>187</v>
      </c>
      <c r="E521" s="34"/>
      <c r="F521" s="154" t="s">
        <v>205</v>
      </c>
      <c r="G521" s="34"/>
      <c r="H521" s="34"/>
      <c r="I521" s="155"/>
      <c r="J521" s="34"/>
      <c r="K521" s="34"/>
      <c r="L521" s="35"/>
      <c r="M521" s="156"/>
      <c r="N521" s="157"/>
      <c r="O521" s="55"/>
      <c r="P521" s="55"/>
      <c r="Q521" s="55"/>
      <c r="R521" s="55"/>
      <c r="S521" s="55"/>
      <c r="T521" s="56"/>
      <c r="U521" s="34"/>
      <c r="V521" s="34"/>
      <c r="W521" s="34"/>
      <c r="X521" s="34"/>
      <c r="Y521" s="34"/>
      <c r="Z521" s="34"/>
      <c r="AA521" s="34"/>
      <c r="AB521" s="34"/>
      <c r="AC521" s="34"/>
      <c r="AD521" s="34"/>
      <c r="AE521" s="34"/>
      <c r="AT521" s="19" t="s">
        <v>187</v>
      </c>
      <c r="AU521" s="19" t="s">
        <v>87</v>
      </c>
    </row>
    <row r="522" spans="1:65" s="2" customFormat="1">
      <c r="A522" s="34"/>
      <c r="B522" s="35"/>
      <c r="C522" s="34"/>
      <c r="D522" s="158" t="s">
        <v>189</v>
      </c>
      <c r="E522" s="34"/>
      <c r="F522" s="159" t="s">
        <v>206</v>
      </c>
      <c r="G522" s="34"/>
      <c r="H522" s="34"/>
      <c r="I522" s="155"/>
      <c r="J522" s="34"/>
      <c r="K522" s="34"/>
      <c r="L522" s="35"/>
      <c r="M522" s="156"/>
      <c r="N522" s="157"/>
      <c r="O522" s="55"/>
      <c r="P522" s="55"/>
      <c r="Q522" s="55"/>
      <c r="R522" s="55"/>
      <c r="S522" s="55"/>
      <c r="T522" s="56"/>
      <c r="U522" s="34"/>
      <c r="V522" s="34"/>
      <c r="W522" s="34"/>
      <c r="X522" s="34"/>
      <c r="Y522" s="34"/>
      <c r="Z522" s="34"/>
      <c r="AA522" s="34"/>
      <c r="AB522" s="34"/>
      <c r="AC522" s="34"/>
      <c r="AD522" s="34"/>
      <c r="AE522" s="34"/>
      <c r="AT522" s="19" t="s">
        <v>189</v>
      </c>
      <c r="AU522" s="19" t="s">
        <v>87</v>
      </c>
    </row>
    <row r="523" spans="1:65" s="2" customFormat="1" ht="107.25">
      <c r="A523" s="34"/>
      <c r="B523" s="35"/>
      <c r="C523" s="34"/>
      <c r="D523" s="153" t="s">
        <v>191</v>
      </c>
      <c r="E523" s="34"/>
      <c r="F523" s="160" t="s">
        <v>192</v>
      </c>
      <c r="G523" s="34"/>
      <c r="H523" s="34"/>
      <c r="I523" s="155"/>
      <c r="J523" s="34"/>
      <c r="K523" s="34"/>
      <c r="L523" s="35"/>
      <c r="M523" s="156"/>
      <c r="N523" s="157"/>
      <c r="O523" s="55"/>
      <c r="P523" s="55"/>
      <c r="Q523" s="55"/>
      <c r="R523" s="55"/>
      <c r="S523" s="55"/>
      <c r="T523" s="56"/>
      <c r="U523" s="34"/>
      <c r="V523" s="34"/>
      <c r="W523" s="34"/>
      <c r="X523" s="34"/>
      <c r="Y523" s="34"/>
      <c r="Z523" s="34"/>
      <c r="AA523" s="34"/>
      <c r="AB523" s="34"/>
      <c r="AC523" s="34"/>
      <c r="AD523" s="34"/>
      <c r="AE523" s="34"/>
      <c r="AT523" s="19" t="s">
        <v>191</v>
      </c>
      <c r="AU523" s="19" t="s">
        <v>87</v>
      </c>
    </row>
    <row r="524" spans="1:65" s="13" customFormat="1">
      <c r="B524" s="161"/>
      <c r="D524" s="153" t="s">
        <v>193</v>
      </c>
      <c r="F524" s="163" t="s">
        <v>2682</v>
      </c>
      <c r="H524" s="164">
        <v>46.771999999999998</v>
      </c>
      <c r="I524" s="165"/>
      <c r="L524" s="161"/>
      <c r="M524" s="166"/>
      <c r="N524" s="167"/>
      <c r="O524" s="167"/>
      <c r="P524" s="167"/>
      <c r="Q524" s="167"/>
      <c r="R524" s="167"/>
      <c r="S524" s="167"/>
      <c r="T524" s="168"/>
      <c r="AT524" s="162" t="s">
        <v>193</v>
      </c>
      <c r="AU524" s="162" t="s">
        <v>87</v>
      </c>
      <c r="AV524" s="13" t="s">
        <v>87</v>
      </c>
      <c r="AW524" s="13" t="s">
        <v>4</v>
      </c>
      <c r="AX524" s="13" t="s">
        <v>85</v>
      </c>
      <c r="AY524" s="162" t="s">
        <v>177</v>
      </c>
    </row>
    <row r="525" spans="1:65" s="2" customFormat="1" ht="16.5" customHeight="1">
      <c r="A525" s="34"/>
      <c r="B525" s="139"/>
      <c r="C525" s="140" t="s">
        <v>2683</v>
      </c>
      <c r="D525" s="140" t="s">
        <v>180</v>
      </c>
      <c r="E525" s="141" t="s">
        <v>208</v>
      </c>
      <c r="F525" s="142" t="s">
        <v>209</v>
      </c>
      <c r="G525" s="143" t="s">
        <v>183</v>
      </c>
      <c r="H525" s="144">
        <v>23.385999999999999</v>
      </c>
      <c r="I525" s="145"/>
      <c r="J525" s="146">
        <f>ROUND(I525*H525,2)</f>
        <v>0</v>
      </c>
      <c r="K525" s="142" t="s">
        <v>184</v>
      </c>
      <c r="L525" s="35"/>
      <c r="M525" s="147" t="s">
        <v>3</v>
      </c>
      <c r="N525" s="148" t="s">
        <v>48</v>
      </c>
      <c r="O525" s="55"/>
      <c r="P525" s="149">
        <f>O525*H525</f>
        <v>0</v>
      </c>
      <c r="Q525" s="149">
        <v>0</v>
      </c>
      <c r="R525" s="149">
        <f>Q525*H525</f>
        <v>0</v>
      </c>
      <c r="S525" s="149">
        <v>0</v>
      </c>
      <c r="T525" s="150">
        <f>S525*H525</f>
        <v>0</v>
      </c>
      <c r="U525" s="34"/>
      <c r="V525" s="34"/>
      <c r="W525" s="34"/>
      <c r="X525" s="34"/>
      <c r="Y525" s="34"/>
      <c r="Z525" s="34"/>
      <c r="AA525" s="34"/>
      <c r="AB525" s="34"/>
      <c r="AC525" s="34"/>
      <c r="AD525" s="34"/>
      <c r="AE525" s="34"/>
      <c r="AR525" s="151" t="s">
        <v>185</v>
      </c>
      <c r="AT525" s="151" t="s">
        <v>180</v>
      </c>
      <c r="AU525" s="151" t="s">
        <v>87</v>
      </c>
      <c r="AY525" s="19" t="s">
        <v>177</v>
      </c>
      <c r="BE525" s="152">
        <f>IF(N525="základní",J525,0)</f>
        <v>0</v>
      </c>
      <c r="BF525" s="152">
        <f>IF(N525="snížená",J525,0)</f>
        <v>0</v>
      </c>
      <c r="BG525" s="152">
        <f>IF(N525="zákl. přenesená",J525,0)</f>
        <v>0</v>
      </c>
      <c r="BH525" s="152">
        <f>IF(N525="sníž. přenesená",J525,0)</f>
        <v>0</v>
      </c>
      <c r="BI525" s="152">
        <f>IF(N525="nulová",J525,0)</f>
        <v>0</v>
      </c>
      <c r="BJ525" s="19" t="s">
        <v>85</v>
      </c>
      <c r="BK525" s="152">
        <f>ROUND(I525*H525,2)</f>
        <v>0</v>
      </c>
      <c r="BL525" s="19" t="s">
        <v>185</v>
      </c>
      <c r="BM525" s="151" t="s">
        <v>2684</v>
      </c>
    </row>
    <row r="526" spans="1:65" s="2" customFormat="1">
      <c r="A526" s="34"/>
      <c r="B526" s="35"/>
      <c r="C526" s="34"/>
      <c r="D526" s="153" t="s">
        <v>187</v>
      </c>
      <c r="E526" s="34"/>
      <c r="F526" s="154" t="s">
        <v>211</v>
      </c>
      <c r="G526" s="34"/>
      <c r="H526" s="34"/>
      <c r="I526" s="155"/>
      <c r="J526" s="34"/>
      <c r="K526" s="34"/>
      <c r="L526" s="35"/>
      <c r="M526" s="156"/>
      <c r="N526" s="157"/>
      <c r="O526" s="55"/>
      <c r="P526" s="55"/>
      <c r="Q526" s="55"/>
      <c r="R526" s="55"/>
      <c r="S526" s="55"/>
      <c r="T526" s="56"/>
      <c r="U526" s="34"/>
      <c r="V526" s="34"/>
      <c r="W526" s="34"/>
      <c r="X526" s="34"/>
      <c r="Y526" s="34"/>
      <c r="Z526" s="34"/>
      <c r="AA526" s="34"/>
      <c r="AB526" s="34"/>
      <c r="AC526" s="34"/>
      <c r="AD526" s="34"/>
      <c r="AE526" s="34"/>
      <c r="AT526" s="19" t="s">
        <v>187</v>
      </c>
      <c r="AU526" s="19" t="s">
        <v>87</v>
      </c>
    </row>
    <row r="527" spans="1:65" s="2" customFormat="1">
      <c r="A527" s="34"/>
      <c r="B527" s="35"/>
      <c r="C527" s="34"/>
      <c r="D527" s="158" t="s">
        <v>189</v>
      </c>
      <c r="E527" s="34"/>
      <c r="F527" s="159" t="s">
        <v>212</v>
      </c>
      <c r="G527" s="34"/>
      <c r="H527" s="34"/>
      <c r="I527" s="155"/>
      <c r="J527" s="34"/>
      <c r="K527" s="34"/>
      <c r="L527" s="35"/>
      <c r="M527" s="156"/>
      <c r="N527" s="157"/>
      <c r="O527" s="55"/>
      <c r="P527" s="55"/>
      <c r="Q527" s="55"/>
      <c r="R527" s="55"/>
      <c r="S527" s="55"/>
      <c r="T527" s="56"/>
      <c r="U527" s="34"/>
      <c r="V527" s="34"/>
      <c r="W527" s="34"/>
      <c r="X527" s="34"/>
      <c r="Y527" s="34"/>
      <c r="Z527" s="34"/>
      <c r="AA527" s="34"/>
      <c r="AB527" s="34"/>
      <c r="AC527" s="34"/>
      <c r="AD527" s="34"/>
      <c r="AE527" s="34"/>
      <c r="AT527" s="19" t="s">
        <v>189</v>
      </c>
      <c r="AU527" s="19" t="s">
        <v>87</v>
      </c>
    </row>
    <row r="528" spans="1:65" s="2" customFormat="1" ht="58.5">
      <c r="A528" s="34"/>
      <c r="B528" s="35"/>
      <c r="C528" s="34"/>
      <c r="D528" s="153" t="s">
        <v>191</v>
      </c>
      <c r="E528" s="34"/>
      <c r="F528" s="160" t="s">
        <v>213</v>
      </c>
      <c r="G528" s="34"/>
      <c r="H528" s="34"/>
      <c r="I528" s="155"/>
      <c r="J528" s="34"/>
      <c r="K528" s="34"/>
      <c r="L528" s="35"/>
      <c r="M528" s="156"/>
      <c r="N528" s="157"/>
      <c r="O528" s="55"/>
      <c r="P528" s="55"/>
      <c r="Q528" s="55"/>
      <c r="R528" s="55"/>
      <c r="S528" s="55"/>
      <c r="T528" s="56"/>
      <c r="U528" s="34"/>
      <c r="V528" s="34"/>
      <c r="W528" s="34"/>
      <c r="X528" s="34"/>
      <c r="Y528" s="34"/>
      <c r="Z528" s="34"/>
      <c r="AA528" s="34"/>
      <c r="AB528" s="34"/>
      <c r="AC528" s="34"/>
      <c r="AD528" s="34"/>
      <c r="AE528" s="34"/>
      <c r="AT528" s="19" t="s">
        <v>191</v>
      </c>
      <c r="AU528" s="19" t="s">
        <v>87</v>
      </c>
    </row>
    <row r="529" spans="1:65" s="2" customFormat="1" ht="16.5" customHeight="1">
      <c r="A529" s="34"/>
      <c r="B529" s="139"/>
      <c r="C529" s="140" t="s">
        <v>2685</v>
      </c>
      <c r="D529" s="140" t="s">
        <v>180</v>
      </c>
      <c r="E529" s="141" t="s">
        <v>214</v>
      </c>
      <c r="F529" s="142" t="s">
        <v>215</v>
      </c>
      <c r="G529" s="143" t="s">
        <v>183</v>
      </c>
      <c r="H529" s="144">
        <v>444.334</v>
      </c>
      <c r="I529" s="145"/>
      <c r="J529" s="146">
        <f>ROUND(I529*H529,2)</f>
        <v>0</v>
      </c>
      <c r="K529" s="142" t="s">
        <v>184</v>
      </c>
      <c r="L529" s="35"/>
      <c r="M529" s="147" t="s">
        <v>3</v>
      </c>
      <c r="N529" s="148" t="s">
        <v>48</v>
      </c>
      <c r="O529" s="55"/>
      <c r="P529" s="149">
        <f>O529*H529</f>
        <v>0</v>
      </c>
      <c r="Q529" s="149">
        <v>0</v>
      </c>
      <c r="R529" s="149">
        <f>Q529*H529</f>
        <v>0</v>
      </c>
      <c r="S529" s="149">
        <v>0</v>
      </c>
      <c r="T529" s="150">
        <f>S529*H529</f>
        <v>0</v>
      </c>
      <c r="U529" s="34"/>
      <c r="V529" s="34"/>
      <c r="W529" s="34"/>
      <c r="X529" s="34"/>
      <c r="Y529" s="34"/>
      <c r="Z529" s="34"/>
      <c r="AA529" s="34"/>
      <c r="AB529" s="34"/>
      <c r="AC529" s="34"/>
      <c r="AD529" s="34"/>
      <c r="AE529" s="34"/>
      <c r="AR529" s="151" t="s">
        <v>185</v>
      </c>
      <c r="AT529" s="151" t="s">
        <v>180</v>
      </c>
      <c r="AU529" s="151" t="s">
        <v>87</v>
      </c>
      <c r="AY529" s="19" t="s">
        <v>177</v>
      </c>
      <c r="BE529" s="152">
        <f>IF(N529="základní",J529,0)</f>
        <v>0</v>
      </c>
      <c r="BF529" s="152">
        <f>IF(N529="snížená",J529,0)</f>
        <v>0</v>
      </c>
      <c r="BG529" s="152">
        <f>IF(N529="zákl. přenesená",J529,0)</f>
        <v>0</v>
      </c>
      <c r="BH529" s="152">
        <f>IF(N529="sníž. přenesená",J529,0)</f>
        <v>0</v>
      </c>
      <c r="BI529" s="152">
        <f>IF(N529="nulová",J529,0)</f>
        <v>0</v>
      </c>
      <c r="BJ529" s="19" t="s">
        <v>85</v>
      </c>
      <c r="BK529" s="152">
        <f>ROUND(I529*H529,2)</f>
        <v>0</v>
      </c>
      <c r="BL529" s="19" t="s">
        <v>185</v>
      </c>
      <c r="BM529" s="151" t="s">
        <v>2686</v>
      </c>
    </row>
    <row r="530" spans="1:65" s="2" customFormat="1" ht="19.5">
      <c r="A530" s="34"/>
      <c r="B530" s="35"/>
      <c r="C530" s="34"/>
      <c r="D530" s="153" t="s">
        <v>187</v>
      </c>
      <c r="E530" s="34"/>
      <c r="F530" s="154" t="s">
        <v>217</v>
      </c>
      <c r="G530" s="34"/>
      <c r="H530" s="34"/>
      <c r="I530" s="155"/>
      <c r="J530" s="34"/>
      <c r="K530" s="34"/>
      <c r="L530" s="35"/>
      <c r="M530" s="156"/>
      <c r="N530" s="157"/>
      <c r="O530" s="55"/>
      <c r="P530" s="55"/>
      <c r="Q530" s="55"/>
      <c r="R530" s="55"/>
      <c r="S530" s="55"/>
      <c r="T530" s="56"/>
      <c r="U530" s="34"/>
      <c r="V530" s="34"/>
      <c r="W530" s="34"/>
      <c r="X530" s="34"/>
      <c r="Y530" s="34"/>
      <c r="Z530" s="34"/>
      <c r="AA530" s="34"/>
      <c r="AB530" s="34"/>
      <c r="AC530" s="34"/>
      <c r="AD530" s="34"/>
      <c r="AE530" s="34"/>
      <c r="AT530" s="19" t="s">
        <v>187</v>
      </c>
      <c r="AU530" s="19" t="s">
        <v>87</v>
      </c>
    </row>
    <row r="531" spans="1:65" s="2" customFormat="1">
      <c r="A531" s="34"/>
      <c r="B531" s="35"/>
      <c r="C531" s="34"/>
      <c r="D531" s="158" t="s">
        <v>189</v>
      </c>
      <c r="E531" s="34"/>
      <c r="F531" s="159" t="s">
        <v>218</v>
      </c>
      <c r="G531" s="34"/>
      <c r="H531" s="34"/>
      <c r="I531" s="155"/>
      <c r="J531" s="34"/>
      <c r="K531" s="34"/>
      <c r="L531" s="35"/>
      <c r="M531" s="156"/>
      <c r="N531" s="157"/>
      <c r="O531" s="55"/>
      <c r="P531" s="55"/>
      <c r="Q531" s="55"/>
      <c r="R531" s="55"/>
      <c r="S531" s="55"/>
      <c r="T531" s="56"/>
      <c r="U531" s="34"/>
      <c r="V531" s="34"/>
      <c r="W531" s="34"/>
      <c r="X531" s="34"/>
      <c r="Y531" s="34"/>
      <c r="Z531" s="34"/>
      <c r="AA531" s="34"/>
      <c r="AB531" s="34"/>
      <c r="AC531" s="34"/>
      <c r="AD531" s="34"/>
      <c r="AE531" s="34"/>
      <c r="AT531" s="19" t="s">
        <v>189</v>
      </c>
      <c r="AU531" s="19" t="s">
        <v>87</v>
      </c>
    </row>
    <row r="532" spans="1:65" s="2" customFormat="1" ht="58.5">
      <c r="A532" s="34"/>
      <c r="B532" s="35"/>
      <c r="C532" s="34"/>
      <c r="D532" s="153" t="s">
        <v>191</v>
      </c>
      <c r="E532" s="34"/>
      <c r="F532" s="160" t="s">
        <v>213</v>
      </c>
      <c r="G532" s="34"/>
      <c r="H532" s="34"/>
      <c r="I532" s="155"/>
      <c r="J532" s="34"/>
      <c r="K532" s="34"/>
      <c r="L532" s="35"/>
      <c r="M532" s="156"/>
      <c r="N532" s="157"/>
      <c r="O532" s="55"/>
      <c r="P532" s="55"/>
      <c r="Q532" s="55"/>
      <c r="R532" s="55"/>
      <c r="S532" s="55"/>
      <c r="T532" s="56"/>
      <c r="U532" s="34"/>
      <c r="V532" s="34"/>
      <c r="W532" s="34"/>
      <c r="X532" s="34"/>
      <c r="Y532" s="34"/>
      <c r="Z532" s="34"/>
      <c r="AA532" s="34"/>
      <c r="AB532" s="34"/>
      <c r="AC532" s="34"/>
      <c r="AD532" s="34"/>
      <c r="AE532" s="34"/>
      <c r="AT532" s="19" t="s">
        <v>191</v>
      </c>
      <c r="AU532" s="19" t="s">
        <v>87</v>
      </c>
    </row>
    <row r="533" spans="1:65" s="13" customFormat="1">
      <c r="B533" s="161"/>
      <c r="D533" s="153" t="s">
        <v>193</v>
      </c>
      <c r="F533" s="163" t="s">
        <v>2687</v>
      </c>
      <c r="H533" s="164">
        <v>444.334</v>
      </c>
      <c r="I533" s="165"/>
      <c r="L533" s="161"/>
      <c r="M533" s="166"/>
      <c r="N533" s="167"/>
      <c r="O533" s="167"/>
      <c r="P533" s="167"/>
      <c r="Q533" s="167"/>
      <c r="R533" s="167"/>
      <c r="S533" s="167"/>
      <c r="T533" s="168"/>
      <c r="AT533" s="162" t="s">
        <v>193</v>
      </c>
      <c r="AU533" s="162" t="s">
        <v>87</v>
      </c>
      <c r="AV533" s="13" t="s">
        <v>87</v>
      </c>
      <c r="AW533" s="13" t="s">
        <v>4</v>
      </c>
      <c r="AX533" s="13" t="s">
        <v>85</v>
      </c>
      <c r="AY533" s="162" t="s">
        <v>177</v>
      </c>
    </row>
    <row r="534" spans="1:65" s="2" customFormat="1" ht="24.2" customHeight="1">
      <c r="A534" s="34"/>
      <c r="B534" s="139"/>
      <c r="C534" s="140" t="s">
        <v>2688</v>
      </c>
      <c r="D534" s="140" t="s">
        <v>180</v>
      </c>
      <c r="E534" s="141" t="s">
        <v>223</v>
      </c>
      <c r="F534" s="142" t="s">
        <v>224</v>
      </c>
      <c r="G534" s="143" t="s">
        <v>183</v>
      </c>
      <c r="H534" s="144">
        <v>23.385999999999999</v>
      </c>
      <c r="I534" s="145"/>
      <c r="J534" s="146">
        <f>ROUND(I534*H534,2)</f>
        <v>0</v>
      </c>
      <c r="K534" s="142" t="s">
        <v>184</v>
      </c>
      <c r="L534" s="35"/>
      <c r="M534" s="147" t="s">
        <v>3</v>
      </c>
      <c r="N534" s="148" t="s">
        <v>48</v>
      </c>
      <c r="O534" s="55"/>
      <c r="P534" s="149">
        <f>O534*H534</f>
        <v>0</v>
      </c>
      <c r="Q534" s="149">
        <v>0</v>
      </c>
      <c r="R534" s="149">
        <f>Q534*H534</f>
        <v>0</v>
      </c>
      <c r="S534" s="149">
        <v>0</v>
      </c>
      <c r="T534" s="150">
        <f>S534*H534</f>
        <v>0</v>
      </c>
      <c r="U534" s="34"/>
      <c r="V534" s="34"/>
      <c r="W534" s="34"/>
      <c r="X534" s="34"/>
      <c r="Y534" s="34"/>
      <c r="Z534" s="34"/>
      <c r="AA534" s="34"/>
      <c r="AB534" s="34"/>
      <c r="AC534" s="34"/>
      <c r="AD534" s="34"/>
      <c r="AE534" s="34"/>
      <c r="AR534" s="151" t="s">
        <v>185</v>
      </c>
      <c r="AT534" s="151" t="s">
        <v>180</v>
      </c>
      <c r="AU534" s="151" t="s">
        <v>87</v>
      </c>
      <c r="AY534" s="19" t="s">
        <v>177</v>
      </c>
      <c r="BE534" s="152">
        <f>IF(N534="základní",J534,0)</f>
        <v>0</v>
      </c>
      <c r="BF534" s="152">
        <f>IF(N534="snížená",J534,0)</f>
        <v>0</v>
      </c>
      <c r="BG534" s="152">
        <f>IF(N534="zákl. přenesená",J534,0)</f>
        <v>0</v>
      </c>
      <c r="BH534" s="152">
        <f>IF(N534="sníž. přenesená",J534,0)</f>
        <v>0</v>
      </c>
      <c r="BI534" s="152">
        <f>IF(N534="nulová",J534,0)</f>
        <v>0</v>
      </c>
      <c r="BJ534" s="19" t="s">
        <v>85</v>
      </c>
      <c r="BK534" s="152">
        <f>ROUND(I534*H534,2)</f>
        <v>0</v>
      </c>
      <c r="BL534" s="19" t="s">
        <v>185</v>
      </c>
      <c r="BM534" s="151" t="s">
        <v>2689</v>
      </c>
    </row>
    <row r="535" spans="1:65" s="2" customFormat="1" ht="19.5">
      <c r="A535" s="34"/>
      <c r="B535" s="35"/>
      <c r="C535" s="34"/>
      <c r="D535" s="153" t="s">
        <v>187</v>
      </c>
      <c r="E535" s="34"/>
      <c r="F535" s="154" t="s">
        <v>226</v>
      </c>
      <c r="G535" s="34"/>
      <c r="H535" s="34"/>
      <c r="I535" s="155"/>
      <c r="J535" s="34"/>
      <c r="K535" s="34"/>
      <c r="L535" s="35"/>
      <c r="M535" s="156"/>
      <c r="N535" s="157"/>
      <c r="O535" s="55"/>
      <c r="P535" s="55"/>
      <c r="Q535" s="55"/>
      <c r="R535" s="55"/>
      <c r="S535" s="55"/>
      <c r="T535" s="56"/>
      <c r="U535" s="34"/>
      <c r="V535" s="34"/>
      <c r="W535" s="34"/>
      <c r="X535" s="34"/>
      <c r="Y535" s="34"/>
      <c r="Z535" s="34"/>
      <c r="AA535" s="34"/>
      <c r="AB535" s="34"/>
      <c r="AC535" s="34"/>
      <c r="AD535" s="34"/>
      <c r="AE535" s="34"/>
      <c r="AT535" s="19" t="s">
        <v>187</v>
      </c>
      <c r="AU535" s="19" t="s">
        <v>87</v>
      </c>
    </row>
    <row r="536" spans="1:65" s="2" customFormat="1">
      <c r="A536" s="34"/>
      <c r="B536" s="35"/>
      <c r="C536" s="34"/>
      <c r="D536" s="158" t="s">
        <v>189</v>
      </c>
      <c r="E536" s="34"/>
      <c r="F536" s="159" t="s">
        <v>227</v>
      </c>
      <c r="G536" s="34"/>
      <c r="H536" s="34"/>
      <c r="I536" s="155"/>
      <c r="J536" s="34"/>
      <c r="K536" s="34"/>
      <c r="L536" s="35"/>
      <c r="M536" s="156"/>
      <c r="N536" s="157"/>
      <c r="O536" s="55"/>
      <c r="P536" s="55"/>
      <c r="Q536" s="55"/>
      <c r="R536" s="55"/>
      <c r="S536" s="55"/>
      <c r="T536" s="56"/>
      <c r="U536" s="34"/>
      <c r="V536" s="34"/>
      <c r="W536" s="34"/>
      <c r="X536" s="34"/>
      <c r="Y536" s="34"/>
      <c r="Z536" s="34"/>
      <c r="AA536" s="34"/>
      <c r="AB536" s="34"/>
      <c r="AC536" s="34"/>
      <c r="AD536" s="34"/>
      <c r="AE536" s="34"/>
      <c r="AT536" s="19" t="s">
        <v>189</v>
      </c>
      <c r="AU536" s="19" t="s">
        <v>87</v>
      </c>
    </row>
    <row r="537" spans="1:65" s="2" customFormat="1" ht="39">
      <c r="A537" s="34"/>
      <c r="B537" s="35"/>
      <c r="C537" s="34"/>
      <c r="D537" s="153" t="s">
        <v>191</v>
      </c>
      <c r="E537" s="34"/>
      <c r="F537" s="160" t="s">
        <v>228</v>
      </c>
      <c r="G537" s="34"/>
      <c r="H537" s="34"/>
      <c r="I537" s="155"/>
      <c r="J537" s="34"/>
      <c r="K537" s="34"/>
      <c r="L537" s="35"/>
      <c r="M537" s="156"/>
      <c r="N537" s="157"/>
      <c r="O537" s="55"/>
      <c r="P537" s="55"/>
      <c r="Q537" s="55"/>
      <c r="R537" s="55"/>
      <c r="S537" s="55"/>
      <c r="T537" s="56"/>
      <c r="U537" s="34"/>
      <c r="V537" s="34"/>
      <c r="W537" s="34"/>
      <c r="X537" s="34"/>
      <c r="Y537" s="34"/>
      <c r="Z537" s="34"/>
      <c r="AA537" s="34"/>
      <c r="AB537" s="34"/>
      <c r="AC537" s="34"/>
      <c r="AD537" s="34"/>
      <c r="AE537" s="34"/>
      <c r="AT537" s="19" t="s">
        <v>191</v>
      </c>
      <c r="AU537" s="19" t="s">
        <v>87</v>
      </c>
    </row>
    <row r="538" spans="1:65" s="12" customFormat="1" ht="22.9" customHeight="1">
      <c r="B538" s="126"/>
      <c r="D538" s="127" t="s">
        <v>76</v>
      </c>
      <c r="E538" s="137" t="s">
        <v>518</v>
      </c>
      <c r="F538" s="137" t="s">
        <v>519</v>
      </c>
      <c r="I538" s="129"/>
      <c r="J538" s="138">
        <f>BK538</f>
        <v>0</v>
      </c>
      <c r="L538" s="126"/>
      <c r="M538" s="131"/>
      <c r="N538" s="132"/>
      <c r="O538" s="132"/>
      <c r="P538" s="133">
        <f>SUM(P539:P542)</f>
        <v>0</v>
      </c>
      <c r="Q538" s="132"/>
      <c r="R538" s="133">
        <f>SUM(R539:R542)</f>
        <v>0</v>
      </c>
      <c r="S538" s="132"/>
      <c r="T538" s="134">
        <f>SUM(T539:T542)</f>
        <v>0</v>
      </c>
      <c r="AR538" s="127" t="s">
        <v>85</v>
      </c>
      <c r="AT538" s="135" t="s">
        <v>76</v>
      </c>
      <c r="AU538" s="135" t="s">
        <v>85</v>
      </c>
      <c r="AY538" s="127" t="s">
        <v>177</v>
      </c>
      <c r="BK538" s="136">
        <f>SUM(BK539:BK542)</f>
        <v>0</v>
      </c>
    </row>
    <row r="539" spans="1:65" s="2" customFormat="1" ht="16.5" customHeight="1">
      <c r="A539" s="34"/>
      <c r="B539" s="139"/>
      <c r="C539" s="140" t="s">
        <v>2690</v>
      </c>
      <c r="D539" s="140" t="s">
        <v>180</v>
      </c>
      <c r="E539" s="141" t="s">
        <v>521</v>
      </c>
      <c r="F539" s="142" t="s">
        <v>522</v>
      </c>
      <c r="G539" s="143" t="s">
        <v>183</v>
      </c>
      <c r="H539" s="144">
        <v>38.034999999999997</v>
      </c>
      <c r="I539" s="145"/>
      <c r="J539" s="146">
        <f>ROUND(I539*H539,2)</f>
        <v>0</v>
      </c>
      <c r="K539" s="142" t="s">
        <v>184</v>
      </c>
      <c r="L539" s="35"/>
      <c r="M539" s="147" t="s">
        <v>3</v>
      </c>
      <c r="N539" s="148" t="s">
        <v>48</v>
      </c>
      <c r="O539" s="55"/>
      <c r="P539" s="149">
        <f>O539*H539</f>
        <v>0</v>
      </c>
      <c r="Q539" s="149">
        <v>0</v>
      </c>
      <c r="R539" s="149">
        <f>Q539*H539</f>
        <v>0</v>
      </c>
      <c r="S539" s="149">
        <v>0</v>
      </c>
      <c r="T539" s="150">
        <f>S539*H539</f>
        <v>0</v>
      </c>
      <c r="U539" s="34"/>
      <c r="V539" s="34"/>
      <c r="W539" s="34"/>
      <c r="X539" s="34"/>
      <c r="Y539" s="34"/>
      <c r="Z539" s="34"/>
      <c r="AA539" s="34"/>
      <c r="AB539" s="34"/>
      <c r="AC539" s="34"/>
      <c r="AD539" s="34"/>
      <c r="AE539" s="34"/>
      <c r="AR539" s="151" t="s">
        <v>185</v>
      </c>
      <c r="AT539" s="151" t="s">
        <v>180</v>
      </c>
      <c r="AU539" s="151" t="s">
        <v>87</v>
      </c>
      <c r="AY539" s="19" t="s">
        <v>177</v>
      </c>
      <c r="BE539" s="152">
        <f>IF(N539="základní",J539,0)</f>
        <v>0</v>
      </c>
      <c r="BF539" s="152">
        <f>IF(N539="snížená",J539,0)</f>
        <v>0</v>
      </c>
      <c r="BG539" s="152">
        <f>IF(N539="zákl. přenesená",J539,0)</f>
        <v>0</v>
      </c>
      <c r="BH539" s="152">
        <f>IF(N539="sníž. přenesená",J539,0)</f>
        <v>0</v>
      </c>
      <c r="BI539" s="152">
        <f>IF(N539="nulová",J539,0)</f>
        <v>0</v>
      </c>
      <c r="BJ539" s="19" t="s">
        <v>85</v>
      </c>
      <c r="BK539" s="152">
        <f>ROUND(I539*H539,2)</f>
        <v>0</v>
      </c>
      <c r="BL539" s="19" t="s">
        <v>185</v>
      </c>
      <c r="BM539" s="151" t="s">
        <v>2691</v>
      </c>
    </row>
    <row r="540" spans="1:65" s="2" customFormat="1" ht="19.5">
      <c r="A540" s="34"/>
      <c r="B540" s="35"/>
      <c r="C540" s="34"/>
      <c r="D540" s="153" t="s">
        <v>187</v>
      </c>
      <c r="E540" s="34"/>
      <c r="F540" s="154" t="s">
        <v>524</v>
      </c>
      <c r="G540" s="34"/>
      <c r="H540" s="34"/>
      <c r="I540" s="155"/>
      <c r="J540" s="34"/>
      <c r="K540" s="34"/>
      <c r="L540" s="35"/>
      <c r="M540" s="156"/>
      <c r="N540" s="157"/>
      <c r="O540" s="55"/>
      <c r="P540" s="55"/>
      <c r="Q540" s="55"/>
      <c r="R540" s="55"/>
      <c r="S540" s="55"/>
      <c r="T540" s="56"/>
      <c r="U540" s="34"/>
      <c r="V540" s="34"/>
      <c r="W540" s="34"/>
      <c r="X540" s="34"/>
      <c r="Y540" s="34"/>
      <c r="Z540" s="34"/>
      <c r="AA540" s="34"/>
      <c r="AB540" s="34"/>
      <c r="AC540" s="34"/>
      <c r="AD540" s="34"/>
      <c r="AE540" s="34"/>
      <c r="AT540" s="19" t="s">
        <v>187</v>
      </c>
      <c r="AU540" s="19" t="s">
        <v>87</v>
      </c>
    </row>
    <row r="541" spans="1:65" s="2" customFormat="1">
      <c r="A541" s="34"/>
      <c r="B541" s="35"/>
      <c r="C541" s="34"/>
      <c r="D541" s="158" t="s">
        <v>189</v>
      </c>
      <c r="E541" s="34"/>
      <c r="F541" s="159" t="s">
        <v>525</v>
      </c>
      <c r="G541" s="34"/>
      <c r="H541" s="34"/>
      <c r="I541" s="155"/>
      <c r="J541" s="34"/>
      <c r="K541" s="34"/>
      <c r="L541" s="35"/>
      <c r="M541" s="156"/>
      <c r="N541" s="157"/>
      <c r="O541" s="55"/>
      <c r="P541" s="55"/>
      <c r="Q541" s="55"/>
      <c r="R541" s="55"/>
      <c r="S541" s="55"/>
      <c r="T541" s="56"/>
      <c r="U541" s="34"/>
      <c r="V541" s="34"/>
      <c r="W541" s="34"/>
      <c r="X541" s="34"/>
      <c r="Y541" s="34"/>
      <c r="Z541" s="34"/>
      <c r="AA541" s="34"/>
      <c r="AB541" s="34"/>
      <c r="AC541" s="34"/>
      <c r="AD541" s="34"/>
      <c r="AE541" s="34"/>
      <c r="AT541" s="19" t="s">
        <v>189</v>
      </c>
      <c r="AU541" s="19" t="s">
        <v>87</v>
      </c>
    </row>
    <row r="542" spans="1:65" s="2" customFormat="1" ht="58.5">
      <c r="A542" s="34"/>
      <c r="B542" s="35"/>
      <c r="C542" s="34"/>
      <c r="D542" s="153" t="s">
        <v>191</v>
      </c>
      <c r="E542" s="34"/>
      <c r="F542" s="160" t="s">
        <v>526</v>
      </c>
      <c r="G542" s="34"/>
      <c r="H542" s="34"/>
      <c r="I542" s="155"/>
      <c r="J542" s="34"/>
      <c r="K542" s="34"/>
      <c r="L542" s="35"/>
      <c r="M542" s="156"/>
      <c r="N542" s="157"/>
      <c r="O542" s="55"/>
      <c r="P542" s="55"/>
      <c r="Q542" s="55"/>
      <c r="R542" s="55"/>
      <c r="S542" s="55"/>
      <c r="T542" s="56"/>
      <c r="U542" s="34"/>
      <c r="V542" s="34"/>
      <c r="W542" s="34"/>
      <c r="X542" s="34"/>
      <c r="Y542" s="34"/>
      <c r="Z542" s="34"/>
      <c r="AA542" s="34"/>
      <c r="AB542" s="34"/>
      <c r="AC542" s="34"/>
      <c r="AD542" s="34"/>
      <c r="AE542" s="34"/>
      <c r="AT542" s="19" t="s">
        <v>191</v>
      </c>
      <c r="AU542" s="19" t="s">
        <v>87</v>
      </c>
    </row>
    <row r="543" spans="1:65" s="12" customFormat="1" ht="25.9" customHeight="1">
      <c r="B543" s="126"/>
      <c r="D543" s="127" t="s">
        <v>76</v>
      </c>
      <c r="E543" s="128" t="s">
        <v>229</v>
      </c>
      <c r="F543" s="128" t="s">
        <v>230</v>
      </c>
      <c r="I543" s="129"/>
      <c r="J543" s="130">
        <f>BK543</f>
        <v>0</v>
      </c>
      <c r="L543" s="126"/>
      <c r="M543" s="131"/>
      <c r="N543" s="132"/>
      <c r="O543" s="132"/>
      <c r="P543" s="133">
        <f>P544+P562+P632+P676+P688+P702+P736+P792</f>
        <v>0</v>
      </c>
      <c r="Q543" s="132"/>
      <c r="R543" s="133">
        <f>R544+R562+R632+R676+R688+R702+R736+R792</f>
        <v>13.239749906312001</v>
      </c>
      <c r="S543" s="132"/>
      <c r="T543" s="134">
        <f>T544+T562+T632+T676+T688+T702+T736+T792</f>
        <v>0</v>
      </c>
      <c r="AR543" s="127" t="s">
        <v>87</v>
      </c>
      <c r="AT543" s="135" t="s">
        <v>76</v>
      </c>
      <c r="AU543" s="135" t="s">
        <v>77</v>
      </c>
      <c r="AY543" s="127" t="s">
        <v>177</v>
      </c>
      <c r="BK543" s="136">
        <f>BK544+BK562+BK632+BK676+BK688+BK702+BK736+BK792</f>
        <v>0</v>
      </c>
    </row>
    <row r="544" spans="1:65" s="12" customFormat="1" ht="22.9" customHeight="1">
      <c r="B544" s="126"/>
      <c r="D544" s="127" t="s">
        <v>76</v>
      </c>
      <c r="E544" s="137" t="s">
        <v>713</v>
      </c>
      <c r="F544" s="137" t="s">
        <v>714</v>
      </c>
      <c r="I544" s="129"/>
      <c r="J544" s="138">
        <f>BK544</f>
        <v>0</v>
      </c>
      <c r="L544" s="126"/>
      <c r="M544" s="131"/>
      <c r="N544" s="132"/>
      <c r="O544" s="132"/>
      <c r="P544" s="133">
        <f>SUM(P545:P561)</f>
        <v>0</v>
      </c>
      <c r="Q544" s="132"/>
      <c r="R544" s="133">
        <f>SUM(R545:R561)</f>
        <v>4.53E-2</v>
      </c>
      <c r="S544" s="132"/>
      <c r="T544" s="134">
        <f>SUM(T545:T561)</f>
        <v>0</v>
      </c>
      <c r="AR544" s="127" t="s">
        <v>87</v>
      </c>
      <c r="AT544" s="135" t="s">
        <v>76</v>
      </c>
      <c r="AU544" s="135" t="s">
        <v>85</v>
      </c>
      <c r="AY544" s="127" t="s">
        <v>177</v>
      </c>
      <c r="BK544" s="136">
        <f>SUM(BK545:BK561)</f>
        <v>0</v>
      </c>
    </row>
    <row r="545" spans="1:65" s="2" customFormat="1" ht="16.5" customHeight="1">
      <c r="A545" s="34"/>
      <c r="B545" s="139"/>
      <c r="C545" s="140" t="s">
        <v>2692</v>
      </c>
      <c r="D545" s="140" t="s">
        <v>180</v>
      </c>
      <c r="E545" s="141" t="s">
        <v>2693</v>
      </c>
      <c r="F545" s="142" t="s">
        <v>2694</v>
      </c>
      <c r="G545" s="143" t="s">
        <v>332</v>
      </c>
      <c r="H545" s="144">
        <v>15.1</v>
      </c>
      <c r="I545" s="145"/>
      <c r="J545" s="146">
        <f>ROUND(I545*H545,2)</f>
        <v>0</v>
      </c>
      <c r="K545" s="142" t="s">
        <v>184</v>
      </c>
      <c r="L545" s="35"/>
      <c r="M545" s="147" t="s">
        <v>3</v>
      </c>
      <c r="N545" s="148" t="s">
        <v>48</v>
      </c>
      <c r="O545" s="55"/>
      <c r="P545" s="149">
        <f>O545*H545</f>
        <v>0</v>
      </c>
      <c r="Q545" s="149">
        <v>0</v>
      </c>
      <c r="R545" s="149">
        <f>Q545*H545</f>
        <v>0</v>
      </c>
      <c r="S545" s="149">
        <v>0</v>
      </c>
      <c r="T545" s="150">
        <f>S545*H545</f>
        <v>0</v>
      </c>
      <c r="U545" s="34"/>
      <c r="V545" s="34"/>
      <c r="W545" s="34"/>
      <c r="X545" s="34"/>
      <c r="Y545" s="34"/>
      <c r="Z545" s="34"/>
      <c r="AA545" s="34"/>
      <c r="AB545" s="34"/>
      <c r="AC545" s="34"/>
      <c r="AD545" s="34"/>
      <c r="AE545" s="34"/>
      <c r="AR545" s="151" t="s">
        <v>237</v>
      </c>
      <c r="AT545" s="151" t="s">
        <v>180</v>
      </c>
      <c r="AU545" s="151" t="s">
        <v>87</v>
      </c>
      <c r="AY545" s="19" t="s">
        <v>177</v>
      </c>
      <c r="BE545" s="152">
        <f>IF(N545="základní",J545,0)</f>
        <v>0</v>
      </c>
      <c r="BF545" s="152">
        <f>IF(N545="snížená",J545,0)</f>
        <v>0</v>
      </c>
      <c r="BG545" s="152">
        <f>IF(N545="zákl. přenesená",J545,0)</f>
        <v>0</v>
      </c>
      <c r="BH545" s="152">
        <f>IF(N545="sníž. přenesená",J545,0)</f>
        <v>0</v>
      </c>
      <c r="BI545" s="152">
        <f>IF(N545="nulová",J545,0)</f>
        <v>0</v>
      </c>
      <c r="BJ545" s="19" t="s">
        <v>85</v>
      </c>
      <c r="BK545" s="152">
        <f>ROUND(I545*H545,2)</f>
        <v>0</v>
      </c>
      <c r="BL545" s="19" t="s">
        <v>237</v>
      </c>
      <c r="BM545" s="151" t="s">
        <v>2695</v>
      </c>
    </row>
    <row r="546" spans="1:65" s="2" customFormat="1">
      <c r="A546" s="34"/>
      <c r="B546" s="35"/>
      <c r="C546" s="34"/>
      <c r="D546" s="153" t="s">
        <v>187</v>
      </c>
      <c r="E546" s="34"/>
      <c r="F546" s="154" t="s">
        <v>2696</v>
      </c>
      <c r="G546" s="34"/>
      <c r="H546" s="34"/>
      <c r="I546" s="155"/>
      <c r="J546" s="34"/>
      <c r="K546" s="34"/>
      <c r="L546" s="35"/>
      <c r="M546" s="156"/>
      <c r="N546" s="157"/>
      <c r="O546" s="55"/>
      <c r="P546" s="55"/>
      <c r="Q546" s="55"/>
      <c r="R546" s="55"/>
      <c r="S546" s="55"/>
      <c r="T546" s="56"/>
      <c r="U546" s="34"/>
      <c r="V546" s="34"/>
      <c r="W546" s="34"/>
      <c r="X546" s="34"/>
      <c r="Y546" s="34"/>
      <c r="Z546" s="34"/>
      <c r="AA546" s="34"/>
      <c r="AB546" s="34"/>
      <c r="AC546" s="34"/>
      <c r="AD546" s="34"/>
      <c r="AE546" s="34"/>
      <c r="AT546" s="19" t="s">
        <v>187</v>
      </c>
      <c r="AU546" s="19" t="s">
        <v>87</v>
      </c>
    </row>
    <row r="547" spans="1:65" s="2" customFormat="1">
      <c r="A547" s="34"/>
      <c r="B547" s="35"/>
      <c r="C547" s="34"/>
      <c r="D547" s="158" t="s">
        <v>189</v>
      </c>
      <c r="E547" s="34"/>
      <c r="F547" s="159" t="s">
        <v>2697</v>
      </c>
      <c r="G547" s="34"/>
      <c r="H547" s="34"/>
      <c r="I547" s="155"/>
      <c r="J547" s="34"/>
      <c r="K547" s="34"/>
      <c r="L547" s="35"/>
      <c r="M547" s="156"/>
      <c r="N547" s="157"/>
      <c r="O547" s="55"/>
      <c r="P547" s="55"/>
      <c r="Q547" s="55"/>
      <c r="R547" s="55"/>
      <c r="S547" s="55"/>
      <c r="T547" s="56"/>
      <c r="U547" s="34"/>
      <c r="V547" s="34"/>
      <c r="W547" s="34"/>
      <c r="X547" s="34"/>
      <c r="Y547" s="34"/>
      <c r="Z547" s="34"/>
      <c r="AA547" s="34"/>
      <c r="AB547" s="34"/>
      <c r="AC547" s="34"/>
      <c r="AD547" s="34"/>
      <c r="AE547" s="34"/>
      <c r="AT547" s="19" t="s">
        <v>189</v>
      </c>
      <c r="AU547" s="19" t="s">
        <v>87</v>
      </c>
    </row>
    <row r="548" spans="1:65" s="2" customFormat="1" ht="29.25">
      <c r="A548" s="34"/>
      <c r="B548" s="35"/>
      <c r="C548" s="34"/>
      <c r="D548" s="153" t="s">
        <v>191</v>
      </c>
      <c r="E548" s="34"/>
      <c r="F548" s="160" t="s">
        <v>2698</v>
      </c>
      <c r="G548" s="34"/>
      <c r="H548" s="34"/>
      <c r="I548" s="155"/>
      <c r="J548" s="34"/>
      <c r="K548" s="34"/>
      <c r="L548" s="35"/>
      <c r="M548" s="156"/>
      <c r="N548" s="157"/>
      <c r="O548" s="55"/>
      <c r="P548" s="55"/>
      <c r="Q548" s="55"/>
      <c r="R548" s="55"/>
      <c r="S548" s="55"/>
      <c r="T548" s="56"/>
      <c r="U548" s="34"/>
      <c r="V548" s="34"/>
      <c r="W548" s="34"/>
      <c r="X548" s="34"/>
      <c r="Y548" s="34"/>
      <c r="Z548" s="34"/>
      <c r="AA548" s="34"/>
      <c r="AB548" s="34"/>
      <c r="AC548" s="34"/>
      <c r="AD548" s="34"/>
      <c r="AE548" s="34"/>
      <c r="AT548" s="19" t="s">
        <v>191</v>
      </c>
      <c r="AU548" s="19" t="s">
        <v>87</v>
      </c>
    </row>
    <row r="549" spans="1:65" s="14" customFormat="1">
      <c r="B549" s="169"/>
      <c r="D549" s="153" t="s">
        <v>193</v>
      </c>
      <c r="E549" s="170" t="s">
        <v>3</v>
      </c>
      <c r="F549" s="171" t="s">
        <v>2576</v>
      </c>
      <c r="H549" s="170" t="s">
        <v>3</v>
      </c>
      <c r="I549" s="172"/>
      <c r="L549" s="169"/>
      <c r="M549" s="173"/>
      <c r="N549" s="174"/>
      <c r="O549" s="174"/>
      <c r="P549" s="174"/>
      <c r="Q549" s="174"/>
      <c r="R549" s="174"/>
      <c r="S549" s="174"/>
      <c r="T549" s="175"/>
      <c r="AT549" s="170" t="s">
        <v>193</v>
      </c>
      <c r="AU549" s="170" t="s">
        <v>87</v>
      </c>
      <c r="AV549" s="14" t="s">
        <v>85</v>
      </c>
      <c r="AW549" s="14" t="s">
        <v>36</v>
      </c>
      <c r="AX549" s="14" t="s">
        <v>77</v>
      </c>
      <c r="AY549" s="170" t="s">
        <v>177</v>
      </c>
    </row>
    <row r="550" spans="1:65" s="13" customFormat="1">
      <c r="B550" s="161"/>
      <c r="D550" s="153" t="s">
        <v>193</v>
      </c>
      <c r="E550" s="162" t="s">
        <v>3</v>
      </c>
      <c r="F550" s="163" t="s">
        <v>2577</v>
      </c>
      <c r="H550" s="164">
        <v>15.1</v>
      </c>
      <c r="I550" s="165"/>
      <c r="L550" s="161"/>
      <c r="M550" s="166"/>
      <c r="N550" s="167"/>
      <c r="O550" s="167"/>
      <c r="P550" s="167"/>
      <c r="Q550" s="167"/>
      <c r="R550" s="167"/>
      <c r="S550" s="167"/>
      <c r="T550" s="168"/>
      <c r="AT550" s="162" t="s">
        <v>193</v>
      </c>
      <c r="AU550" s="162" t="s">
        <v>87</v>
      </c>
      <c r="AV550" s="13" t="s">
        <v>87</v>
      </c>
      <c r="AW550" s="13" t="s">
        <v>36</v>
      </c>
      <c r="AX550" s="13" t="s">
        <v>85</v>
      </c>
      <c r="AY550" s="162" t="s">
        <v>177</v>
      </c>
    </row>
    <row r="551" spans="1:65" s="2" customFormat="1" ht="16.5" customHeight="1">
      <c r="A551" s="34"/>
      <c r="B551" s="139"/>
      <c r="C551" s="195" t="s">
        <v>2699</v>
      </c>
      <c r="D551" s="195" t="s">
        <v>484</v>
      </c>
      <c r="E551" s="196" t="s">
        <v>2700</v>
      </c>
      <c r="F551" s="197" t="s">
        <v>2701</v>
      </c>
      <c r="G551" s="198" t="s">
        <v>1630</v>
      </c>
      <c r="H551" s="199">
        <v>45.3</v>
      </c>
      <c r="I551" s="200"/>
      <c r="J551" s="201">
        <f>ROUND(I551*H551,2)</f>
        <v>0</v>
      </c>
      <c r="K551" s="197" t="s">
        <v>184</v>
      </c>
      <c r="L551" s="202"/>
      <c r="M551" s="203" t="s">
        <v>3</v>
      </c>
      <c r="N551" s="204" t="s">
        <v>48</v>
      </c>
      <c r="O551" s="55"/>
      <c r="P551" s="149">
        <f>O551*H551</f>
        <v>0</v>
      </c>
      <c r="Q551" s="149">
        <v>1E-3</v>
      </c>
      <c r="R551" s="149">
        <f>Q551*H551</f>
        <v>4.53E-2</v>
      </c>
      <c r="S551" s="149">
        <v>0</v>
      </c>
      <c r="T551" s="150">
        <f>S551*H551</f>
        <v>0</v>
      </c>
      <c r="U551" s="34"/>
      <c r="V551" s="34"/>
      <c r="W551" s="34"/>
      <c r="X551" s="34"/>
      <c r="Y551" s="34"/>
      <c r="Z551" s="34"/>
      <c r="AA551" s="34"/>
      <c r="AB551" s="34"/>
      <c r="AC551" s="34"/>
      <c r="AD551" s="34"/>
      <c r="AE551" s="34"/>
      <c r="AR551" s="151" t="s">
        <v>537</v>
      </c>
      <c r="AT551" s="151" t="s">
        <v>484</v>
      </c>
      <c r="AU551" s="151" t="s">
        <v>87</v>
      </c>
      <c r="AY551" s="19" t="s">
        <v>177</v>
      </c>
      <c r="BE551" s="152">
        <f>IF(N551="základní",J551,0)</f>
        <v>0</v>
      </c>
      <c r="BF551" s="152">
        <f>IF(N551="snížená",J551,0)</f>
        <v>0</v>
      </c>
      <c r="BG551" s="152">
        <f>IF(N551="zákl. přenesená",J551,0)</f>
        <v>0</v>
      </c>
      <c r="BH551" s="152">
        <f>IF(N551="sníž. přenesená",J551,0)</f>
        <v>0</v>
      </c>
      <c r="BI551" s="152">
        <f>IF(N551="nulová",J551,0)</f>
        <v>0</v>
      </c>
      <c r="BJ551" s="19" t="s">
        <v>85</v>
      </c>
      <c r="BK551" s="152">
        <f>ROUND(I551*H551,2)</f>
        <v>0</v>
      </c>
      <c r="BL551" s="19" t="s">
        <v>237</v>
      </c>
      <c r="BM551" s="151" t="s">
        <v>2702</v>
      </c>
    </row>
    <row r="552" spans="1:65" s="2" customFormat="1">
      <c r="A552" s="34"/>
      <c r="B552" s="35"/>
      <c r="C552" s="34"/>
      <c r="D552" s="153" t="s">
        <v>187</v>
      </c>
      <c r="E552" s="34"/>
      <c r="F552" s="154" t="s">
        <v>2701</v>
      </c>
      <c r="G552" s="34"/>
      <c r="H552" s="34"/>
      <c r="I552" s="155"/>
      <c r="J552" s="34"/>
      <c r="K552" s="34"/>
      <c r="L552" s="35"/>
      <c r="M552" s="156"/>
      <c r="N552" s="157"/>
      <c r="O552" s="55"/>
      <c r="P552" s="55"/>
      <c r="Q552" s="55"/>
      <c r="R552" s="55"/>
      <c r="S552" s="55"/>
      <c r="T552" s="56"/>
      <c r="U552" s="34"/>
      <c r="V552" s="34"/>
      <c r="W552" s="34"/>
      <c r="X552" s="34"/>
      <c r="Y552" s="34"/>
      <c r="Z552" s="34"/>
      <c r="AA552" s="34"/>
      <c r="AB552" s="34"/>
      <c r="AC552" s="34"/>
      <c r="AD552" s="34"/>
      <c r="AE552" s="34"/>
      <c r="AT552" s="19" t="s">
        <v>187</v>
      </c>
      <c r="AU552" s="19" t="s">
        <v>87</v>
      </c>
    </row>
    <row r="553" spans="1:65" s="13" customFormat="1">
      <c r="B553" s="161"/>
      <c r="D553" s="153" t="s">
        <v>193</v>
      </c>
      <c r="E553" s="162" t="s">
        <v>3</v>
      </c>
      <c r="F553" s="163" t="s">
        <v>2703</v>
      </c>
      <c r="H553" s="164">
        <v>45.3</v>
      </c>
      <c r="I553" s="165"/>
      <c r="L553" s="161"/>
      <c r="M553" s="166"/>
      <c r="N553" s="167"/>
      <c r="O553" s="167"/>
      <c r="P553" s="167"/>
      <c r="Q553" s="167"/>
      <c r="R553" s="167"/>
      <c r="S553" s="167"/>
      <c r="T553" s="168"/>
      <c r="AT553" s="162" t="s">
        <v>193</v>
      </c>
      <c r="AU553" s="162" t="s">
        <v>87</v>
      </c>
      <c r="AV553" s="13" t="s">
        <v>87</v>
      </c>
      <c r="AW553" s="13" t="s">
        <v>36</v>
      </c>
      <c r="AX553" s="13" t="s">
        <v>85</v>
      </c>
      <c r="AY553" s="162" t="s">
        <v>177</v>
      </c>
    </row>
    <row r="554" spans="1:65" s="2" customFormat="1" ht="16.5" customHeight="1">
      <c r="A554" s="34"/>
      <c r="B554" s="139"/>
      <c r="C554" s="140" t="s">
        <v>2704</v>
      </c>
      <c r="D554" s="140" t="s">
        <v>180</v>
      </c>
      <c r="E554" s="141" t="s">
        <v>758</v>
      </c>
      <c r="F554" s="142" t="s">
        <v>759</v>
      </c>
      <c r="G554" s="143" t="s">
        <v>183</v>
      </c>
      <c r="H554" s="144">
        <v>4.4999999999999998E-2</v>
      </c>
      <c r="I554" s="145"/>
      <c r="J554" s="146">
        <f>ROUND(I554*H554,2)</f>
        <v>0</v>
      </c>
      <c r="K554" s="142" t="s">
        <v>184</v>
      </c>
      <c r="L554" s="35"/>
      <c r="M554" s="147" t="s">
        <v>3</v>
      </c>
      <c r="N554" s="148" t="s">
        <v>48</v>
      </c>
      <c r="O554" s="55"/>
      <c r="P554" s="149">
        <f>O554*H554</f>
        <v>0</v>
      </c>
      <c r="Q554" s="149">
        <v>0</v>
      </c>
      <c r="R554" s="149">
        <f>Q554*H554</f>
        <v>0</v>
      </c>
      <c r="S554" s="149">
        <v>0</v>
      </c>
      <c r="T554" s="150">
        <f>S554*H554</f>
        <v>0</v>
      </c>
      <c r="U554" s="34"/>
      <c r="V554" s="34"/>
      <c r="W554" s="34"/>
      <c r="X554" s="34"/>
      <c r="Y554" s="34"/>
      <c r="Z554" s="34"/>
      <c r="AA554" s="34"/>
      <c r="AB554" s="34"/>
      <c r="AC554" s="34"/>
      <c r="AD554" s="34"/>
      <c r="AE554" s="34"/>
      <c r="AR554" s="151" t="s">
        <v>237</v>
      </c>
      <c r="AT554" s="151" t="s">
        <v>180</v>
      </c>
      <c r="AU554" s="151" t="s">
        <v>87</v>
      </c>
      <c r="AY554" s="19" t="s">
        <v>177</v>
      </c>
      <c r="BE554" s="152">
        <f>IF(N554="základní",J554,0)</f>
        <v>0</v>
      </c>
      <c r="BF554" s="152">
        <f>IF(N554="snížená",J554,0)</f>
        <v>0</v>
      </c>
      <c r="BG554" s="152">
        <f>IF(N554="zákl. přenesená",J554,0)</f>
        <v>0</v>
      </c>
      <c r="BH554" s="152">
        <f>IF(N554="sníž. přenesená",J554,0)</f>
        <v>0</v>
      </c>
      <c r="BI554" s="152">
        <f>IF(N554="nulová",J554,0)</f>
        <v>0</v>
      </c>
      <c r="BJ554" s="19" t="s">
        <v>85</v>
      </c>
      <c r="BK554" s="152">
        <f>ROUND(I554*H554,2)</f>
        <v>0</v>
      </c>
      <c r="BL554" s="19" t="s">
        <v>237</v>
      </c>
      <c r="BM554" s="151" t="s">
        <v>2705</v>
      </c>
    </row>
    <row r="555" spans="1:65" s="2" customFormat="1" ht="19.5">
      <c r="A555" s="34"/>
      <c r="B555" s="35"/>
      <c r="C555" s="34"/>
      <c r="D555" s="153" t="s">
        <v>187</v>
      </c>
      <c r="E555" s="34"/>
      <c r="F555" s="154" t="s">
        <v>761</v>
      </c>
      <c r="G555" s="34"/>
      <c r="H555" s="34"/>
      <c r="I555" s="155"/>
      <c r="J555" s="34"/>
      <c r="K555" s="34"/>
      <c r="L555" s="35"/>
      <c r="M555" s="156"/>
      <c r="N555" s="157"/>
      <c r="O555" s="55"/>
      <c r="P555" s="55"/>
      <c r="Q555" s="55"/>
      <c r="R555" s="55"/>
      <c r="S555" s="55"/>
      <c r="T555" s="56"/>
      <c r="U555" s="34"/>
      <c r="V555" s="34"/>
      <c r="W555" s="34"/>
      <c r="X555" s="34"/>
      <c r="Y555" s="34"/>
      <c r="Z555" s="34"/>
      <c r="AA555" s="34"/>
      <c r="AB555" s="34"/>
      <c r="AC555" s="34"/>
      <c r="AD555" s="34"/>
      <c r="AE555" s="34"/>
      <c r="AT555" s="19" t="s">
        <v>187</v>
      </c>
      <c r="AU555" s="19" t="s">
        <v>87</v>
      </c>
    </row>
    <row r="556" spans="1:65" s="2" customFormat="1">
      <c r="A556" s="34"/>
      <c r="B556" s="35"/>
      <c r="C556" s="34"/>
      <c r="D556" s="158" t="s">
        <v>189</v>
      </c>
      <c r="E556" s="34"/>
      <c r="F556" s="159" t="s">
        <v>762</v>
      </c>
      <c r="G556" s="34"/>
      <c r="H556" s="34"/>
      <c r="I556" s="155"/>
      <c r="J556" s="34"/>
      <c r="K556" s="34"/>
      <c r="L556" s="35"/>
      <c r="M556" s="156"/>
      <c r="N556" s="157"/>
      <c r="O556" s="55"/>
      <c r="P556" s="55"/>
      <c r="Q556" s="55"/>
      <c r="R556" s="55"/>
      <c r="S556" s="55"/>
      <c r="T556" s="56"/>
      <c r="U556" s="34"/>
      <c r="V556" s="34"/>
      <c r="W556" s="34"/>
      <c r="X556" s="34"/>
      <c r="Y556" s="34"/>
      <c r="Z556" s="34"/>
      <c r="AA556" s="34"/>
      <c r="AB556" s="34"/>
      <c r="AC556" s="34"/>
      <c r="AD556" s="34"/>
      <c r="AE556" s="34"/>
      <c r="AT556" s="19" t="s">
        <v>189</v>
      </c>
      <c r="AU556" s="19" t="s">
        <v>87</v>
      </c>
    </row>
    <row r="557" spans="1:65" s="2" customFormat="1" ht="78">
      <c r="A557" s="34"/>
      <c r="B557" s="35"/>
      <c r="C557" s="34"/>
      <c r="D557" s="153" t="s">
        <v>191</v>
      </c>
      <c r="E557" s="34"/>
      <c r="F557" s="160" t="s">
        <v>763</v>
      </c>
      <c r="G557" s="34"/>
      <c r="H557" s="34"/>
      <c r="I557" s="155"/>
      <c r="J557" s="34"/>
      <c r="K557" s="34"/>
      <c r="L557" s="35"/>
      <c r="M557" s="156"/>
      <c r="N557" s="157"/>
      <c r="O557" s="55"/>
      <c r="P557" s="55"/>
      <c r="Q557" s="55"/>
      <c r="R557" s="55"/>
      <c r="S557" s="55"/>
      <c r="T557" s="56"/>
      <c r="U557" s="34"/>
      <c r="V557" s="34"/>
      <c r="W557" s="34"/>
      <c r="X557" s="34"/>
      <c r="Y557" s="34"/>
      <c r="Z557" s="34"/>
      <c r="AA557" s="34"/>
      <c r="AB557" s="34"/>
      <c r="AC557" s="34"/>
      <c r="AD557" s="34"/>
      <c r="AE557" s="34"/>
      <c r="AT557" s="19" t="s">
        <v>191</v>
      </c>
      <c r="AU557" s="19" t="s">
        <v>87</v>
      </c>
    </row>
    <row r="558" spans="1:65" s="2" customFormat="1" ht="16.5" customHeight="1">
      <c r="A558" s="34"/>
      <c r="B558" s="139"/>
      <c r="C558" s="140" t="s">
        <v>2706</v>
      </c>
      <c r="D558" s="140" t="s">
        <v>180</v>
      </c>
      <c r="E558" s="141" t="s">
        <v>765</v>
      </c>
      <c r="F558" s="142" t="s">
        <v>766</v>
      </c>
      <c r="G558" s="143" t="s">
        <v>183</v>
      </c>
      <c r="H558" s="144">
        <v>4.4999999999999998E-2</v>
      </c>
      <c r="I558" s="145"/>
      <c r="J558" s="146">
        <f>ROUND(I558*H558,2)</f>
        <v>0</v>
      </c>
      <c r="K558" s="142" t="s">
        <v>184</v>
      </c>
      <c r="L558" s="35"/>
      <c r="M558" s="147" t="s">
        <v>3</v>
      </c>
      <c r="N558" s="148" t="s">
        <v>48</v>
      </c>
      <c r="O558" s="55"/>
      <c r="P558" s="149">
        <f>O558*H558</f>
        <v>0</v>
      </c>
      <c r="Q558" s="149">
        <v>0</v>
      </c>
      <c r="R558" s="149">
        <f>Q558*H558</f>
        <v>0</v>
      </c>
      <c r="S558" s="149">
        <v>0</v>
      </c>
      <c r="T558" s="150">
        <f>S558*H558</f>
        <v>0</v>
      </c>
      <c r="U558" s="34"/>
      <c r="V558" s="34"/>
      <c r="W558" s="34"/>
      <c r="X558" s="34"/>
      <c r="Y558" s="34"/>
      <c r="Z558" s="34"/>
      <c r="AA558" s="34"/>
      <c r="AB558" s="34"/>
      <c r="AC558" s="34"/>
      <c r="AD558" s="34"/>
      <c r="AE558" s="34"/>
      <c r="AR558" s="151" t="s">
        <v>237</v>
      </c>
      <c r="AT558" s="151" t="s">
        <v>180</v>
      </c>
      <c r="AU558" s="151" t="s">
        <v>87</v>
      </c>
      <c r="AY558" s="19" t="s">
        <v>177</v>
      </c>
      <c r="BE558" s="152">
        <f>IF(N558="základní",J558,0)</f>
        <v>0</v>
      </c>
      <c r="BF558" s="152">
        <f>IF(N558="snížená",J558,0)</f>
        <v>0</v>
      </c>
      <c r="BG558" s="152">
        <f>IF(N558="zákl. přenesená",J558,0)</f>
        <v>0</v>
      </c>
      <c r="BH558" s="152">
        <f>IF(N558="sníž. přenesená",J558,0)</f>
        <v>0</v>
      </c>
      <c r="BI558" s="152">
        <f>IF(N558="nulová",J558,0)</f>
        <v>0</v>
      </c>
      <c r="BJ558" s="19" t="s">
        <v>85</v>
      </c>
      <c r="BK558" s="152">
        <f>ROUND(I558*H558,2)</f>
        <v>0</v>
      </c>
      <c r="BL558" s="19" t="s">
        <v>237</v>
      </c>
      <c r="BM558" s="151" t="s">
        <v>2707</v>
      </c>
    </row>
    <row r="559" spans="1:65" s="2" customFormat="1" ht="19.5">
      <c r="A559" s="34"/>
      <c r="B559" s="35"/>
      <c r="C559" s="34"/>
      <c r="D559" s="153" t="s">
        <v>187</v>
      </c>
      <c r="E559" s="34"/>
      <c r="F559" s="154" t="s">
        <v>768</v>
      </c>
      <c r="G559" s="34"/>
      <c r="H559" s="34"/>
      <c r="I559" s="155"/>
      <c r="J559" s="34"/>
      <c r="K559" s="34"/>
      <c r="L559" s="35"/>
      <c r="M559" s="156"/>
      <c r="N559" s="157"/>
      <c r="O559" s="55"/>
      <c r="P559" s="55"/>
      <c r="Q559" s="55"/>
      <c r="R559" s="55"/>
      <c r="S559" s="55"/>
      <c r="T559" s="56"/>
      <c r="U559" s="34"/>
      <c r="V559" s="34"/>
      <c r="W559" s="34"/>
      <c r="X559" s="34"/>
      <c r="Y559" s="34"/>
      <c r="Z559" s="34"/>
      <c r="AA559" s="34"/>
      <c r="AB559" s="34"/>
      <c r="AC559" s="34"/>
      <c r="AD559" s="34"/>
      <c r="AE559" s="34"/>
      <c r="AT559" s="19" t="s">
        <v>187</v>
      </c>
      <c r="AU559" s="19" t="s">
        <v>87</v>
      </c>
    </row>
    <row r="560" spans="1:65" s="2" customFormat="1">
      <c r="A560" s="34"/>
      <c r="B560" s="35"/>
      <c r="C560" s="34"/>
      <c r="D560" s="158" t="s">
        <v>189</v>
      </c>
      <c r="E560" s="34"/>
      <c r="F560" s="159" t="s">
        <v>769</v>
      </c>
      <c r="G560" s="34"/>
      <c r="H560" s="34"/>
      <c r="I560" s="155"/>
      <c r="J560" s="34"/>
      <c r="K560" s="34"/>
      <c r="L560" s="35"/>
      <c r="M560" s="156"/>
      <c r="N560" s="157"/>
      <c r="O560" s="55"/>
      <c r="P560" s="55"/>
      <c r="Q560" s="55"/>
      <c r="R560" s="55"/>
      <c r="S560" s="55"/>
      <c r="T560" s="56"/>
      <c r="U560" s="34"/>
      <c r="V560" s="34"/>
      <c r="W560" s="34"/>
      <c r="X560" s="34"/>
      <c r="Y560" s="34"/>
      <c r="Z560" s="34"/>
      <c r="AA560" s="34"/>
      <c r="AB560" s="34"/>
      <c r="AC560" s="34"/>
      <c r="AD560" s="34"/>
      <c r="AE560" s="34"/>
      <c r="AT560" s="19" t="s">
        <v>189</v>
      </c>
      <c r="AU560" s="19" t="s">
        <v>87</v>
      </c>
    </row>
    <row r="561" spans="1:65" s="2" customFormat="1" ht="78">
      <c r="A561" s="34"/>
      <c r="B561" s="35"/>
      <c r="C561" s="34"/>
      <c r="D561" s="153" t="s">
        <v>191</v>
      </c>
      <c r="E561" s="34"/>
      <c r="F561" s="160" t="s">
        <v>763</v>
      </c>
      <c r="G561" s="34"/>
      <c r="H561" s="34"/>
      <c r="I561" s="155"/>
      <c r="J561" s="34"/>
      <c r="K561" s="34"/>
      <c r="L561" s="35"/>
      <c r="M561" s="156"/>
      <c r="N561" s="157"/>
      <c r="O561" s="55"/>
      <c r="P561" s="55"/>
      <c r="Q561" s="55"/>
      <c r="R561" s="55"/>
      <c r="S561" s="55"/>
      <c r="T561" s="56"/>
      <c r="U561" s="34"/>
      <c r="V561" s="34"/>
      <c r="W561" s="34"/>
      <c r="X561" s="34"/>
      <c r="Y561" s="34"/>
      <c r="Z561" s="34"/>
      <c r="AA561" s="34"/>
      <c r="AB561" s="34"/>
      <c r="AC561" s="34"/>
      <c r="AD561" s="34"/>
      <c r="AE561" s="34"/>
      <c r="AT561" s="19" t="s">
        <v>191</v>
      </c>
      <c r="AU561" s="19" t="s">
        <v>87</v>
      </c>
    </row>
    <row r="562" spans="1:65" s="12" customFormat="1" ht="22.9" customHeight="1">
      <c r="B562" s="126"/>
      <c r="D562" s="127" t="s">
        <v>76</v>
      </c>
      <c r="E562" s="137" t="s">
        <v>1237</v>
      </c>
      <c r="F562" s="137" t="s">
        <v>1238</v>
      </c>
      <c r="I562" s="129"/>
      <c r="J562" s="138">
        <f>BK562</f>
        <v>0</v>
      </c>
      <c r="L562" s="126"/>
      <c r="M562" s="131"/>
      <c r="N562" s="132"/>
      <c r="O562" s="132"/>
      <c r="P562" s="133">
        <f>SUM(P563:P631)</f>
        <v>0</v>
      </c>
      <c r="Q562" s="132"/>
      <c r="R562" s="133">
        <f>SUM(R563:R631)</f>
        <v>6.9248950117919996</v>
      </c>
      <c r="S562" s="132"/>
      <c r="T562" s="134">
        <f>SUM(T563:T631)</f>
        <v>0</v>
      </c>
      <c r="AR562" s="127" t="s">
        <v>87</v>
      </c>
      <c r="AT562" s="135" t="s">
        <v>76</v>
      </c>
      <c r="AU562" s="135" t="s">
        <v>85</v>
      </c>
      <c r="AY562" s="127" t="s">
        <v>177</v>
      </c>
      <c r="BK562" s="136">
        <f>SUM(BK563:BK631)</f>
        <v>0</v>
      </c>
    </row>
    <row r="563" spans="1:65" s="2" customFormat="1" ht="16.5" customHeight="1">
      <c r="A563" s="34"/>
      <c r="B563" s="139"/>
      <c r="C563" s="140" t="s">
        <v>2708</v>
      </c>
      <c r="D563" s="140" t="s">
        <v>180</v>
      </c>
      <c r="E563" s="141" t="s">
        <v>2709</v>
      </c>
      <c r="F563" s="142" t="s">
        <v>2710</v>
      </c>
      <c r="G563" s="143" t="s">
        <v>332</v>
      </c>
      <c r="H563" s="144">
        <v>436.49200000000002</v>
      </c>
      <c r="I563" s="145"/>
      <c r="J563" s="146">
        <f>ROUND(I563*H563,2)</f>
        <v>0</v>
      </c>
      <c r="K563" s="142" t="s">
        <v>184</v>
      </c>
      <c r="L563" s="35"/>
      <c r="M563" s="147" t="s">
        <v>3</v>
      </c>
      <c r="N563" s="148" t="s">
        <v>48</v>
      </c>
      <c r="O563" s="55"/>
      <c r="P563" s="149">
        <f>O563*H563</f>
        <v>0</v>
      </c>
      <c r="Q563" s="149">
        <v>0</v>
      </c>
      <c r="R563" s="149">
        <f>Q563*H563</f>
        <v>0</v>
      </c>
      <c r="S563" s="149">
        <v>0</v>
      </c>
      <c r="T563" s="150">
        <f>S563*H563</f>
        <v>0</v>
      </c>
      <c r="U563" s="34"/>
      <c r="V563" s="34"/>
      <c r="W563" s="34"/>
      <c r="X563" s="34"/>
      <c r="Y563" s="34"/>
      <c r="Z563" s="34"/>
      <c r="AA563" s="34"/>
      <c r="AB563" s="34"/>
      <c r="AC563" s="34"/>
      <c r="AD563" s="34"/>
      <c r="AE563" s="34"/>
      <c r="AR563" s="151" t="s">
        <v>237</v>
      </c>
      <c r="AT563" s="151" t="s">
        <v>180</v>
      </c>
      <c r="AU563" s="151" t="s">
        <v>87</v>
      </c>
      <c r="AY563" s="19" t="s">
        <v>177</v>
      </c>
      <c r="BE563" s="152">
        <f>IF(N563="základní",J563,0)</f>
        <v>0</v>
      </c>
      <c r="BF563" s="152">
        <f>IF(N563="snížená",J563,0)</f>
        <v>0</v>
      </c>
      <c r="BG563" s="152">
        <f>IF(N563="zákl. přenesená",J563,0)</f>
        <v>0</v>
      </c>
      <c r="BH563" s="152">
        <f>IF(N563="sníž. přenesená",J563,0)</f>
        <v>0</v>
      </c>
      <c r="BI563" s="152">
        <f>IF(N563="nulová",J563,0)</f>
        <v>0</v>
      </c>
      <c r="BJ563" s="19" t="s">
        <v>85</v>
      </c>
      <c r="BK563" s="152">
        <f>ROUND(I563*H563,2)</f>
        <v>0</v>
      </c>
      <c r="BL563" s="19" t="s">
        <v>237</v>
      </c>
      <c r="BM563" s="151" t="s">
        <v>2711</v>
      </c>
    </row>
    <row r="564" spans="1:65" s="2" customFormat="1">
      <c r="A564" s="34"/>
      <c r="B564" s="35"/>
      <c r="C564" s="34"/>
      <c r="D564" s="153" t="s">
        <v>187</v>
      </c>
      <c r="E564" s="34"/>
      <c r="F564" s="154" t="s">
        <v>2712</v>
      </c>
      <c r="G564" s="34"/>
      <c r="H564" s="34"/>
      <c r="I564" s="155"/>
      <c r="J564" s="34"/>
      <c r="K564" s="34"/>
      <c r="L564" s="35"/>
      <c r="M564" s="156"/>
      <c r="N564" s="157"/>
      <c r="O564" s="55"/>
      <c r="P564" s="55"/>
      <c r="Q564" s="55"/>
      <c r="R564" s="55"/>
      <c r="S564" s="55"/>
      <c r="T564" s="56"/>
      <c r="U564" s="34"/>
      <c r="V564" s="34"/>
      <c r="W564" s="34"/>
      <c r="X564" s="34"/>
      <c r="Y564" s="34"/>
      <c r="Z564" s="34"/>
      <c r="AA564" s="34"/>
      <c r="AB564" s="34"/>
      <c r="AC564" s="34"/>
      <c r="AD564" s="34"/>
      <c r="AE564" s="34"/>
      <c r="AT564" s="19" t="s">
        <v>187</v>
      </c>
      <c r="AU564" s="19" t="s">
        <v>87</v>
      </c>
    </row>
    <row r="565" spans="1:65" s="2" customFormat="1">
      <c r="A565" s="34"/>
      <c r="B565" s="35"/>
      <c r="C565" s="34"/>
      <c r="D565" s="158" t="s">
        <v>189</v>
      </c>
      <c r="E565" s="34"/>
      <c r="F565" s="159" t="s">
        <v>2713</v>
      </c>
      <c r="G565" s="34"/>
      <c r="H565" s="34"/>
      <c r="I565" s="155"/>
      <c r="J565" s="34"/>
      <c r="K565" s="34"/>
      <c r="L565" s="35"/>
      <c r="M565" s="156"/>
      <c r="N565" s="157"/>
      <c r="O565" s="55"/>
      <c r="P565" s="55"/>
      <c r="Q565" s="55"/>
      <c r="R565" s="55"/>
      <c r="S565" s="55"/>
      <c r="T565" s="56"/>
      <c r="U565" s="34"/>
      <c r="V565" s="34"/>
      <c r="W565" s="34"/>
      <c r="X565" s="34"/>
      <c r="Y565" s="34"/>
      <c r="Z565" s="34"/>
      <c r="AA565" s="34"/>
      <c r="AB565" s="34"/>
      <c r="AC565" s="34"/>
      <c r="AD565" s="34"/>
      <c r="AE565" s="34"/>
      <c r="AT565" s="19" t="s">
        <v>189</v>
      </c>
      <c r="AU565" s="19" t="s">
        <v>87</v>
      </c>
    </row>
    <row r="566" spans="1:65" s="2" customFormat="1" ht="39">
      <c r="A566" s="34"/>
      <c r="B566" s="35"/>
      <c r="C566" s="34"/>
      <c r="D566" s="153" t="s">
        <v>191</v>
      </c>
      <c r="E566" s="34"/>
      <c r="F566" s="160" t="s">
        <v>2714</v>
      </c>
      <c r="G566" s="34"/>
      <c r="H566" s="34"/>
      <c r="I566" s="155"/>
      <c r="J566" s="34"/>
      <c r="K566" s="34"/>
      <c r="L566" s="35"/>
      <c r="M566" s="156"/>
      <c r="N566" s="157"/>
      <c r="O566" s="55"/>
      <c r="P566" s="55"/>
      <c r="Q566" s="55"/>
      <c r="R566" s="55"/>
      <c r="S566" s="55"/>
      <c r="T566" s="56"/>
      <c r="U566" s="34"/>
      <c r="V566" s="34"/>
      <c r="W566" s="34"/>
      <c r="X566" s="34"/>
      <c r="Y566" s="34"/>
      <c r="Z566" s="34"/>
      <c r="AA566" s="34"/>
      <c r="AB566" s="34"/>
      <c r="AC566" s="34"/>
      <c r="AD566" s="34"/>
      <c r="AE566" s="34"/>
      <c r="AT566" s="19" t="s">
        <v>191</v>
      </c>
      <c r="AU566" s="19" t="s">
        <v>87</v>
      </c>
    </row>
    <row r="567" spans="1:65" s="13" customFormat="1">
      <c r="B567" s="161"/>
      <c r="D567" s="153" t="s">
        <v>193</v>
      </c>
      <c r="E567" s="162" t="s">
        <v>3</v>
      </c>
      <c r="F567" s="163" t="s">
        <v>2715</v>
      </c>
      <c r="H567" s="164">
        <v>332.50799999999998</v>
      </c>
      <c r="I567" s="165"/>
      <c r="L567" s="161"/>
      <c r="M567" s="166"/>
      <c r="N567" s="167"/>
      <c r="O567" s="167"/>
      <c r="P567" s="167"/>
      <c r="Q567" s="167"/>
      <c r="R567" s="167"/>
      <c r="S567" s="167"/>
      <c r="T567" s="168"/>
      <c r="AT567" s="162" t="s">
        <v>193</v>
      </c>
      <c r="AU567" s="162" t="s">
        <v>87</v>
      </c>
      <c r="AV567" s="13" t="s">
        <v>87</v>
      </c>
      <c r="AW567" s="13" t="s">
        <v>36</v>
      </c>
      <c r="AX567" s="13" t="s">
        <v>77</v>
      </c>
      <c r="AY567" s="162" t="s">
        <v>177</v>
      </c>
    </row>
    <row r="568" spans="1:65" s="13" customFormat="1">
      <c r="B568" s="161"/>
      <c r="D568" s="153" t="s">
        <v>193</v>
      </c>
      <c r="E568" s="162" t="s">
        <v>3</v>
      </c>
      <c r="F568" s="163" t="s">
        <v>2716</v>
      </c>
      <c r="H568" s="164">
        <v>103.98399999999999</v>
      </c>
      <c r="I568" s="165"/>
      <c r="L568" s="161"/>
      <c r="M568" s="166"/>
      <c r="N568" s="167"/>
      <c r="O568" s="167"/>
      <c r="P568" s="167"/>
      <c r="Q568" s="167"/>
      <c r="R568" s="167"/>
      <c r="S568" s="167"/>
      <c r="T568" s="168"/>
      <c r="AT568" s="162" t="s">
        <v>193</v>
      </c>
      <c r="AU568" s="162" t="s">
        <v>87</v>
      </c>
      <c r="AV568" s="13" t="s">
        <v>87</v>
      </c>
      <c r="AW568" s="13" t="s">
        <v>36</v>
      </c>
      <c r="AX568" s="13" t="s">
        <v>77</v>
      </c>
      <c r="AY568" s="162" t="s">
        <v>177</v>
      </c>
    </row>
    <row r="569" spans="1:65" s="16" customFormat="1">
      <c r="B569" s="184"/>
      <c r="D569" s="153" t="s">
        <v>193</v>
      </c>
      <c r="E569" s="185" t="s">
        <v>3</v>
      </c>
      <c r="F569" s="186" t="s">
        <v>201</v>
      </c>
      <c r="H569" s="187">
        <v>436.49200000000002</v>
      </c>
      <c r="I569" s="188"/>
      <c r="L569" s="184"/>
      <c r="M569" s="189"/>
      <c r="N569" s="190"/>
      <c r="O569" s="190"/>
      <c r="P569" s="190"/>
      <c r="Q569" s="190"/>
      <c r="R569" s="190"/>
      <c r="S569" s="190"/>
      <c r="T569" s="191"/>
      <c r="AT569" s="185" t="s">
        <v>193</v>
      </c>
      <c r="AU569" s="185" t="s">
        <v>87</v>
      </c>
      <c r="AV569" s="16" t="s">
        <v>185</v>
      </c>
      <c r="AW569" s="16" t="s">
        <v>36</v>
      </c>
      <c r="AX569" s="16" t="s">
        <v>85</v>
      </c>
      <c r="AY569" s="185" t="s">
        <v>177</v>
      </c>
    </row>
    <row r="570" spans="1:65" s="2" customFormat="1" ht="24.2" customHeight="1">
      <c r="A570" s="34"/>
      <c r="B570" s="139"/>
      <c r="C570" s="195" t="s">
        <v>2717</v>
      </c>
      <c r="D570" s="195" t="s">
        <v>484</v>
      </c>
      <c r="E570" s="196" t="s">
        <v>2718</v>
      </c>
      <c r="F570" s="197" t="s">
        <v>2719</v>
      </c>
      <c r="G570" s="198" t="s">
        <v>332</v>
      </c>
      <c r="H570" s="199">
        <v>523.79</v>
      </c>
      <c r="I570" s="200"/>
      <c r="J570" s="201">
        <f>ROUND(I570*H570,2)</f>
        <v>0</v>
      </c>
      <c r="K570" s="197" t="s">
        <v>184</v>
      </c>
      <c r="L570" s="202"/>
      <c r="M570" s="203" t="s">
        <v>3</v>
      </c>
      <c r="N570" s="204" t="s">
        <v>48</v>
      </c>
      <c r="O570" s="55"/>
      <c r="P570" s="149">
        <f>O570*H570</f>
        <v>0</v>
      </c>
      <c r="Q570" s="149">
        <v>4.0000000000000001E-3</v>
      </c>
      <c r="R570" s="149">
        <f>Q570*H570</f>
        <v>2.0951599999999999</v>
      </c>
      <c r="S570" s="149">
        <v>0</v>
      </c>
      <c r="T570" s="150">
        <f>S570*H570</f>
        <v>0</v>
      </c>
      <c r="U570" s="34"/>
      <c r="V570" s="34"/>
      <c r="W570" s="34"/>
      <c r="X570" s="34"/>
      <c r="Y570" s="34"/>
      <c r="Z570" s="34"/>
      <c r="AA570" s="34"/>
      <c r="AB570" s="34"/>
      <c r="AC570" s="34"/>
      <c r="AD570" s="34"/>
      <c r="AE570" s="34"/>
      <c r="AR570" s="151" t="s">
        <v>537</v>
      </c>
      <c r="AT570" s="151" t="s">
        <v>484</v>
      </c>
      <c r="AU570" s="151" t="s">
        <v>87</v>
      </c>
      <c r="AY570" s="19" t="s">
        <v>177</v>
      </c>
      <c r="BE570" s="152">
        <f>IF(N570="základní",J570,0)</f>
        <v>0</v>
      </c>
      <c r="BF570" s="152">
        <f>IF(N570="snížená",J570,0)</f>
        <v>0</v>
      </c>
      <c r="BG570" s="152">
        <f>IF(N570="zákl. přenesená",J570,0)</f>
        <v>0</v>
      </c>
      <c r="BH570" s="152">
        <f>IF(N570="sníž. přenesená",J570,0)</f>
        <v>0</v>
      </c>
      <c r="BI570" s="152">
        <f>IF(N570="nulová",J570,0)</f>
        <v>0</v>
      </c>
      <c r="BJ570" s="19" t="s">
        <v>85</v>
      </c>
      <c r="BK570" s="152">
        <f>ROUND(I570*H570,2)</f>
        <v>0</v>
      </c>
      <c r="BL570" s="19" t="s">
        <v>237</v>
      </c>
      <c r="BM570" s="151" t="s">
        <v>2720</v>
      </c>
    </row>
    <row r="571" spans="1:65" s="2" customFormat="1" ht="19.5">
      <c r="A571" s="34"/>
      <c r="B571" s="35"/>
      <c r="C571" s="34"/>
      <c r="D571" s="153" t="s">
        <v>187</v>
      </c>
      <c r="E571" s="34"/>
      <c r="F571" s="154" t="s">
        <v>2719</v>
      </c>
      <c r="G571" s="34"/>
      <c r="H571" s="34"/>
      <c r="I571" s="155"/>
      <c r="J571" s="34"/>
      <c r="K571" s="34"/>
      <c r="L571" s="35"/>
      <c r="M571" s="156"/>
      <c r="N571" s="157"/>
      <c r="O571" s="55"/>
      <c r="P571" s="55"/>
      <c r="Q571" s="55"/>
      <c r="R571" s="55"/>
      <c r="S571" s="55"/>
      <c r="T571" s="56"/>
      <c r="U571" s="34"/>
      <c r="V571" s="34"/>
      <c r="W571" s="34"/>
      <c r="X571" s="34"/>
      <c r="Y571" s="34"/>
      <c r="Z571" s="34"/>
      <c r="AA571" s="34"/>
      <c r="AB571" s="34"/>
      <c r="AC571" s="34"/>
      <c r="AD571" s="34"/>
      <c r="AE571" s="34"/>
      <c r="AT571" s="19" t="s">
        <v>187</v>
      </c>
      <c r="AU571" s="19" t="s">
        <v>87</v>
      </c>
    </row>
    <row r="572" spans="1:65" s="13" customFormat="1">
      <c r="B572" s="161"/>
      <c r="D572" s="153" t="s">
        <v>193</v>
      </c>
      <c r="F572" s="163" t="s">
        <v>2721</v>
      </c>
      <c r="H572" s="164">
        <v>523.79</v>
      </c>
      <c r="I572" s="165"/>
      <c r="L572" s="161"/>
      <c r="M572" s="166"/>
      <c r="N572" s="167"/>
      <c r="O572" s="167"/>
      <c r="P572" s="167"/>
      <c r="Q572" s="167"/>
      <c r="R572" s="167"/>
      <c r="S572" s="167"/>
      <c r="T572" s="168"/>
      <c r="AT572" s="162" t="s">
        <v>193</v>
      </c>
      <c r="AU572" s="162" t="s">
        <v>87</v>
      </c>
      <c r="AV572" s="13" t="s">
        <v>87</v>
      </c>
      <c r="AW572" s="13" t="s">
        <v>4</v>
      </c>
      <c r="AX572" s="13" t="s">
        <v>85</v>
      </c>
      <c r="AY572" s="162" t="s">
        <v>177</v>
      </c>
    </row>
    <row r="573" spans="1:65" s="2" customFormat="1" ht="16.5" customHeight="1">
      <c r="A573" s="34"/>
      <c r="B573" s="139"/>
      <c r="C573" s="140" t="s">
        <v>2722</v>
      </c>
      <c r="D573" s="140" t="s">
        <v>180</v>
      </c>
      <c r="E573" s="141" t="s">
        <v>1425</v>
      </c>
      <c r="F573" s="142" t="s">
        <v>1426</v>
      </c>
      <c r="G573" s="143" t="s">
        <v>332</v>
      </c>
      <c r="H573" s="144">
        <v>564.53200000000004</v>
      </c>
      <c r="I573" s="145"/>
      <c r="J573" s="146">
        <f>ROUND(I573*H573,2)</f>
        <v>0</v>
      </c>
      <c r="K573" s="142" t="s">
        <v>184</v>
      </c>
      <c r="L573" s="35"/>
      <c r="M573" s="147" t="s">
        <v>3</v>
      </c>
      <c r="N573" s="148" t="s">
        <v>48</v>
      </c>
      <c r="O573" s="55"/>
      <c r="P573" s="149">
        <f>O573*H573</f>
        <v>0</v>
      </c>
      <c r="Q573" s="149">
        <v>8.8312999999999998E-4</v>
      </c>
      <c r="R573" s="149">
        <f>Q573*H573</f>
        <v>0.49855514516000005</v>
      </c>
      <c r="S573" s="149">
        <v>0</v>
      </c>
      <c r="T573" s="150">
        <f>S573*H573</f>
        <v>0</v>
      </c>
      <c r="U573" s="34"/>
      <c r="V573" s="34"/>
      <c r="W573" s="34"/>
      <c r="X573" s="34"/>
      <c r="Y573" s="34"/>
      <c r="Z573" s="34"/>
      <c r="AA573" s="34"/>
      <c r="AB573" s="34"/>
      <c r="AC573" s="34"/>
      <c r="AD573" s="34"/>
      <c r="AE573" s="34"/>
      <c r="AR573" s="151" t="s">
        <v>237</v>
      </c>
      <c r="AT573" s="151" t="s">
        <v>180</v>
      </c>
      <c r="AU573" s="151" t="s">
        <v>87</v>
      </c>
      <c r="AY573" s="19" t="s">
        <v>177</v>
      </c>
      <c r="BE573" s="152">
        <f>IF(N573="základní",J573,0)</f>
        <v>0</v>
      </c>
      <c r="BF573" s="152">
        <f>IF(N573="snížená",J573,0)</f>
        <v>0</v>
      </c>
      <c r="BG573" s="152">
        <f>IF(N573="zákl. přenesená",J573,0)</f>
        <v>0</v>
      </c>
      <c r="BH573" s="152">
        <f>IF(N573="sníž. přenesená",J573,0)</f>
        <v>0</v>
      </c>
      <c r="BI573" s="152">
        <f>IF(N573="nulová",J573,0)</f>
        <v>0</v>
      </c>
      <c r="BJ573" s="19" t="s">
        <v>85</v>
      </c>
      <c r="BK573" s="152">
        <f>ROUND(I573*H573,2)</f>
        <v>0</v>
      </c>
      <c r="BL573" s="19" t="s">
        <v>237</v>
      </c>
      <c r="BM573" s="151" t="s">
        <v>2723</v>
      </c>
    </row>
    <row r="574" spans="1:65" s="2" customFormat="1">
      <c r="A574" s="34"/>
      <c r="B574" s="35"/>
      <c r="C574" s="34"/>
      <c r="D574" s="153" t="s">
        <v>187</v>
      </c>
      <c r="E574" s="34"/>
      <c r="F574" s="154" t="s">
        <v>1428</v>
      </c>
      <c r="G574" s="34"/>
      <c r="H574" s="34"/>
      <c r="I574" s="155"/>
      <c r="J574" s="34"/>
      <c r="K574" s="34"/>
      <c r="L574" s="35"/>
      <c r="M574" s="156"/>
      <c r="N574" s="157"/>
      <c r="O574" s="55"/>
      <c r="P574" s="55"/>
      <c r="Q574" s="55"/>
      <c r="R574" s="55"/>
      <c r="S574" s="55"/>
      <c r="T574" s="56"/>
      <c r="U574" s="34"/>
      <c r="V574" s="34"/>
      <c r="W574" s="34"/>
      <c r="X574" s="34"/>
      <c r="Y574" s="34"/>
      <c r="Z574" s="34"/>
      <c r="AA574" s="34"/>
      <c r="AB574" s="34"/>
      <c r="AC574" s="34"/>
      <c r="AD574" s="34"/>
      <c r="AE574" s="34"/>
      <c r="AT574" s="19" t="s">
        <v>187</v>
      </c>
      <c r="AU574" s="19" t="s">
        <v>87</v>
      </c>
    </row>
    <row r="575" spans="1:65" s="2" customFormat="1">
      <c r="A575" s="34"/>
      <c r="B575" s="35"/>
      <c r="C575" s="34"/>
      <c r="D575" s="158" t="s">
        <v>189</v>
      </c>
      <c r="E575" s="34"/>
      <c r="F575" s="159" t="s">
        <v>1429</v>
      </c>
      <c r="G575" s="34"/>
      <c r="H575" s="34"/>
      <c r="I575" s="155"/>
      <c r="J575" s="34"/>
      <c r="K575" s="34"/>
      <c r="L575" s="35"/>
      <c r="M575" s="156"/>
      <c r="N575" s="157"/>
      <c r="O575" s="55"/>
      <c r="P575" s="55"/>
      <c r="Q575" s="55"/>
      <c r="R575" s="55"/>
      <c r="S575" s="55"/>
      <c r="T575" s="56"/>
      <c r="U575" s="34"/>
      <c r="V575" s="34"/>
      <c r="W575" s="34"/>
      <c r="X575" s="34"/>
      <c r="Y575" s="34"/>
      <c r="Z575" s="34"/>
      <c r="AA575" s="34"/>
      <c r="AB575" s="34"/>
      <c r="AC575" s="34"/>
      <c r="AD575" s="34"/>
      <c r="AE575" s="34"/>
      <c r="AT575" s="19" t="s">
        <v>189</v>
      </c>
      <c r="AU575" s="19" t="s">
        <v>87</v>
      </c>
    </row>
    <row r="576" spans="1:65" s="2" customFormat="1" ht="39">
      <c r="A576" s="34"/>
      <c r="B576" s="35"/>
      <c r="C576" s="34"/>
      <c r="D576" s="153" t="s">
        <v>191</v>
      </c>
      <c r="E576" s="34"/>
      <c r="F576" s="160" t="s">
        <v>1430</v>
      </c>
      <c r="G576" s="34"/>
      <c r="H576" s="34"/>
      <c r="I576" s="155"/>
      <c r="J576" s="34"/>
      <c r="K576" s="34"/>
      <c r="L576" s="35"/>
      <c r="M576" s="156"/>
      <c r="N576" s="157"/>
      <c r="O576" s="55"/>
      <c r="P576" s="55"/>
      <c r="Q576" s="55"/>
      <c r="R576" s="55"/>
      <c r="S576" s="55"/>
      <c r="T576" s="56"/>
      <c r="U576" s="34"/>
      <c r="V576" s="34"/>
      <c r="W576" s="34"/>
      <c r="X576" s="34"/>
      <c r="Y576" s="34"/>
      <c r="Z576" s="34"/>
      <c r="AA576" s="34"/>
      <c r="AB576" s="34"/>
      <c r="AC576" s="34"/>
      <c r="AD576" s="34"/>
      <c r="AE576" s="34"/>
      <c r="AT576" s="19" t="s">
        <v>191</v>
      </c>
      <c r="AU576" s="19" t="s">
        <v>87</v>
      </c>
    </row>
    <row r="577" spans="1:65" s="2" customFormat="1" ht="24.2" customHeight="1">
      <c r="A577" s="34"/>
      <c r="B577" s="139"/>
      <c r="C577" s="195" t="s">
        <v>2724</v>
      </c>
      <c r="D577" s="195" t="s">
        <v>484</v>
      </c>
      <c r="E577" s="196" t="s">
        <v>2725</v>
      </c>
      <c r="F577" s="197" t="s">
        <v>2726</v>
      </c>
      <c r="G577" s="198" t="s">
        <v>332</v>
      </c>
      <c r="H577" s="199">
        <v>584.31799999999998</v>
      </c>
      <c r="I577" s="200"/>
      <c r="J577" s="201">
        <f>ROUND(I577*H577,2)</f>
        <v>0</v>
      </c>
      <c r="K577" s="197" t="s">
        <v>184</v>
      </c>
      <c r="L577" s="202"/>
      <c r="M577" s="203" t="s">
        <v>3</v>
      </c>
      <c r="N577" s="204" t="s">
        <v>48</v>
      </c>
      <c r="O577" s="55"/>
      <c r="P577" s="149">
        <f>O577*H577</f>
        <v>0</v>
      </c>
      <c r="Q577" s="149">
        <v>6.4000000000000003E-3</v>
      </c>
      <c r="R577" s="149">
        <f>Q577*H577</f>
        <v>3.7396351999999999</v>
      </c>
      <c r="S577" s="149">
        <v>0</v>
      </c>
      <c r="T577" s="150">
        <f>S577*H577</f>
        <v>0</v>
      </c>
      <c r="U577" s="34"/>
      <c r="V577" s="34"/>
      <c r="W577" s="34"/>
      <c r="X577" s="34"/>
      <c r="Y577" s="34"/>
      <c r="Z577" s="34"/>
      <c r="AA577" s="34"/>
      <c r="AB577" s="34"/>
      <c r="AC577" s="34"/>
      <c r="AD577" s="34"/>
      <c r="AE577" s="34"/>
      <c r="AR577" s="151" t="s">
        <v>537</v>
      </c>
      <c r="AT577" s="151" t="s">
        <v>484</v>
      </c>
      <c r="AU577" s="151" t="s">
        <v>87</v>
      </c>
      <c r="AY577" s="19" t="s">
        <v>177</v>
      </c>
      <c r="BE577" s="152">
        <f>IF(N577="základní",J577,0)</f>
        <v>0</v>
      </c>
      <c r="BF577" s="152">
        <f>IF(N577="snížená",J577,0)</f>
        <v>0</v>
      </c>
      <c r="BG577" s="152">
        <f>IF(N577="zákl. přenesená",J577,0)</f>
        <v>0</v>
      </c>
      <c r="BH577" s="152">
        <f>IF(N577="sníž. přenesená",J577,0)</f>
        <v>0</v>
      </c>
      <c r="BI577" s="152">
        <f>IF(N577="nulová",J577,0)</f>
        <v>0</v>
      </c>
      <c r="BJ577" s="19" t="s">
        <v>85</v>
      </c>
      <c r="BK577" s="152">
        <f>ROUND(I577*H577,2)</f>
        <v>0</v>
      </c>
      <c r="BL577" s="19" t="s">
        <v>237</v>
      </c>
      <c r="BM577" s="151" t="s">
        <v>2727</v>
      </c>
    </row>
    <row r="578" spans="1:65" s="2" customFormat="1" ht="19.5">
      <c r="A578" s="34"/>
      <c r="B578" s="35"/>
      <c r="C578" s="34"/>
      <c r="D578" s="153" t="s">
        <v>187</v>
      </c>
      <c r="E578" s="34"/>
      <c r="F578" s="154" t="s">
        <v>2726</v>
      </c>
      <c r="G578" s="34"/>
      <c r="H578" s="34"/>
      <c r="I578" s="155"/>
      <c r="J578" s="34"/>
      <c r="K578" s="34"/>
      <c r="L578" s="35"/>
      <c r="M578" s="156"/>
      <c r="N578" s="157"/>
      <c r="O578" s="55"/>
      <c r="P578" s="55"/>
      <c r="Q578" s="55"/>
      <c r="R578" s="55"/>
      <c r="S578" s="55"/>
      <c r="T578" s="56"/>
      <c r="U578" s="34"/>
      <c r="V578" s="34"/>
      <c r="W578" s="34"/>
      <c r="X578" s="34"/>
      <c r="Y578" s="34"/>
      <c r="Z578" s="34"/>
      <c r="AA578" s="34"/>
      <c r="AB578" s="34"/>
      <c r="AC578" s="34"/>
      <c r="AD578" s="34"/>
      <c r="AE578" s="34"/>
      <c r="AT578" s="19" t="s">
        <v>187</v>
      </c>
      <c r="AU578" s="19" t="s">
        <v>87</v>
      </c>
    </row>
    <row r="579" spans="1:65" s="13" customFormat="1">
      <c r="B579" s="161"/>
      <c r="D579" s="153" t="s">
        <v>193</v>
      </c>
      <c r="E579" s="162" t="s">
        <v>3</v>
      </c>
      <c r="F579" s="163" t="s">
        <v>2715</v>
      </c>
      <c r="H579" s="164">
        <v>332.50799999999998</v>
      </c>
      <c r="I579" s="165"/>
      <c r="L579" s="161"/>
      <c r="M579" s="166"/>
      <c r="N579" s="167"/>
      <c r="O579" s="167"/>
      <c r="P579" s="167"/>
      <c r="Q579" s="167"/>
      <c r="R579" s="167"/>
      <c r="S579" s="167"/>
      <c r="T579" s="168"/>
      <c r="AT579" s="162" t="s">
        <v>193</v>
      </c>
      <c r="AU579" s="162" t="s">
        <v>87</v>
      </c>
      <c r="AV579" s="13" t="s">
        <v>87</v>
      </c>
      <c r="AW579" s="13" t="s">
        <v>36</v>
      </c>
      <c r="AX579" s="13" t="s">
        <v>77</v>
      </c>
      <c r="AY579" s="162" t="s">
        <v>177</v>
      </c>
    </row>
    <row r="580" spans="1:65" s="13" customFormat="1">
      <c r="B580" s="161"/>
      <c r="D580" s="153" t="s">
        <v>193</v>
      </c>
      <c r="E580" s="162" t="s">
        <v>3</v>
      </c>
      <c r="F580" s="163" t="s">
        <v>2716</v>
      </c>
      <c r="H580" s="164">
        <v>103.98399999999999</v>
      </c>
      <c r="I580" s="165"/>
      <c r="L580" s="161"/>
      <c r="M580" s="166"/>
      <c r="N580" s="167"/>
      <c r="O580" s="167"/>
      <c r="P580" s="167"/>
      <c r="Q580" s="167"/>
      <c r="R580" s="167"/>
      <c r="S580" s="167"/>
      <c r="T580" s="168"/>
      <c r="AT580" s="162" t="s">
        <v>193</v>
      </c>
      <c r="AU580" s="162" t="s">
        <v>87</v>
      </c>
      <c r="AV580" s="13" t="s">
        <v>87</v>
      </c>
      <c r="AW580" s="13" t="s">
        <v>36</v>
      </c>
      <c r="AX580" s="13" t="s">
        <v>77</v>
      </c>
      <c r="AY580" s="162" t="s">
        <v>177</v>
      </c>
    </row>
    <row r="581" spans="1:65" s="14" customFormat="1">
      <c r="B581" s="169"/>
      <c r="D581" s="153" t="s">
        <v>193</v>
      </c>
      <c r="E581" s="170" t="s">
        <v>3</v>
      </c>
      <c r="F581" s="171" t="s">
        <v>2728</v>
      </c>
      <c r="H581" s="170" t="s">
        <v>3</v>
      </c>
      <c r="I581" s="172"/>
      <c r="L581" s="169"/>
      <c r="M581" s="173"/>
      <c r="N581" s="174"/>
      <c r="O581" s="174"/>
      <c r="P581" s="174"/>
      <c r="Q581" s="174"/>
      <c r="R581" s="174"/>
      <c r="S581" s="174"/>
      <c r="T581" s="175"/>
      <c r="AT581" s="170" t="s">
        <v>193</v>
      </c>
      <c r="AU581" s="170" t="s">
        <v>87</v>
      </c>
      <c r="AV581" s="14" t="s">
        <v>85</v>
      </c>
      <c r="AW581" s="14" t="s">
        <v>36</v>
      </c>
      <c r="AX581" s="14" t="s">
        <v>77</v>
      </c>
      <c r="AY581" s="170" t="s">
        <v>177</v>
      </c>
    </row>
    <row r="582" spans="1:65" s="13" customFormat="1">
      <c r="B582" s="161"/>
      <c r="D582" s="153" t="s">
        <v>193</v>
      </c>
      <c r="E582" s="162" t="s">
        <v>3</v>
      </c>
      <c r="F582" s="163" t="s">
        <v>2729</v>
      </c>
      <c r="H582" s="164">
        <v>50.44</v>
      </c>
      <c r="I582" s="165"/>
      <c r="L582" s="161"/>
      <c r="M582" s="166"/>
      <c r="N582" s="167"/>
      <c r="O582" s="167"/>
      <c r="P582" s="167"/>
      <c r="Q582" s="167"/>
      <c r="R582" s="167"/>
      <c r="S582" s="167"/>
      <c r="T582" s="168"/>
      <c r="AT582" s="162" t="s">
        <v>193</v>
      </c>
      <c r="AU582" s="162" t="s">
        <v>87</v>
      </c>
      <c r="AV582" s="13" t="s">
        <v>87</v>
      </c>
      <c r="AW582" s="13" t="s">
        <v>36</v>
      </c>
      <c r="AX582" s="13" t="s">
        <v>77</v>
      </c>
      <c r="AY582" s="162" t="s">
        <v>177</v>
      </c>
    </row>
    <row r="583" spans="1:65" s="16" customFormat="1">
      <c r="B583" s="184"/>
      <c r="D583" s="153" t="s">
        <v>193</v>
      </c>
      <c r="E583" s="185" t="s">
        <v>3</v>
      </c>
      <c r="F583" s="186" t="s">
        <v>201</v>
      </c>
      <c r="H583" s="187">
        <v>486.93200000000002</v>
      </c>
      <c r="I583" s="188"/>
      <c r="L583" s="184"/>
      <c r="M583" s="189"/>
      <c r="N583" s="190"/>
      <c r="O583" s="190"/>
      <c r="P583" s="190"/>
      <c r="Q583" s="190"/>
      <c r="R583" s="190"/>
      <c r="S583" s="190"/>
      <c r="T583" s="191"/>
      <c r="AT583" s="185" t="s">
        <v>193</v>
      </c>
      <c r="AU583" s="185" t="s">
        <v>87</v>
      </c>
      <c r="AV583" s="16" t="s">
        <v>185</v>
      </c>
      <c r="AW583" s="16" t="s">
        <v>36</v>
      </c>
      <c r="AX583" s="16" t="s">
        <v>85</v>
      </c>
      <c r="AY583" s="185" t="s">
        <v>177</v>
      </c>
    </row>
    <row r="584" spans="1:65" s="13" customFormat="1">
      <c r="B584" s="161"/>
      <c r="D584" s="153" t="s">
        <v>193</v>
      </c>
      <c r="F584" s="163" t="s">
        <v>2730</v>
      </c>
      <c r="H584" s="164">
        <v>584.31799999999998</v>
      </c>
      <c r="I584" s="165"/>
      <c r="L584" s="161"/>
      <c r="M584" s="166"/>
      <c r="N584" s="167"/>
      <c r="O584" s="167"/>
      <c r="P584" s="167"/>
      <c r="Q584" s="167"/>
      <c r="R584" s="167"/>
      <c r="S584" s="167"/>
      <c r="T584" s="168"/>
      <c r="AT584" s="162" t="s">
        <v>193</v>
      </c>
      <c r="AU584" s="162" t="s">
        <v>87</v>
      </c>
      <c r="AV584" s="13" t="s">
        <v>87</v>
      </c>
      <c r="AW584" s="13" t="s">
        <v>4</v>
      </c>
      <c r="AX584" s="13" t="s">
        <v>85</v>
      </c>
      <c r="AY584" s="162" t="s">
        <v>177</v>
      </c>
    </row>
    <row r="585" spans="1:65" s="2" customFormat="1" ht="24.2" customHeight="1">
      <c r="A585" s="34"/>
      <c r="B585" s="139"/>
      <c r="C585" s="195" t="s">
        <v>2731</v>
      </c>
      <c r="D585" s="195" t="s">
        <v>484</v>
      </c>
      <c r="E585" s="196" t="s">
        <v>2732</v>
      </c>
      <c r="F585" s="197" t="s">
        <v>2733</v>
      </c>
      <c r="G585" s="198" t="s">
        <v>332</v>
      </c>
      <c r="H585" s="199">
        <v>93.12</v>
      </c>
      <c r="I585" s="200"/>
      <c r="J585" s="201">
        <f>ROUND(I585*H585,2)</f>
        <v>0</v>
      </c>
      <c r="K585" s="197" t="s">
        <v>184</v>
      </c>
      <c r="L585" s="202"/>
      <c r="M585" s="203" t="s">
        <v>3</v>
      </c>
      <c r="N585" s="204" t="s">
        <v>48</v>
      </c>
      <c r="O585" s="55"/>
      <c r="P585" s="149">
        <f>O585*H585</f>
        <v>0</v>
      </c>
      <c r="Q585" s="149">
        <v>5.5300000000000002E-3</v>
      </c>
      <c r="R585" s="149">
        <f>Q585*H585</f>
        <v>0.51495360000000001</v>
      </c>
      <c r="S585" s="149">
        <v>0</v>
      </c>
      <c r="T585" s="150">
        <f>S585*H585</f>
        <v>0</v>
      </c>
      <c r="U585" s="34"/>
      <c r="V585" s="34"/>
      <c r="W585" s="34"/>
      <c r="X585" s="34"/>
      <c r="Y585" s="34"/>
      <c r="Z585" s="34"/>
      <c r="AA585" s="34"/>
      <c r="AB585" s="34"/>
      <c r="AC585" s="34"/>
      <c r="AD585" s="34"/>
      <c r="AE585" s="34"/>
      <c r="AR585" s="151" t="s">
        <v>537</v>
      </c>
      <c r="AT585" s="151" t="s">
        <v>484</v>
      </c>
      <c r="AU585" s="151" t="s">
        <v>87</v>
      </c>
      <c r="AY585" s="19" t="s">
        <v>177</v>
      </c>
      <c r="BE585" s="152">
        <f>IF(N585="základní",J585,0)</f>
        <v>0</v>
      </c>
      <c r="BF585" s="152">
        <f>IF(N585="snížená",J585,0)</f>
        <v>0</v>
      </c>
      <c r="BG585" s="152">
        <f>IF(N585="zákl. přenesená",J585,0)</f>
        <v>0</v>
      </c>
      <c r="BH585" s="152">
        <f>IF(N585="sníž. přenesená",J585,0)</f>
        <v>0</v>
      </c>
      <c r="BI585" s="152">
        <f>IF(N585="nulová",J585,0)</f>
        <v>0</v>
      </c>
      <c r="BJ585" s="19" t="s">
        <v>85</v>
      </c>
      <c r="BK585" s="152">
        <f>ROUND(I585*H585,2)</f>
        <v>0</v>
      </c>
      <c r="BL585" s="19" t="s">
        <v>237</v>
      </c>
      <c r="BM585" s="151" t="s">
        <v>2734</v>
      </c>
    </row>
    <row r="586" spans="1:65" s="2" customFormat="1" ht="19.5">
      <c r="A586" s="34"/>
      <c r="B586" s="35"/>
      <c r="C586" s="34"/>
      <c r="D586" s="153" t="s">
        <v>187</v>
      </c>
      <c r="E586" s="34"/>
      <c r="F586" s="154" t="s">
        <v>2733</v>
      </c>
      <c r="G586" s="34"/>
      <c r="H586" s="34"/>
      <c r="I586" s="155"/>
      <c r="J586" s="34"/>
      <c r="K586" s="34"/>
      <c r="L586" s="35"/>
      <c r="M586" s="156"/>
      <c r="N586" s="157"/>
      <c r="O586" s="55"/>
      <c r="P586" s="55"/>
      <c r="Q586" s="55"/>
      <c r="R586" s="55"/>
      <c r="S586" s="55"/>
      <c r="T586" s="56"/>
      <c r="U586" s="34"/>
      <c r="V586" s="34"/>
      <c r="W586" s="34"/>
      <c r="X586" s="34"/>
      <c r="Y586" s="34"/>
      <c r="Z586" s="34"/>
      <c r="AA586" s="34"/>
      <c r="AB586" s="34"/>
      <c r="AC586" s="34"/>
      <c r="AD586" s="34"/>
      <c r="AE586" s="34"/>
      <c r="AT586" s="19" t="s">
        <v>187</v>
      </c>
      <c r="AU586" s="19" t="s">
        <v>87</v>
      </c>
    </row>
    <row r="587" spans="1:65" s="14" customFormat="1">
      <c r="B587" s="169"/>
      <c r="D587" s="153" t="s">
        <v>193</v>
      </c>
      <c r="E587" s="170" t="s">
        <v>3</v>
      </c>
      <c r="F587" s="171" t="s">
        <v>2735</v>
      </c>
      <c r="H587" s="170" t="s">
        <v>3</v>
      </c>
      <c r="I587" s="172"/>
      <c r="L587" s="169"/>
      <c r="M587" s="173"/>
      <c r="N587" s="174"/>
      <c r="O587" s="174"/>
      <c r="P587" s="174"/>
      <c r="Q587" s="174"/>
      <c r="R587" s="174"/>
      <c r="S587" s="174"/>
      <c r="T587" s="175"/>
      <c r="AT587" s="170" t="s">
        <v>193</v>
      </c>
      <c r="AU587" s="170" t="s">
        <v>87</v>
      </c>
      <c r="AV587" s="14" t="s">
        <v>85</v>
      </c>
      <c r="AW587" s="14" t="s">
        <v>36</v>
      </c>
      <c r="AX587" s="14" t="s">
        <v>77</v>
      </c>
      <c r="AY587" s="170" t="s">
        <v>177</v>
      </c>
    </row>
    <row r="588" spans="1:65" s="13" customFormat="1">
      <c r="B588" s="161"/>
      <c r="D588" s="153" t="s">
        <v>193</v>
      </c>
      <c r="E588" s="162" t="s">
        <v>3</v>
      </c>
      <c r="F588" s="163" t="s">
        <v>2736</v>
      </c>
      <c r="H588" s="164">
        <v>77.599999999999994</v>
      </c>
      <c r="I588" s="165"/>
      <c r="L588" s="161"/>
      <c r="M588" s="166"/>
      <c r="N588" s="167"/>
      <c r="O588" s="167"/>
      <c r="P588" s="167"/>
      <c r="Q588" s="167"/>
      <c r="R588" s="167"/>
      <c r="S588" s="167"/>
      <c r="T588" s="168"/>
      <c r="AT588" s="162" t="s">
        <v>193</v>
      </c>
      <c r="AU588" s="162" t="s">
        <v>87</v>
      </c>
      <c r="AV588" s="13" t="s">
        <v>87</v>
      </c>
      <c r="AW588" s="13" t="s">
        <v>36</v>
      </c>
      <c r="AX588" s="13" t="s">
        <v>77</v>
      </c>
      <c r="AY588" s="162" t="s">
        <v>177</v>
      </c>
    </row>
    <row r="589" spans="1:65" s="16" customFormat="1">
      <c r="B589" s="184"/>
      <c r="D589" s="153" t="s">
        <v>193</v>
      </c>
      <c r="E589" s="185" t="s">
        <v>3</v>
      </c>
      <c r="F589" s="186" t="s">
        <v>201</v>
      </c>
      <c r="H589" s="187">
        <v>77.599999999999994</v>
      </c>
      <c r="I589" s="188"/>
      <c r="L589" s="184"/>
      <c r="M589" s="189"/>
      <c r="N589" s="190"/>
      <c r="O589" s="190"/>
      <c r="P589" s="190"/>
      <c r="Q589" s="190"/>
      <c r="R589" s="190"/>
      <c r="S589" s="190"/>
      <c r="T589" s="191"/>
      <c r="AT589" s="185" t="s">
        <v>193</v>
      </c>
      <c r="AU589" s="185" t="s">
        <v>87</v>
      </c>
      <c r="AV589" s="16" t="s">
        <v>185</v>
      </c>
      <c r="AW589" s="16" t="s">
        <v>36</v>
      </c>
      <c r="AX589" s="16" t="s">
        <v>85</v>
      </c>
      <c r="AY589" s="185" t="s">
        <v>177</v>
      </c>
    </row>
    <row r="590" spans="1:65" s="13" customFormat="1">
      <c r="B590" s="161"/>
      <c r="D590" s="153" t="s">
        <v>193</v>
      </c>
      <c r="F590" s="163" t="s">
        <v>2737</v>
      </c>
      <c r="H590" s="164">
        <v>93.12</v>
      </c>
      <c r="I590" s="165"/>
      <c r="L590" s="161"/>
      <c r="M590" s="166"/>
      <c r="N590" s="167"/>
      <c r="O590" s="167"/>
      <c r="P590" s="167"/>
      <c r="Q590" s="167"/>
      <c r="R590" s="167"/>
      <c r="S590" s="167"/>
      <c r="T590" s="168"/>
      <c r="AT590" s="162" t="s">
        <v>193</v>
      </c>
      <c r="AU590" s="162" t="s">
        <v>87</v>
      </c>
      <c r="AV590" s="13" t="s">
        <v>87</v>
      </c>
      <c r="AW590" s="13" t="s">
        <v>4</v>
      </c>
      <c r="AX590" s="13" t="s">
        <v>85</v>
      </c>
      <c r="AY590" s="162" t="s">
        <v>177</v>
      </c>
    </row>
    <row r="591" spans="1:65" s="2" customFormat="1" ht="24.2" customHeight="1">
      <c r="A591" s="34"/>
      <c r="B591" s="139"/>
      <c r="C591" s="140" t="s">
        <v>2448</v>
      </c>
      <c r="D591" s="140" t="s">
        <v>180</v>
      </c>
      <c r="E591" s="141" t="s">
        <v>2738</v>
      </c>
      <c r="F591" s="142" t="s">
        <v>2739</v>
      </c>
      <c r="G591" s="143" t="s">
        <v>236</v>
      </c>
      <c r="H591" s="144">
        <v>10</v>
      </c>
      <c r="I591" s="145"/>
      <c r="J591" s="146">
        <f>ROUND(I591*H591,2)</f>
        <v>0</v>
      </c>
      <c r="K591" s="142" t="s">
        <v>184</v>
      </c>
      <c r="L591" s="35"/>
      <c r="M591" s="147" t="s">
        <v>3</v>
      </c>
      <c r="N591" s="148" t="s">
        <v>48</v>
      </c>
      <c r="O591" s="55"/>
      <c r="P591" s="149">
        <f>O591*H591</f>
        <v>0</v>
      </c>
      <c r="Q591" s="149">
        <v>1.08E-3</v>
      </c>
      <c r="R591" s="149">
        <f>Q591*H591</f>
        <v>1.0800000000000001E-2</v>
      </c>
      <c r="S591" s="149">
        <v>0</v>
      </c>
      <c r="T591" s="150">
        <f>S591*H591</f>
        <v>0</v>
      </c>
      <c r="U591" s="34"/>
      <c r="V591" s="34"/>
      <c r="W591" s="34"/>
      <c r="X591" s="34"/>
      <c r="Y591" s="34"/>
      <c r="Z591" s="34"/>
      <c r="AA591" s="34"/>
      <c r="AB591" s="34"/>
      <c r="AC591" s="34"/>
      <c r="AD591" s="34"/>
      <c r="AE591" s="34"/>
      <c r="AR591" s="151" t="s">
        <v>237</v>
      </c>
      <c r="AT591" s="151" t="s">
        <v>180</v>
      </c>
      <c r="AU591" s="151" t="s">
        <v>87</v>
      </c>
      <c r="AY591" s="19" t="s">
        <v>177</v>
      </c>
      <c r="BE591" s="152">
        <f>IF(N591="základní",J591,0)</f>
        <v>0</v>
      </c>
      <c r="BF591" s="152">
        <f>IF(N591="snížená",J591,0)</f>
        <v>0</v>
      </c>
      <c r="BG591" s="152">
        <f>IF(N591="zákl. přenesená",J591,0)</f>
        <v>0</v>
      </c>
      <c r="BH591" s="152">
        <f>IF(N591="sníž. přenesená",J591,0)</f>
        <v>0</v>
      </c>
      <c r="BI591" s="152">
        <f>IF(N591="nulová",J591,0)</f>
        <v>0</v>
      </c>
      <c r="BJ591" s="19" t="s">
        <v>85</v>
      </c>
      <c r="BK591" s="152">
        <f>ROUND(I591*H591,2)</f>
        <v>0</v>
      </c>
      <c r="BL591" s="19" t="s">
        <v>237</v>
      </c>
      <c r="BM591" s="151" t="s">
        <v>2740</v>
      </c>
    </row>
    <row r="592" spans="1:65" s="2" customFormat="1" ht="19.5">
      <c r="A592" s="34"/>
      <c r="B592" s="35"/>
      <c r="C592" s="34"/>
      <c r="D592" s="153" t="s">
        <v>187</v>
      </c>
      <c r="E592" s="34"/>
      <c r="F592" s="154" t="s">
        <v>2741</v>
      </c>
      <c r="G592" s="34"/>
      <c r="H592" s="34"/>
      <c r="I592" s="155"/>
      <c r="J592" s="34"/>
      <c r="K592" s="34"/>
      <c r="L592" s="35"/>
      <c r="M592" s="156"/>
      <c r="N592" s="157"/>
      <c r="O592" s="55"/>
      <c r="P592" s="55"/>
      <c r="Q592" s="55"/>
      <c r="R592" s="55"/>
      <c r="S592" s="55"/>
      <c r="T592" s="56"/>
      <c r="U592" s="34"/>
      <c r="V592" s="34"/>
      <c r="W592" s="34"/>
      <c r="X592" s="34"/>
      <c r="Y592" s="34"/>
      <c r="Z592" s="34"/>
      <c r="AA592" s="34"/>
      <c r="AB592" s="34"/>
      <c r="AC592" s="34"/>
      <c r="AD592" s="34"/>
      <c r="AE592" s="34"/>
      <c r="AT592" s="19" t="s">
        <v>187</v>
      </c>
      <c r="AU592" s="19" t="s">
        <v>87</v>
      </c>
    </row>
    <row r="593" spans="1:65" s="2" customFormat="1">
      <c r="A593" s="34"/>
      <c r="B593" s="35"/>
      <c r="C593" s="34"/>
      <c r="D593" s="158" t="s">
        <v>189</v>
      </c>
      <c r="E593" s="34"/>
      <c r="F593" s="159" t="s">
        <v>2742</v>
      </c>
      <c r="G593" s="34"/>
      <c r="H593" s="34"/>
      <c r="I593" s="155"/>
      <c r="J593" s="34"/>
      <c r="K593" s="34"/>
      <c r="L593" s="35"/>
      <c r="M593" s="156"/>
      <c r="N593" s="157"/>
      <c r="O593" s="55"/>
      <c r="P593" s="55"/>
      <c r="Q593" s="55"/>
      <c r="R593" s="55"/>
      <c r="S593" s="55"/>
      <c r="T593" s="56"/>
      <c r="U593" s="34"/>
      <c r="V593" s="34"/>
      <c r="W593" s="34"/>
      <c r="X593" s="34"/>
      <c r="Y593" s="34"/>
      <c r="Z593" s="34"/>
      <c r="AA593" s="34"/>
      <c r="AB593" s="34"/>
      <c r="AC593" s="34"/>
      <c r="AD593" s="34"/>
      <c r="AE593" s="34"/>
      <c r="AT593" s="19" t="s">
        <v>189</v>
      </c>
      <c r="AU593" s="19" t="s">
        <v>87</v>
      </c>
    </row>
    <row r="594" spans="1:65" s="2" customFormat="1" ht="39">
      <c r="A594" s="34"/>
      <c r="B594" s="35"/>
      <c r="C594" s="34"/>
      <c r="D594" s="153" t="s">
        <v>191</v>
      </c>
      <c r="E594" s="34"/>
      <c r="F594" s="160" t="s">
        <v>1430</v>
      </c>
      <c r="G594" s="34"/>
      <c r="H594" s="34"/>
      <c r="I594" s="155"/>
      <c r="J594" s="34"/>
      <c r="K594" s="34"/>
      <c r="L594" s="35"/>
      <c r="M594" s="156"/>
      <c r="N594" s="157"/>
      <c r="O594" s="55"/>
      <c r="P594" s="55"/>
      <c r="Q594" s="55"/>
      <c r="R594" s="55"/>
      <c r="S594" s="55"/>
      <c r="T594" s="56"/>
      <c r="U594" s="34"/>
      <c r="V594" s="34"/>
      <c r="W594" s="34"/>
      <c r="X594" s="34"/>
      <c r="Y594" s="34"/>
      <c r="Z594" s="34"/>
      <c r="AA594" s="34"/>
      <c r="AB594" s="34"/>
      <c r="AC594" s="34"/>
      <c r="AD594" s="34"/>
      <c r="AE594" s="34"/>
      <c r="AT594" s="19" t="s">
        <v>191</v>
      </c>
      <c r="AU594" s="19" t="s">
        <v>87</v>
      </c>
    </row>
    <row r="595" spans="1:65" s="2" customFormat="1" ht="24.2" customHeight="1">
      <c r="A595" s="34"/>
      <c r="B595" s="139"/>
      <c r="C595" s="140" t="s">
        <v>2743</v>
      </c>
      <c r="D595" s="140" t="s">
        <v>180</v>
      </c>
      <c r="E595" s="141" t="s">
        <v>2744</v>
      </c>
      <c r="F595" s="142" t="s">
        <v>2745</v>
      </c>
      <c r="G595" s="143" t="s">
        <v>236</v>
      </c>
      <c r="H595" s="144">
        <v>1</v>
      </c>
      <c r="I595" s="145"/>
      <c r="J595" s="146">
        <f>ROUND(I595*H595,2)</f>
        <v>0</v>
      </c>
      <c r="K595" s="142" t="s">
        <v>184</v>
      </c>
      <c r="L595" s="35"/>
      <c r="M595" s="147" t="s">
        <v>3</v>
      </c>
      <c r="N595" s="148" t="s">
        <v>48</v>
      </c>
      <c r="O595" s="55"/>
      <c r="P595" s="149">
        <f>O595*H595</f>
        <v>0</v>
      </c>
      <c r="Q595" s="149">
        <v>2.5890000000000002E-3</v>
      </c>
      <c r="R595" s="149">
        <f>Q595*H595</f>
        <v>2.5890000000000002E-3</v>
      </c>
      <c r="S595" s="149">
        <v>0</v>
      </c>
      <c r="T595" s="150">
        <f>S595*H595</f>
        <v>0</v>
      </c>
      <c r="U595" s="34"/>
      <c r="V595" s="34"/>
      <c r="W595" s="34"/>
      <c r="X595" s="34"/>
      <c r="Y595" s="34"/>
      <c r="Z595" s="34"/>
      <c r="AA595" s="34"/>
      <c r="AB595" s="34"/>
      <c r="AC595" s="34"/>
      <c r="AD595" s="34"/>
      <c r="AE595" s="34"/>
      <c r="AR595" s="151" t="s">
        <v>237</v>
      </c>
      <c r="AT595" s="151" t="s">
        <v>180</v>
      </c>
      <c r="AU595" s="151" t="s">
        <v>87</v>
      </c>
      <c r="AY595" s="19" t="s">
        <v>177</v>
      </c>
      <c r="BE595" s="152">
        <f>IF(N595="základní",J595,0)</f>
        <v>0</v>
      </c>
      <c r="BF595" s="152">
        <f>IF(N595="snížená",J595,0)</f>
        <v>0</v>
      </c>
      <c r="BG595" s="152">
        <f>IF(N595="zákl. přenesená",J595,0)</f>
        <v>0</v>
      </c>
      <c r="BH595" s="152">
        <f>IF(N595="sníž. přenesená",J595,0)</f>
        <v>0</v>
      </c>
      <c r="BI595" s="152">
        <f>IF(N595="nulová",J595,0)</f>
        <v>0</v>
      </c>
      <c r="BJ595" s="19" t="s">
        <v>85</v>
      </c>
      <c r="BK595" s="152">
        <f>ROUND(I595*H595,2)</f>
        <v>0</v>
      </c>
      <c r="BL595" s="19" t="s">
        <v>237</v>
      </c>
      <c r="BM595" s="151" t="s">
        <v>2746</v>
      </c>
    </row>
    <row r="596" spans="1:65" s="2" customFormat="1" ht="19.5">
      <c r="A596" s="34"/>
      <c r="B596" s="35"/>
      <c r="C596" s="34"/>
      <c r="D596" s="153" t="s">
        <v>187</v>
      </c>
      <c r="E596" s="34"/>
      <c r="F596" s="154" t="s">
        <v>2747</v>
      </c>
      <c r="G596" s="34"/>
      <c r="H596" s="34"/>
      <c r="I596" s="155"/>
      <c r="J596" s="34"/>
      <c r="K596" s="34"/>
      <c r="L596" s="35"/>
      <c r="M596" s="156"/>
      <c r="N596" s="157"/>
      <c r="O596" s="55"/>
      <c r="P596" s="55"/>
      <c r="Q596" s="55"/>
      <c r="R596" s="55"/>
      <c r="S596" s="55"/>
      <c r="T596" s="56"/>
      <c r="U596" s="34"/>
      <c r="V596" s="34"/>
      <c r="W596" s="34"/>
      <c r="X596" s="34"/>
      <c r="Y596" s="34"/>
      <c r="Z596" s="34"/>
      <c r="AA596" s="34"/>
      <c r="AB596" s="34"/>
      <c r="AC596" s="34"/>
      <c r="AD596" s="34"/>
      <c r="AE596" s="34"/>
      <c r="AT596" s="19" t="s">
        <v>187</v>
      </c>
      <c r="AU596" s="19" t="s">
        <v>87</v>
      </c>
    </row>
    <row r="597" spans="1:65" s="2" customFormat="1">
      <c r="A597" s="34"/>
      <c r="B597" s="35"/>
      <c r="C597" s="34"/>
      <c r="D597" s="158" t="s">
        <v>189</v>
      </c>
      <c r="E597" s="34"/>
      <c r="F597" s="159" t="s">
        <v>2748</v>
      </c>
      <c r="G597" s="34"/>
      <c r="H597" s="34"/>
      <c r="I597" s="155"/>
      <c r="J597" s="34"/>
      <c r="K597" s="34"/>
      <c r="L597" s="35"/>
      <c r="M597" s="156"/>
      <c r="N597" s="157"/>
      <c r="O597" s="55"/>
      <c r="P597" s="55"/>
      <c r="Q597" s="55"/>
      <c r="R597" s="55"/>
      <c r="S597" s="55"/>
      <c r="T597" s="56"/>
      <c r="U597" s="34"/>
      <c r="V597" s="34"/>
      <c r="W597" s="34"/>
      <c r="X597" s="34"/>
      <c r="Y597" s="34"/>
      <c r="Z597" s="34"/>
      <c r="AA597" s="34"/>
      <c r="AB597" s="34"/>
      <c r="AC597" s="34"/>
      <c r="AD597" s="34"/>
      <c r="AE597" s="34"/>
      <c r="AT597" s="19" t="s">
        <v>189</v>
      </c>
      <c r="AU597" s="19" t="s">
        <v>87</v>
      </c>
    </row>
    <row r="598" spans="1:65" s="2" customFormat="1" ht="39">
      <c r="A598" s="34"/>
      <c r="B598" s="35"/>
      <c r="C598" s="34"/>
      <c r="D598" s="153" t="s">
        <v>191</v>
      </c>
      <c r="E598" s="34"/>
      <c r="F598" s="160" t="s">
        <v>1430</v>
      </c>
      <c r="G598" s="34"/>
      <c r="H598" s="34"/>
      <c r="I598" s="155"/>
      <c r="J598" s="34"/>
      <c r="K598" s="34"/>
      <c r="L598" s="35"/>
      <c r="M598" s="156"/>
      <c r="N598" s="157"/>
      <c r="O598" s="55"/>
      <c r="P598" s="55"/>
      <c r="Q598" s="55"/>
      <c r="R598" s="55"/>
      <c r="S598" s="55"/>
      <c r="T598" s="56"/>
      <c r="U598" s="34"/>
      <c r="V598" s="34"/>
      <c r="W598" s="34"/>
      <c r="X598" s="34"/>
      <c r="Y598" s="34"/>
      <c r="Z598" s="34"/>
      <c r="AA598" s="34"/>
      <c r="AB598" s="34"/>
      <c r="AC598" s="34"/>
      <c r="AD598" s="34"/>
      <c r="AE598" s="34"/>
      <c r="AT598" s="19" t="s">
        <v>191</v>
      </c>
      <c r="AU598" s="19" t="s">
        <v>87</v>
      </c>
    </row>
    <row r="599" spans="1:65" s="2" customFormat="1" ht="21.75" customHeight="1">
      <c r="A599" s="34"/>
      <c r="B599" s="139"/>
      <c r="C599" s="140" t="s">
        <v>2749</v>
      </c>
      <c r="D599" s="140" t="s">
        <v>180</v>
      </c>
      <c r="E599" s="141" t="s">
        <v>2750</v>
      </c>
      <c r="F599" s="142" t="s">
        <v>2751</v>
      </c>
      <c r="G599" s="143" t="s">
        <v>332</v>
      </c>
      <c r="H599" s="144">
        <v>248.23500000000001</v>
      </c>
      <c r="I599" s="145"/>
      <c r="J599" s="146">
        <f>ROUND(I599*H599,2)</f>
        <v>0</v>
      </c>
      <c r="K599" s="142" t="s">
        <v>184</v>
      </c>
      <c r="L599" s="35"/>
      <c r="M599" s="147" t="s">
        <v>3</v>
      </c>
      <c r="N599" s="148" t="s">
        <v>48</v>
      </c>
      <c r="O599" s="55"/>
      <c r="P599" s="149">
        <f>O599*H599</f>
        <v>0</v>
      </c>
      <c r="Q599" s="149">
        <v>1.4224800000000001E-4</v>
      </c>
      <c r="R599" s="149">
        <f>Q599*H599</f>
        <v>3.5310932280000006E-2</v>
      </c>
      <c r="S599" s="149">
        <v>0</v>
      </c>
      <c r="T599" s="150">
        <f>S599*H599</f>
        <v>0</v>
      </c>
      <c r="U599" s="34"/>
      <c r="V599" s="34"/>
      <c r="W599" s="34"/>
      <c r="X599" s="34"/>
      <c r="Y599" s="34"/>
      <c r="Z599" s="34"/>
      <c r="AA599" s="34"/>
      <c r="AB599" s="34"/>
      <c r="AC599" s="34"/>
      <c r="AD599" s="34"/>
      <c r="AE599" s="34"/>
      <c r="AR599" s="151" t="s">
        <v>237</v>
      </c>
      <c r="AT599" s="151" t="s">
        <v>180</v>
      </c>
      <c r="AU599" s="151" t="s">
        <v>87</v>
      </c>
      <c r="AY599" s="19" t="s">
        <v>177</v>
      </c>
      <c r="BE599" s="152">
        <f>IF(N599="základní",J599,0)</f>
        <v>0</v>
      </c>
      <c r="BF599" s="152">
        <f>IF(N599="snížená",J599,0)</f>
        <v>0</v>
      </c>
      <c r="BG599" s="152">
        <f>IF(N599="zákl. přenesená",J599,0)</f>
        <v>0</v>
      </c>
      <c r="BH599" s="152">
        <f>IF(N599="sníž. přenesená",J599,0)</f>
        <v>0</v>
      </c>
      <c r="BI599" s="152">
        <f>IF(N599="nulová",J599,0)</f>
        <v>0</v>
      </c>
      <c r="BJ599" s="19" t="s">
        <v>85</v>
      </c>
      <c r="BK599" s="152">
        <f>ROUND(I599*H599,2)</f>
        <v>0</v>
      </c>
      <c r="BL599" s="19" t="s">
        <v>237</v>
      </c>
      <c r="BM599" s="151" t="s">
        <v>2752</v>
      </c>
    </row>
    <row r="600" spans="1:65" s="2" customFormat="1" ht="19.5">
      <c r="A600" s="34"/>
      <c r="B600" s="35"/>
      <c r="C600" s="34"/>
      <c r="D600" s="153" t="s">
        <v>187</v>
      </c>
      <c r="E600" s="34"/>
      <c r="F600" s="154" t="s">
        <v>2753</v>
      </c>
      <c r="G600" s="34"/>
      <c r="H600" s="34"/>
      <c r="I600" s="155"/>
      <c r="J600" s="34"/>
      <c r="K600" s="34"/>
      <c r="L600" s="35"/>
      <c r="M600" s="156"/>
      <c r="N600" s="157"/>
      <c r="O600" s="55"/>
      <c r="P600" s="55"/>
      <c r="Q600" s="55"/>
      <c r="R600" s="55"/>
      <c r="S600" s="55"/>
      <c r="T600" s="56"/>
      <c r="U600" s="34"/>
      <c r="V600" s="34"/>
      <c r="W600" s="34"/>
      <c r="X600" s="34"/>
      <c r="Y600" s="34"/>
      <c r="Z600" s="34"/>
      <c r="AA600" s="34"/>
      <c r="AB600" s="34"/>
      <c r="AC600" s="34"/>
      <c r="AD600" s="34"/>
      <c r="AE600" s="34"/>
      <c r="AT600" s="19" t="s">
        <v>187</v>
      </c>
      <c r="AU600" s="19" t="s">
        <v>87</v>
      </c>
    </row>
    <row r="601" spans="1:65" s="2" customFormat="1">
      <c r="A601" s="34"/>
      <c r="B601" s="35"/>
      <c r="C601" s="34"/>
      <c r="D601" s="158" t="s">
        <v>189</v>
      </c>
      <c r="E601" s="34"/>
      <c r="F601" s="159" t="s">
        <v>2754</v>
      </c>
      <c r="G601" s="34"/>
      <c r="H601" s="34"/>
      <c r="I601" s="155"/>
      <c r="J601" s="34"/>
      <c r="K601" s="34"/>
      <c r="L601" s="35"/>
      <c r="M601" s="156"/>
      <c r="N601" s="157"/>
      <c r="O601" s="55"/>
      <c r="P601" s="55"/>
      <c r="Q601" s="55"/>
      <c r="R601" s="55"/>
      <c r="S601" s="55"/>
      <c r="T601" s="56"/>
      <c r="U601" s="34"/>
      <c r="V601" s="34"/>
      <c r="W601" s="34"/>
      <c r="X601" s="34"/>
      <c r="Y601" s="34"/>
      <c r="Z601" s="34"/>
      <c r="AA601" s="34"/>
      <c r="AB601" s="34"/>
      <c r="AC601" s="34"/>
      <c r="AD601" s="34"/>
      <c r="AE601" s="34"/>
      <c r="AT601" s="19" t="s">
        <v>189</v>
      </c>
      <c r="AU601" s="19" t="s">
        <v>87</v>
      </c>
    </row>
    <row r="602" spans="1:65" s="2" customFormat="1" ht="68.25">
      <c r="A602" s="34"/>
      <c r="B602" s="35"/>
      <c r="C602" s="34"/>
      <c r="D602" s="153" t="s">
        <v>191</v>
      </c>
      <c r="E602" s="34"/>
      <c r="F602" s="160" t="s">
        <v>2755</v>
      </c>
      <c r="G602" s="34"/>
      <c r="H602" s="34"/>
      <c r="I602" s="155"/>
      <c r="J602" s="34"/>
      <c r="K602" s="34"/>
      <c r="L602" s="35"/>
      <c r="M602" s="156"/>
      <c r="N602" s="157"/>
      <c r="O602" s="55"/>
      <c r="P602" s="55"/>
      <c r="Q602" s="55"/>
      <c r="R602" s="55"/>
      <c r="S602" s="55"/>
      <c r="T602" s="56"/>
      <c r="U602" s="34"/>
      <c r="V602" s="34"/>
      <c r="W602" s="34"/>
      <c r="X602" s="34"/>
      <c r="Y602" s="34"/>
      <c r="Z602" s="34"/>
      <c r="AA602" s="34"/>
      <c r="AB602" s="34"/>
      <c r="AC602" s="34"/>
      <c r="AD602" s="34"/>
      <c r="AE602" s="34"/>
      <c r="AT602" s="19" t="s">
        <v>191</v>
      </c>
      <c r="AU602" s="19" t="s">
        <v>87</v>
      </c>
    </row>
    <row r="603" spans="1:65" s="13" customFormat="1">
      <c r="B603" s="161"/>
      <c r="D603" s="153" t="s">
        <v>193</v>
      </c>
      <c r="E603" s="162" t="s">
        <v>3</v>
      </c>
      <c r="F603" s="163" t="s">
        <v>2715</v>
      </c>
      <c r="H603" s="164">
        <v>332.50799999999998</v>
      </c>
      <c r="I603" s="165"/>
      <c r="L603" s="161"/>
      <c r="M603" s="166"/>
      <c r="N603" s="167"/>
      <c r="O603" s="167"/>
      <c r="P603" s="167"/>
      <c r="Q603" s="167"/>
      <c r="R603" s="167"/>
      <c r="S603" s="167"/>
      <c r="T603" s="168"/>
      <c r="AT603" s="162" t="s">
        <v>193</v>
      </c>
      <c r="AU603" s="162" t="s">
        <v>87</v>
      </c>
      <c r="AV603" s="13" t="s">
        <v>87</v>
      </c>
      <c r="AW603" s="13" t="s">
        <v>36</v>
      </c>
      <c r="AX603" s="13" t="s">
        <v>77</v>
      </c>
      <c r="AY603" s="162" t="s">
        <v>177</v>
      </c>
    </row>
    <row r="604" spans="1:65" s="13" customFormat="1">
      <c r="B604" s="161"/>
      <c r="D604" s="153" t="s">
        <v>193</v>
      </c>
      <c r="E604" s="162" t="s">
        <v>3</v>
      </c>
      <c r="F604" s="163" t="s">
        <v>2756</v>
      </c>
      <c r="H604" s="164">
        <v>-56.744999999999997</v>
      </c>
      <c r="I604" s="165"/>
      <c r="L604" s="161"/>
      <c r="M604" s="166"/>
      <c r="N604" s="167"/>
      <c r="O604" s="167"/>
      <c r="P604" s="167"/>
      <c r="Q604" s="167"/>
      <c r="R604" s="167"/>
      <c r="S604" s="167"/>
      <c r="T604" s="168"/>
      <c r="AT604" s="162" t="s">
        <v>193</v>
      </c>
      <c r="AU604" s="162" t="s">
        <v>87</v>
      </c>
      <c r="AV604" s="13" t="s">
        <v>87</v>
      </c>
      <c r="AW604" s="13" t="s">
        <v>36</v>
      </c>
      <c r="AX604" s="13" t="s">
        <v>77</v>
      </c>
      <c r="AY604" s="162" t="s">
        <v>177</v>
      </c>
    </row>
    <row r="605" spans="1:65" s="13" customFormat="1">
      <c r="B605" s="161"/>
      <c r="D605" s="153" t="s">
        <v>193</v>
      </c>
      <c r="E605" s="162" t="s">
        <v>3</v>
      </c>
      <c r="F605" s="163" t="s">
        <v>2757</v>
      </c>
      <c r="H605" s="164">
        <v>-27.527999999999999</v>
      </c>
      <c r="I605" s="165"/>
      <c r="L605" s="161"/>
      <c r="M605" s="166"/>
      <c r="N605" s="167"/>
      <c r="O605" s="167"/>
      <c r="P605" s="167"/>
      <c r="Q605" s="167"/>
      <c r="R605" s="167"/>
      <c r="S605" s="167"/>
      <c r="T605" s="168"/>
      <c r="AT605" s="162" t="s">
        <v>193</v>
      </c>
      <c r="AU605" s="162" t="s">
        <v>87</v>
      </c>
      <c r="AV605" s="13" t="s">
        <v>87</v>
      </c>
      <c r="AW605" s="13" t="s">
        <v>36</v>
      </c>
      <c r="AX605" s="13" t="s">
        <v>77</v>
      </c>
      <c r="AY605" s="162" t="s">
        <v>177</v>
      </c>
    </row>
    <row r="606" spans="1:65" s="16" customFormat="1">
      <c r="B606" s="184"/>
      <c r="D606" s="153" t="s">
        <v>193</v>
      </c>
      <c r="E606" s="185" t="s">
        <v>3</v>
      </c>
      <c r="F606" s="186" t="s">
        <v>201</v>
      </c>
      <c r="H606" s="187">
        <v>248.23500000000001</v>
      </c>
      <c r="I606" s="188"/>
      <c r="L606" s="184"/>
      <c r="M606" s="189"/>
      <c r="N606" s="190"/>
      <c r="O606" s="190"/>
      <c r="P606" s="190"/>
      <c r="Q606" s="190"/>
      <c r="R606" s="190"/>
      <c r="S606" s="190"/>
      <c r="T606" s="191"/>
      <c r="AT606" s="185" t="s">
        <v>193</v>
      </c>
      <c r="AU606" s="185" t="s">
        <v>87</v>
      </c>
      <c r="AV606" s="16" t="s">
        <v>185</v>
      </c>
      <c r="AW606" s="16" t="s">
        <v>36</v>
      </c>
      <c r="AX606" s="16" t="s">
        <v>85</v>
      </c>
      <c r="AY606" s="185" t="s">
        <v>177</v>
      </c>
    </row>
    <row r="607" spans="1:65" s="2" customFormat="1" ht="21.75" customHeight="1">
      <c r="A607" s="34"/>
      <c r="B607" s="139"/>
      <c r="C607" s="140" t="s">
        <v>2758</v>
      </c>
      <c r="D607" s="140" t="s">
        <v>180</v>
      </c>
      <c r="E607" s="141" t="s">
        <v>2759</v>
      </c>
      <c r="F607" s="142" t="s">
        <v>2760</v>
      </c>
      <c r="G607" s="143" t="s">
        <v>332</v>
      </c>
      <c r="H607" s="144">
        <v>56.744999999999997</v>
      </c>
      <c r="I607" s="145"/>
      <c r="J607" s="146">
        <f>ROUND(I607*H607,2)</f>
        <v>0</v>
      </c>
      <c r="K607" s="142" t="s">
        <v>184</v>
      </c>
      <c r="L607" s="35"/>
      <c r="M607" s="147" t="s">
        <v>3</v>
      </c>
      <c r="N607" s="148" t="s">
        <v>48</v>
      </c>
      <c r="O607" s="55"/>
      <c r="P607" s="149">
        <f>O607*H607</f>
        <v>0</v>
      </c>
      <c r="Q607" s="149">
        <v>2.8449600000000002E-4</v>
      </c>
      <c r="R607" s="149">
        <f>Q607*H607</f>
        <v>1.6143725519999999E-2</v>
      </c>
      <c r="S607" s="149">
        <v>0</v>
      </c>
      <c r="T607" s="150">
        <f>S607*H607</f>
        <v>0</v>
      </c>
      <c r="U607" s="34"/>
      <c r="V607" s="34"/>
      <c r="W607" s="34"/>
      <c r="X607" s="34"/>
      <c r="Y607" s="34"/>
      <c r="Z607" s="34"/>
      <c r="AA607" s="34"/>
      <c r="AB607" s="34"/>
      <c r="AC607" s="34"/>
      <c r="AD607" s="34"/>
      <c r="AE607" s="34"/>
      <c r="AR607" s="151" t="s">
        <v>237</v>
      </c>
      <c r="AT607" s="151" t="s">
        <v>180</v>
      </c>
      <c r="AU607" s="151" t="s">
        <v>87</v>
      </c>
      <c r="AY607" s="19" t="s">
        <v>177</v>
      </c>
      <c r="BE607" s="152">
        <f>IF(N607="základní",J607,0)</f>
        <v>0</v>
      </c>
      <c r="BF607" s="152">
        <f>IF(N607="snížená",J607,0)</f>
        <v>0</v>
      </c>
      <c r="BG607" s="152">
        <f>IF(N607="zákl. přenesená",J607,0)</f>
        <v>0</v>
      </c>
      <c r="BH607" s="152">
        <f>IF(N607="sníž. přenesená",J607,0)</f>
        <v>0</v>
      </c>
      <c r="BI607" s="152">
        <f>IF(N607="nulová",J607,0)</f>
        <v>0</v>
      </c>
      <c r="BJ607" s="19" t="s">
        <v>85</v>
      </c>
      <c r="BK607" s="152">
        <f>ROUND(I607*H607,2)</f>
        <v>0</v>
      </c>
      <c r="BL607" s="19" t="s">
        <v>237</v>
      </c>
      <c r="BM607" s="151" t="s">
        <v>2761</v>
      </c>
    </row>
    <row r="608" spans="1:65" s="2" customFormat="1" ht="19.5">
      <c r="A608" s="34"/>
      <c r="B608" s="35"/>
      <c r="C608" s="34"/>
      <c r="D608" s="153" t="s">
        <v>187</v>
      </c>
      <c r="E608" s="34"/>
      <c r="F608" s="154" t="s">
        <v>2762</v>
      </c>
      <c r="G608" s="34"/>
      <c r="H608" s="34"/>
      <c r="I608" s="155"/>
      <c r="J608" s="34"/>
      <c r="K608" s="34"/>
      <c r="L608" s="35"/>
      <c r="M608" s="156"/>
      <c r="N608" s="157"/>
      <c r="O608" s="55"/>
      <c r="P608" s="55"/>
      <c r="Q608" s="55"/>
      <c r="R608" s="55"/>
      <c r="S608" s="55"/>
      <c r="T608" s="56"/>
      <c r="U608" s="34"/>
      <c r="V608" s="34"/>
      <c r="W608" s="34"/>
      <c r="X608" s="34"/>
      <c r="Y608" s="34"/>
      <c r="Z608" s="34"/>
      <c r="AA608" s="34"/>
      <c r="AB608" s="34"/>
      <c r="AC608" s="34"/>
      <c r="AD608" s="34"/>
      <c r="AE608" s="34"/>
      <c r="AT608" s="19" t="s">
        <v>187</v>
      </c>
      <c r="AU608" s="19" t="s">
        <v>87</v>
      </c>
    </row>
    <row r="609" spans="1:65" s="2" customFormat="1">
      <c r="A609" s="34"/>
      <c r="B609" s="35"/>
      <c r="C609" s="34"/>
      <c r="D609" s="158" t="s">
        <v>189</v>
      </c>
      <c r="E609" s="34"/>
      <c r="F609" s="159" t="s">
        <v>2763</v>
      </c>
      <c r="G609" s="34"/>
      <c r="H609" s="34"/>
      <c r="I609" s="155"/>
      <c r="J609" s="34"/>
      <c r="K609" s="34"/>
      <c r="L609" s="35"/>
      <c r="M609" s="156"/>
      <c r="N609" s="157"/>
      <c r="O609" s="55"/>
      <c r="P609" s="55"/>
      <c r="Q609" s="55"/>
      <c r="R609" s="55"/>
      <c r="S609" s="55"/>
      <c r="T609" s="56"/>
      <c r="U609" s="34"/>
      <c r="V609" s="34"/>
      <c r="W609" s="34"/>
      <c r="X609" s="34"/>
      <c r="Y609" s="34"/>
      <c r="Z609" s="34"/>
      <c r="AA609" s="34"/>
      <c r="AB609" s="34"/>
      <c r="AC609" s="34"/>
      <c r="AD609" s="34"/>
      <c r="AE609" s="34"/>
      <c r="AT609" s="19" t="s">
        <v>189</v>
      </c>
      <c r="AU609" s="19" t="s">
        <v>87</v>
      </c>
    </row>
    <row r="610" spans="1:65" s="2" customFormat="1" ht="68.25">
      <c r="A610" s="34"/>
      <c r="B610" s="35"/>
      <c r="C610" s="34"/>
      <c r="D610" s="153" t="s">
        <v>191</v>
      </c>
      <c r="E610" s="34"/>
      <c r="F610" s="160" t="s">
        <v>2755</v>
      </c>
      <c r="G610" s="34"/>
      <c r="H610" s="34"/>
      <c r="I610" s="155"/>
      <c r="J610" s="34"/>
      <c r="K610" s="34"/>
      <c r="L610" s="35"/>
      <c r="M610" s="156"/>
      <c r="N610" s="157"/>
      <c r="O610" s="55"/>
      <c r="P610" s="55"/>
      <c r="Q610" s="55"/>
      <c r="R610" s="55"/>
      <c r="S610" s="55"/>
      <c r="T610" s="56"/>
      <c r="U610" s="34"/>
      <c r="V610" s="34"/>
      <c r="W610" s="34"/>
      <c r="X610" s="34"/>
      <c r="Y610" s="34"/>
      <c r="Z610" s="34"/>
      <c r="AA610" s="34"/>
      <c r="AB610" s="34"/>
      <c r="AC610" s="34"/>
      <c r="AD610" s="34"/>
      <c r="AE610" s="34"/>
      <c r="AT610" s="19" t="s">
        <v>191</v>
      </c>
      <c r="AU610" s="19" t="s">
        <v>87</v>
      </c>
    </row>
    <row r="611" spans="1:65" s="13" customFormat="1">
      <c r="B611" s="161"/>
      <c r="D611" s="153" t="s">
        <v>193</v>
      </c>
      <c r="E611" s="162" t="s">
        <v>3</v>
      </c>
      <c r="F611" s="163" t="s">
        <v>2764</v>
      </c>
      <c r="H611" s="164">
        <v>22.373999999999999</v>
      </c>
      <c r="I611" s="165"/>
      <c r="L611" s="161"/>
      <c r="M611" s="166"/>
      <c r="N611" s="167"/>
      <c r="O611" s="167"/>
      <c r="P611" s="167"/>
      <c r="Q611" s="167"/>
      <c r="R611" s="167"/>
      <c r="S611" s="167"/>
      <c r="T611" s="168"/>
      <c r="AT611" s="162" t="s">
        <v>193</v>
      </c>
      <c r="AU611" s="162" t="s">
        <v>87</v>
      </c>
      <c r="AV611" s="13" t="s">
        <v>87</v>
      </c>
      <c r="AW611" s="13" t="s">
        <v>36</v>
      </c>
      <c r="AX611" s="13" t="s">
        <v>77</v>
      </c>
      <c r="AY611" s="162" t="s">
        <v>177</v>
      </c>
    </row>
    <row r="612" spans="1:65" s="13" customFormat="1">
      <c r="B612" s="161"/>
      <c r="D612" s="153" t="s">
        <v>193</v>
      </c>
      <c r="E612" s="162" t="s">
        <v>3</v>
      </c>
      <c r="F612" s="163" t="s">
        <v>2765</v>
      </c>
      <c r="H612" s="164">
        <v>20.902000000000001</v>
      </c>
      <c r="I612" s="165"/>
      <c r="L612" s="161"/>
      <c r="M612" s="166"/>
      <c r="N612" s="167"/>
      <c r="O612" s="167"/>
      <c r="P612" s="167"/>
      <c r="Q612" s="167"/>
      <c r="R612" s="167"/>
      <c r="S612" s="167"/>
      <c r="T612" s="168"/>
      <c r="AT612" s="162" t="s">
        <v>193</v>
      </c>
      <c r="AU612" s="162" t="s">
        <v>87</v>
      </c>
      <c r="AV612" s="13" t="s">
        <v>87</v>
      </c>
      <c r="AW612" s="13" t="s">
        <v>36</v>
      </c>
      <c r="AX612" s="13" t="s">
        <v>77</v>
      </c>
      <c r="AY612" s="162" t="s">
        <v>177</v>
      </c>
    </row>
    <row r="613" spans="1:65" s="13" customFormat="1">
      <c r="B613" s="161"/>
      <c r="D613" s="153" t="s">
        <v>193</v>
      </c>
      <c r="E613" s="162" t="s">
        <v>3</v>
      </c>
      <c r="F613" s="163" t="s">
        <v>2766</v>
      </c>
      <c r="H613" s="164">
        <v>13.468999999999999</v>
      </c>
      <c r="I613" s="165"/>
      <c r="L613" s="161"/>
      <c r="M613" s="166"/>
      <c r="N613" s="167"/>
      <c r="O613" s="167"/>
      <c r="P613" s="167"/>
      <c r="Q613" s="167"/>
      <c r="R613" s="167"/>
      <c r="S613" s="167"/>
      <c r="T613" s="168"/>
      <c r="AT613" s="162" t="s">
        <v>193</v>
      </c>
      <c r="AU613" s="162" t="s">
        <v>87</v>
      </c>
      <c r="AV613" s="13" t="s">
        <v>87</v>
      </c>
      <c r="AW613" s="13" t="s">
        <v>36</v>
      </c>
      <c r="AX613" s="13" t="s">
        <v>77</v>
      </c>
      <c r="AY613" s="162" t="s">
        <v>177</v>
      </c>
    </row>
    <row r="614" spans="1:65" s="16" customFormat="1">
      <c r="B614" s="184"/>
      <c r="D614" s="153" t="s">
        <v>193</v>
      </c>
      <c r="E614" s="185" t="s">
        <v>3</v>
      </c>
      <c r="F614" s="186" t="s">
        <v>201</v>
      </c>
      <c r="H614" s="187">
        <v>56.744999999999997</v>
      </c>
      <c r="I614" s="188"/>
      <c r="L614" s="184"/>
      <c r="M614" s="189"/>
      <c r="N614" s="190"/>
      <c r="O614" s="190"/>
      <c r="P614" s="190"/>
      <c r="Q614" s="190"/>
      <c r="R614" s="190"/>
      <c r="S614" s="190"/>
      <c r="T614" s="191"/>
      <c r="AT614" s="185" t="s">
        <v>193</v>
      </c>
      <c r="AU614" s="185" t="s">
        <v>87</v>
      </c>
      <c r="AV614" s="16" t="s">
        <v>185</v>
      </c>
      <c r="AW614" s="16" t="s">
        <v>36</v>
      </c>
      <c r="AX614" s="16" t="s">
        <v>85</v>
      </c>
      <c r="AY614" s="185" t="s">
        <v>177</v>
      </c>
    </row>
    <row r="615" spans="1:65" s="2" customFormat="1" ht="21.75" customHeight="1">
      <c r="A615" s="34"/>
      <c r="B615" s="139"/>
      <c r="C615" s="140" t="s">
        <v>2767</v>
      </c>
      <c r="D615" s="140" t="s">
        <v>180</v>
      </c>
      <c r="E615" s="141" t="s">
        <v>2768</v>
      </c>
      <c r="F615" s="142" t="s">
        <v>2769</v>
      </c>
      <c r="G615" s="143" t="s">
        <v>332</v>
      </c>
      <c r="H615" s="144">
        <v>27.527999999999999</v>
      </c>
      <c r="I615" s="145"/>
      <c r="J615" s="146">
        <f>ROUND(I615*H615,2)</f>
        <v>0</v>
      </c>
      <c r="K615" s="142" t="s">
        <v>184</v>
      </c>
      <c r="L615" s="35"/>
      <c r="M615" s="147" t="s">
        <v>3</v>
      </c>
      <c r="N615" s="148" t="s">
        <v>48</v>
      </c>
      <c r="O615" s="55"/>
      <c r="P615" s="149">
        <f>O615*H615</f>
        <v>0</v>
      </c>
      <c r="Q615" s="149">
        <v>4.2674400000000001E-4</v>
      </c>
      <c r="R615" s="149">
        <f>Q615*H615</f>
        <v>1.1747408831999999E-2</v>
      </c>
      <c r="S615" s="149">
        <v>0</v>
      </c>
      <c r="T615" s="150">
        <f>S615*H615</f>
        <v>0</v>
      </c>
      <c r="U615" s="34"/>
      <c r="V615" s="34"/>
      <c r="W615" s="34"/>
      <c r="X615" s="34"/>
      <c r="Y615" s="34"/>
      <c r="Z615" s="34"/>
      <c r="AA615" s="34"/>
      <c r="AB615" s="34"/>
      <c r="AC615" s="34"/>
      <c r="AD615" s="34"/>
      <c r="AE615" s="34"/>
      <c r="AR615" s="151" t="s">
        <v>237</v>
      </c>
      <c r="AT615" s="151" t="s">
        <v>180</v>
      </c>
      <c r="AU615" s="151" t="s">
        <v>87</v>
      </c>
      <c r="AY615" s="19" t="s">
        <v>177</v>
      </c>
      <c r="BE615" s="152">
        <f>IF(N615="základní",J615,0)</f>
        <v>0</v>
      </c>
      <c r="BF615" s="152">
        <f>IF(N615="snížená",J615,0)</f>
        <v>0</v>
      </c>
      <c r="BG615" s="152">
        <f>IF(N615="zákl. přenesená",J615,0)</f>
        <v>0</v>
      </c>
      <c r="BH615" s="152">
        <f>IF(N615="sníž. přenesená",J615,0)</f>
        <v>0</v>
      </c>
      <c r="BI615" s="152">
        <f>IF(N615="nulová",J615,0)</f>
        <v>0</v>
      </c>
      <c r="BJ615" s="19" t="s">
        <v>85</v>
      </c>
      <c r="BK615" s="152">
        <f>ROUND(I615*H615,2)</f>
        <v>0</v>
      </c>
      <c r="BL615" s="19" t="s">
        <v>237</v>
      </c>
      <c r="BM615" s="151" t="s">
        <v>2770</v>
      </c>
    </row>
    <row r="616" spans="1:65" s="2" customFormat="1" ht="19.5">
      <c r="A616" s="34"/>
      <c r="B616" s="35"/>
      <c r="C616" s="34"/>
      <c r="D616" s="153" t="s">
        <v>187</v>
      </c>
      <c r="E616" s="34"/>
      <c r="F616" s="154" t="s">
        <v>2771</v>
      </c>
      <c r="G616" s="34"/>
      <c r="H616" s="34"/>
      <c r="I616" s="155"/>
      <c r="J616" s="34"/>
      <c r="K616" s="34"/>
      <c r="L616" s="35"/>
      <c r="M616" s="156"/>
      <c r="N616" s="157"/>
      <c r="O616" s="55"/>
      <c r="P616" s="55"/>
      <c r="Q616" s="55"/>
      <c r="R616" s="55"/>
      <c r="S616" s="55"/>
      <c r="T616" s="56"/>
      <c r="U616" s="34"/>
      <c r="V616" s="34"/>
      <c r="W616" s="34"/>
      <c r="X616" s="34"/>
      <c r="Y616" s="34"/>
      <c r="Z616" s="34"/>
      <c r="AA616" s="34"/>
      <c r="AB616" s="34"/>
      <c r="AC616" s="34"/>
      <c r="AD616" s="34"/>
      <c r="AE616" s="34"/>
      <c r="AT616" s="19" t="s">
        <v>187</v>
      </c>
      <c r="AU616" s="19" t="s">
        <v>87</v>
      </c>
    </row>
    <row r="617" spans="1:65" s="2" customFormat="1">
      <c r="A617" s="34"/>
      <c r="B617" s="35"/>
      <c r="C617" s="34"/>
      <c r="D617" s="158" t="s">
        <v>189</v>
      </c>
      <c r="E617" s="34"/>
      <c r="F617" s="159" t="s">
        <v>2772</v>
      </c>
      <c r="G617" s="34"/>
      <c r="H617" s="34"/>
      <c r="I617" s="155"/>
      <c r="J617" s="34"/>
      <c r="K617" s="34"/>
      <c r="L617" s="35"/>
      <c r="M617" s="156"/>
      <c r="N617" s="157"/>
      <c r="O617" s="55"/>
      <c r="P617" s="55"/>
      <c r="Q617" s="55"/>
      <c r="R617" s="55"/>
      <c r="S617" s="55"/>
      <c r="T617" s="56"/>
      <c r="U617" s="34"/>
      <c r="V617" s="34"/>
      <c r="W617" s="34"/>
      <c r="X617" s="34"/>
      <c r="Y617" s="34"/>
      <c r="Z617" s="34"/>
      <c r="AA617" s="34"/>
      <c r="AB617" s="34"/>
      <c r="AC617" s="34"/>
      <c r="AD617" s="34"/>
      <c r="AE617" s="34"/>
      <c r="AT617" s="19" t="s">
        <v>189</v>
      </c>
      <c r="AU617" s="19" t="s">
        <v>87</v>
      </c>
    </row>
    <row r="618" spans="1:65" s="2" customFormat="1" ht="68.25">
      <c r="A618" s="34"/>
      <c r="B618" s="35"/>
      <c r="C618" s="34"/>
      <c r="D618" s="153" t="s">
        <v>191</v>
      </c>
      <c r="E618" s="34"/>
      <c r="F618" s="160" t="s">
        <v>2755</v>
      </c>
      <c r="G618" s="34"/>
      <c r="H618" s="34"/>
      <c r="I618" s="155"/>
      <c r="J618" s="34"/>
      <c r="K618" s="34"/>
      <c r="L618" s="35"/>
      <c r="M618" s="156"/>
      <c r="N618" s="157"/>
      <c r="O618" s="55"/>
      <c r="P618" s="55"/>
      <c r="Q618" s="55"/>
      <c r="R618" s="55"/>
      <c r="S618" s="55"/>
      <c r="T618" s="56"/>
      <c r="U618" s="34"/>
      <c r="V618" s="34"/>
      <c r="W618" s="34"/>
      <c r="X618" s="34"/>
      <c r="Y618" s="34"/>
      <c r="Z618" s="34"/>
      <c r="AA618" s="34"/>
      <c r="AB618" s="34"/>
      <c r="AC618" s="34"/>
      <c r="AD618" s="34"/>
      <c r="AE618" s="34"/>
      <c r="AT618" s="19" t="s">
        <v>191</v>
      </c>
      <c r="AU618" s="19" t="s">
        <v>87</v>
      </c>
    </row>
    <row r="619" spans="1:65" s="13" customFormat="1">
      <c r="B619" s="161"/>
      <c r="D619" s="153" t="s">
        <v>193</v>
      </c>
      <c r="E619" s="162" t="s">
        <v>3</v>
      </c>
      <c r="F619" s="163" t="s">
        <v>2773</v>
      </c>
      <c r="H619" s="164">
        <v>7.0659999999999998</v>
      </c>
      <c r="I619" s="165"/>
      <c r="L619" s="161"/>
      <c r="M619" s="166"/>
      <c r="N619" s="167"/>
      <c r="O619" s="167"/>
      <c r="P619" s="167"/>
      <c r="Q619" s="167"/>
      <c r="R619" s="167"/>
      <c r="S619" s="167"/>
      <c r="T619" s="168"/>
      <c r="AT619" s="162" t="s">
        <v>193</v>
      </c>
      <c r="AU619" s="162" t="s">
        <v>87</v>
      </c>
      <c r="AV619" s="13" t="s">
        <v>87</v>
      </c>
      <c r="AW619" s="13" t="s">
        <v>36</v>
      </c>
      <c r="AX619" s="13" t="s">
        <v>77</v>
      </c>
      <c r="AY619" s="162" t="s">
        <v>177</v>
      </c>
    </row>
    <row r="620" spans="1:65" s="13" customFormat="1">
      <c r="B620" s="161"/>
      <c r="D620" s="153" t="s">
        <v>193</v>
      </c>
      <c r="E620" s="162" t="s">
        <v>3</v>
      </c>
      <c r="F620" s="163" t="s">
        <v>2774</v>
      </c>
      <c r="H620" s="164">
        <v>6.6980000000000004</v>
      </c>
      <c r="I620" s="165"/>
      <c r="L620" s="161"/>
      <c r="M620" s="166"/>
      <c r="N620" s="167"/>
      <c r="O620" s="167"/>
      <c r="P620" s="167"/>
      <c r="Q620" s="167"/>
      <c r="R620" s="167"/>
      <c r="S620" s="167"/>
      <c r="T620" s="168"/>
      <c r="AT620" s="162" t="s">
        <v>193</v>
      </c>
      <c r="AU620" s="162" t="s">
        <v>87</v>
      </c>
      <c r="AV620" s="13" t="s">
        <v>87</v>
      </c>
      <c r="AW620" s="13" t="s">
        <v>36</v>
      </c>
      <c r="AX620" s="13" t="s">
        <v>77</v>
      </c>
      <c r="AY620" s="162" t="s">
        <v>177</v>
      </c>
    </row>
    <row r="621" spans="1:65" s="13" customFormat="1">
      <c r="B621" s="161"/>
      <c r="D621" s="153" t="s">
        <v>193</v>
      </c>
      <c r="E621" s="162" t="s">
        <v>3</v>
      </c>
      <c r="F621" s="163" t="s">
        <v>2773</v>
      </c>
      <c r="H621" s="164">
        <v>7.0659999999999998</v>
      </c>
      <c r="I621" s="165"/>
      <c r="L621" s="161"/>
      <c r="M621" s="166"/>
      <c r="N621" s="167"/>
      <c r="O621" s="167"/>
      <c r="P621" s="167"/>
      <c r="Q621" s="167"/>
      <c r="R621" s="167"/>
      <c r="S621" s="167"/>
      <c r="T621" s="168"/>
      <c r="AT621" s="162" t="s">
        <v>193</v>
      </c>
      <c r="AU621" s="162" t="s">
        <v>87</v>
      </c>
      <c r="AV621" s="13" t="s">
        <v>87</v>
      </c>
      <c r="AW621" s="13" t="s">
        <v>36</v>
      </c>
      <c r="AX621" s="13" t="s">
        <v>77</v>
      </c>
      <c r="AY621" s="162" t="s">
        <v>177</v>
      </c>
    </row>
    <row r="622" spans="1:65" s="13" customFormat="1">
      <c r="B622" s="161"/>
      <c r="D622" s="153" t="s">
        <v>193</v>
      </c>
      <c r="E622" s="162" t="s">
        <v>3</v>
      </c>
      <c r="F622" s="163" t="s">
        <v>2774</v>
      </c>
      <c r="H622" s="164">
        <v>6.6980000000000004</v>
      </c>
      <c r="I622" s="165"/>
      <c r="L622" s="161"/>
      <c r="M622" s="166"/>
      <c r="N622" s="167"/>
      <c r="O622" s="167"/>
      <c r="P622" s="167"/>
      <c r="Q622" s="167"/>
      <c r="R622" s="167"/>
      <c r="S622" s="167"/>
      <c r="T622" s="168"/>
      <c r="AT622" s="162" t="s">
        <v>193</v>
      </c>
      <c r="AU622" s="162" t="s">
        <v>87</v>
      </c>
      <c r="AV622" s="13" t="s">
        <v>87</v>
      </c>
      <c r="AW622" s="13" t="s">
        <v>36</v>
      </c>
      <c r="AX622" s="13" t="s">
        <v>77</v>
      </c>
      <c r="AY622" s="162" t="s">
        <v>177</v>
      </c>
    </row>
    <row r="623" spans="1:65" s="16" customFormat="1">
      <c r="B623" s="184"/>
      <c r="D623" s="153" t="s">
        <v>193</v>
      </c>
      <c r="E623" s="185" t="s">
        <v>3</v>
      </c>
      <c r="F623" s="186" t="s">
        <v>201</v>
      </c>
      <c r="H623" s="187">
        <v>27.527999999999999</v>
      </c>
      <c r="I623" s="188"/>
      <c r="L623" s="184"/>
      <c r="M623" s="189"/>
      <c r="N623" s="190"/>
      <c r="O623" s="190"/>
      <c r="P623" s="190"/>
      <c r="Q623" s="190"/>
      <c r="R623" s="190"/>
      <c r="S623" s="190"/>
      <c r="T623" s="191"/>
      <c r="AT623" s="185" t="s">
        <v>193</v>
      </c>
      <c r="AU623" s="185" t="s">
        <v>87</v>
      </c>
      <c r="AV623" s="16" t="s">
        <v>185</v>
      </c>
      <c r="AW623" s="16" t="s">
        <v>36</v>
      </c>
      <c r="AX623" s="16" t="s">
        <v>85</v>
      </c>
      <c r="AY623" s="185" t="s">
        <v>177</v>
      </c>
    </row>
    <row r="624" spans="1:65" s="2" customFormat="1" ht="16.5" customHeight="1">
      <c r="A624" s="34"/>
      <c r="B624" s="139"/>
      <c r="C624" s="140" t="s">
        <v>2775</v>
      </c>
      <c r="D624" s="140" t="s">
        <v>180</v>
      </c>
      <c r="E624" s="141" t="s">
        <v>1435</v>
      </c>
      <c r="F624" s="142" t="s">
        <v>1436</v>
      </c>
      <c r="G624" s="143" t="s">
        <v>183</v>
      </c>
      <c r="H624" s="144">
        <v>6.9249999999999998</v>
      </c>
      <c r="I624" s="145"/>
      <c r="J624" s="146">
        <f>ROUND(I624*H624,2)</f>
        <v>0</v>
      </c>
      <c r="K624" s="142" t="s">
        <v>184</v>
      </c>
      <c r="L624" s="35"/>
      <c r="M624" s="147" t="s">
        <v>3</v>
      </c>
      <c r="N624" s="148" t="s">
        <v>48</v>
      </c>
      <c r="O624" s="55"/>
      <c r="P624" s="149">
        <f>O624*H624</f>
        <v>0</v>
      </c>
      <c r="Q624" s="149">
        <v>0</v>
      </c>
      <c r="R624" s="149">
        <f>Q624*H624</f>
        <v>0</v>
      </c>
      <c r="S624" s="149">
        <v>0</v>
      </c>
      <c r="T624" s="150">
        <f>S624*H624</f>
        <v>0</v>
      </c>
      <c r="U624" s="34"/>
      <c r="V624" s="34"/>
      <c r="W624" s="34"/>
      <c r="X624" s="34"/>
      <c r="Y624" s="34"/>
      <c r="Z624" s="34"/>
      <c r="AA624" s="34"/>
      <c r="AB624" s="34"/>
      <c r="AC624" s="34"/>
      <c r="AD624" s="34"/>
      <c r="AE624" s="34"/>
      <c r="AR624" s="151" t="s">
        <v>237</v>
      </c>
      <c r="AT624" s="151" t="s">
        <v>180</v>
      </c>
      <c r="AU624" s="151" t="s">
        <v>87</v>
      </c>
      <c r="AY624" s="19" t="s">
        <v>177</v>
      </c>
      <c r="BE624" s="152">
        <f>IF(N624="základní",J624,0)</f>
        <v>0</v>
      </c>
      <c r="BF624" s="152">
        <f>IF(N624="snížená",J624,0)</f>
        <v>0</v>
      </c>
      <c r="BG624" s="152">
        <f>IF(N624="zákl. přenesená",J624,0)</f>
        <v>0</v>
      </c>
      <c r="BH624" s="152">
        <f>IF(N624="sníž. přenesená",J624,0)</f>
        <v>0</v>
      </c>
      <c r="BI624" s="152">
        <f>IF(N624="nulová",J624,0)</f>
        <v>0</v>
      </c>
      <c r="BJ624" s="19" t="s">
        <v>85</v>
      </c>
      <c r="BK624" s="152">
        <f>ROUND(I624*H624,2)</f>
        <v>0</v>
      </c>
      <c r="BL624" s="19" t="s">
        <v>237</v>
      </c>
      <c r="BM624" s="151" t="s">
        <v>2776</v>
      </c>
    </row>
    <row r="625" spans="1:65" s="2" customFormat="1" ht="19.5">
      <c r="A625" s="34"/>
      <c r="B625" s="35"/>
      <c r="C625" s="34"/>
      <c r="D625" s="153" t="s">
        <v>187</v>
      </c>
      <c r="E625" s="34"/>
      <c r="F625" s="154" t="s">
        <v>1438</v>
      </c>
      <c r="G625" s="34"/>
      <c r="H625" s="34"/>
      <c r="I625" s="155"/>
      <c r="J625" s="34"/>
      <c r="K625" s="34"/>
      <c r="L625" s="35"/>
      <c r="M625" s="156"/>
      <c r="N625" s="157"/>
      <c r="O625" s="55"/>
      <c r="P625" s="55"/>
      <c r="Q625" s="55"/>
      <c r="R625" s="55"/>
      <c r="S625" s="55"/>
      <c r="T625" s="56"/>
      <c r="U625" s="34"/>
      <c r="V625" s="34"/>
      <c r="W625" s="34"/>
      <c r="X625" s="34"/>
      <c r="Y625" s="34"/>
      <c r="Z625" s="34"/>
      <c r="AA625" s="34"/>
      <c r="AB625" s="34"/>
      <c r="AC625" s="34"/>
      <c r="AD625" s="34"/>
      <c r="AE625" s="34"/>
      <c r="AT625" s="19" t="s">
        <v>187</v>
      </c>
      <c r="AU625" s="19" t="s">
        <v>87</v>
      </c>
    </row>
    <row r="626" spans="1:65" s="2" customFormat="1">
      <c r="A626" s="34"/>
      <c r="B626" s="35"/>
      <c r="C626" s="34"/>
      <c r="D626" s="158" t="s">
        <v>189</v>
      </c>
      <c r="E626" s="34"/>
      <c r="F626" s="159" t="s">
        <v>1439</v>
      </c>
      <c r="G626" s="34"/>
      <c r="H626" s="34"/>
      <c r="I626" s="155"/>
      <c r="J626" s="34"/>
      <c r="K626" s="34"/>
      <c r="L626" s="35"/>
      <c r="M626" s="156"/>
      <c r="N626" s="157"/>
      <c r="O626" s="55"/>
      <c r="P626" s="55"/>
      <c r="Q626" s="55"/>
      <c r="R626" s="55"/>
      <c r="S626" s="55"/>
      <c r="T626" s="56"/>
      <c r="U626" s="34"/>
      <c r="V626" s="34"/>
      <c r="W626" s="34"/>
      <c r="X626" s="34"/>
      <c r="Y626" s="34"/>
      <c r="Z626" s="34"/>
      <c r="AA626" s="34"/>
      <c r="AB626" s="34"/>
      <c r="AC626" s="34"/>
      <c r="AD626" s="34"/>
      <c r="AE626" s="34"/>
      <c r="AT626" s="19" t="s">
        <v>189</v>
      </c>
      <c r="AU626" s="19" t="s">
        <v>87</v>
      </c>
    </row>
    <row r="627" spans="1:65" s="2" customFormat="1" ht="78">
      <c r="A627" s="34"/>
      <c r="B627" s="35"/>
      <c r="C627" s="34"/>
      <c r="D627" s="153" t="s">
        <v>191</v>
      </c>
      <c r="E627" s="34"/>
      <c r="F627" s="160" t="s">
        <v>1440</v>
      </c>
      <c r="G627" s="34"/>
      <c r="H627" s="34"/>
      <c r="I627" s="155"/>
      <c r="J627" s="34"/>
      <c r="K627" s="34"/>
      <c r="L627" s="35"/>
      <c r="M627" s="156"/>
      <c r="N627" s="157"/>
      <c r="O627" s="55"/>
      <c r="P627" s="55"/>
      <c r="Q627" s="55"/>
      <c r="R627" s="55"/>
      <c r="S627" s="55"/>
      <c r="T627" s="56"/>
      <c r="U627" s="34"/>
      <c r="V627" s="34"/>
      <c r="W627" s="34"/>
      <c r="X627" s="34"/>
      <c r="Y627" s="34"/>
      <c r="Z627" s="34"/>
      <c r="AA627" s="34"/>
      <c r="AB627" s="34"/>
      <c r="AC627" s="34"/>
      <c r="AD627" s="34"/>
      <c r="AE627" s="34"/>
      <c r="AT627" s="19" t="s">
        <v>191</v>
      </c>
      <c r="AU627" s="19" t="s">
        <v>87</v>
      </c>
    </row>
    <row r="628" spans="1:65" s="2" customFormat="1" ht="16.5" customHeight="1">
      <c r="A628" s="34"/>
      <c r="B628" s="139"/>
      <c r="C628" s="140" t="s">
        <v>2777</v>
      </c>
      <c r="D628" s="140" t="s">
        <v>180</v>
      </c>
      <c r="E628" s="141" t="s">
        <v>1441</v>
      </c>
      <c r="F628" s="142" t="s">
        <v>1442</v>
      </c>
      <c r="G628" s="143" t="s">
        <v>183</v>
      </c>
      <c r="H628" s="144">
        <v>6.9249999999999998</v>
      </c>
      <c r="I628" s="145"/>
      <c r="J628" s="146">
        <f>ROUND(I628*H628,2)</f>
        <v>0</v>
      </c>
      <c r="K628" s="142" t="s">
        <v>184</v>
      </c>
      <c r="L628" s="35"/>
      <c r="M628" s="147" t="s">
        <v>3</v>
      </c>
      <c r="N628" s="148" t="s">
        <v>48</v>
      </c>
      <c r="O628" s="55"/>
      <c r="P628" s="149">
        <f>O628*H628</f>
        <v>0</v>
      </c>
      <c r="Q628" s="149">
        <v>0</v>
      </c>
      <c r="R628" s="149">
        <f>Q628*H628</f>
        <v>0</v>
      </c>
      <c r="S628" s="149">
        <v>0</v>
      </c>
      <c r="T628" s="150">
        <f>S628*H628</f>
        <v>0</v>
      </c>
      <c r="U628" s="34"/>
      <c r="V628" s="34"/>
      <c r="W628" s="34"/>
      <c r="X628" s="34"/>
      <c r="Y628" s="34"/>
      <c r="Z628" s="34"/>
      <c r="AA628" s="34"/>
      <c r="AB628" s="34"/>
      <c r="AC628" s="34"/>
      <c r="AD628" s="34"/>
      <c r="AE628" s="34"/>
      <c r="AR628" s="151" t="s">
        <v>237</v>
      </c>
      <c r="AT628" s="151" t="s">
        <v>180</v>
      </c>
      <c r="AU628" s="151" t="s">
        <v>87</v>
      </c>
      <c r="AY628" s="19" t="s">
        <v>177</v>
      </c>
      <c r="BE628" s="152">
        <f>IF(N628="základní",J628,0)</f>
        <v>0</v>
      </c>
      <c r="BF628" s="152">
        <f>IF(N628="snížená",J628,0)</f>
        <v>0</v>
      </c>
      <c r="BG628" s="152">
        <f>IF(N628="zákl. přenesená",J628,0)</f>
        <v>0</v>
      </c>
      <c r="BH628" s="152">
        <f>IF(N628="sníž. přenesená",J628,0)</f>
        <v>0</v>
      </c>
      <c r="BI628" s="152">
        <f>IF(N628="nulová",J628,0)</f>
        <v>0</v>
      </c>
      <c r="BJ628" s="19" t="s">
        <v>85</v>
      </c>
      <c r="BK628" s="152">
        <f>ROUND(I628*H628,2)</f>
        <v>0</v>
      </c>
      <c r="BL628" s="19" t="s">
        <v>237</v>
      </c>
      <c r="BM628" s="151" t="s">
        <v>2778</v>
      </c>
    </row>
    <row r="629" spans="1:65" s="2" customFormat="1" ht="19.5">
      <c r="A629" s="34"/>
      <c r="B629" s="35"/>
      <c r="C629" s="34"/>
      <c r="D629" s="153" t="s">
        <v>187</v>
      </c>
      <c r="E629" s="34"/>
      <c r="F629" s="154" t="s">
        <v>1444</v>
      </c>
      <c r="G629" s="34"/>
      <c r="H629" s="34"/>
      <c r="I629" s="155"/>
      <c r="J629" s="34"/>
      <c r="K629" s="34"/>
      <c r="L629" s="35"/>
      <c r="M629" s="156"/>
      <c r="N629" s="157"/>
      <c r="O629" s="55"/>
      <c r="P629" s="55"/>
      <c r="Q629" s="55"/>
      <c r="R629" s="55"/>
      <c r="S629" s="55"/>
      <c r="T629" s="56"/>
      <c r="U629" s="34"/>
      <c r="V629" s="34"/>
      <c r="W629" s="34"/>
      <c r="X629" s="34"/>
      <c r="Y629" s="34"/>
      <c r="Z629" s="34"/>
      <c r="AA629" s="34"/>
      <c r="AB629" s="34"/>
      <c r="AC629" s="34"/>
      <c r="AD629" s="34"/>
      <c r="AE629" s="34"/>
      <c r="AT629" s="19" t="s">
        <v>187</v>
      </c>
      <c r="AU629" s="19" t="s">
        <v>87</v>
      </c>
    </row>
    <row r="630" spans="1:65" s="2" customFormat="1">
      <c r="A630" s="34"/>
      <c r="B630" s="35"/>
      <c r="C630" s="34"/>
      <c r="D630" s="158" t="s">
        <v>189</v>
      </c>
      <c r="E630" s="34"/>
      <c r="F630" s="159" t="s">
        <v>1445</v>
      </c>
      <c r="G630" s="34"/>
      <c r="H630" s="34"/>
      <c r="I630" s="155"/>
      <c r="J630" s="34"/>
      <c r="K630" s="34"/>
      <c r="L630" s="35"/>
      <c r="M630" s="156"/>
      <c r="N630" s="157"/>
      <c r="O630" s="55"/>
      <c r="P630" s="55"/>
      <c r="Q630" s="55"/>
      <c r="R630" s="55"/>
      <c r="S630" s="55"/>
      <c r="T630" s="56"/>
      <c r="U630" s="34"/>
      <c r="V630" s="34"/>
      <c r="W630" s="34"/>
      <c r="X630" s="34"/>
      <c r="Y630" s="34"/>
      <c r="Z630" s="34"/>
      <c r="AA630" s="34"/>
      <c r="AB630" s="34"/>
      <c r="AC630" s="34"/>
      <c r="AD630" s="34"/>
      <c r="AE630" s="34"/>
      <c r="AT630" s="19" t="s">
        <v>189</v>
      </c>
      <c r="AU630" s="19" t="s">
        <v>87</v>
      </c>
    </row>
    <row r="631" spans="1:65" s="2" customFormat="1" ht="78">
      <c r="A631" s="34"/>
      <c r="B631" s="35"/>
      <c r="C631" s="34"/>
      <c r="D631" s="153" t="s">
        <v>191</v>
      </c>
      <c r="E631" s="34"/>
      <c r="F631" s="160" t="s">
        <v>1440</v>
      </c>
      <c r="G631" s="34"/>
      <c r="H631" s="34"/>
      <c r="I631" s="155"/>
      <c r="J631" s="34"/>
      <c r="K631" s="34"/>
      <c r="L631" s="35"/>
      <c r="M631" s="156"/>
      <c r="N631" s="157"/>
      <c r="O631" s="55"/>
      <c r="P631" s="55"/>
      <c r="Q631" s="55"/>
      <c r="R631" s="55"/>
      <c r="S631" s="55"/>
      <c r="T631" s="56"/>
      <c r="U631" s="34"/>
      <c r="V631" s="34"/>
      <c r="W631" s="34"/>
      <c r="X631" s="34"/>
      <c r="Y631" s="34"/>
      <c r="Z631" s="34"/>
      <c r="AA631" s="34"/>
      <c r="AB631" s="34"/>
      <c r="AC631" s="34"/>
      <c r="AD631" s="34"/>
      <c r="AE631" s="34"/>
      <c r="AT631" s="19" t="s">
        <v>191</v>
      </c>
      <c r="AU631" s="19" t="s">
        <v>87</v>
      </c>
    </row>
    <row r="632" spans="1:65" s="12" customFormat="1" ht="22.9" customHeight="1">
      <c r="B632" s="126"/>
      <c r="D632" s="127" t="s">
        <v>76</v>
      </c>
      <c r="E632" s="137" t="s">
        <v>770</v>
      </c>
      <c r="F632" s="137" t="s">
        <v>771</v>
      </c>
      <c r="I632" s="129"/>
      <c r="J632" s="138">
        <f>BK632</f>
        <v>0</v>
      </c>
      <c r="L632" s="126"/>
      <c r="M632" s="131"/>
      <c r="N632" s="132"/>
      <c r="O632" s="132"/>
      <c r="P632" s="133">
        <f>SUM(P633:P675)</f>
        <v>0</v>
      </c>
      <c r="Q632" s="132"/>
      <c r="R632" s="133">
        <f>SUM(R633:R675)</f>
        <v>3.9589434223200004</v>
      </c>
      <c r="S632" s="132"/>
      <c r="T632" s="134">
        <f>SUM(T633:T675)</f>
        <v>0</v>
      </c>
      <c r="AR632" s="127" t="s">
        <v>87</v>
      </c>
      <c r="AT632" s="135" t="s">
        <v>76</v>
      </c>
      <c r="AU632" s="135" t="s">
        <v>85</v>
      </c>
      <c r="AY632" s="127" t="s">
        <v>177</v>
      </c>
      <c r="BK632" s="136">
        <f>SUM(BK633:BK675)</f>
        <v>0</v>
      </c>
    </row>
    <row r="633" spans="1:65" s="2" customFormat="1" ht="21.75" customHeight="1">
      <c r="A633" s="34"/>
      <c r="B633" s="139"/>
      <c r="C633" s="140" t="s">
        <v>2779</v>
      </c>
      <c r="D633" s="140" t="s">
        <v>180</v>
      </c>
      <c r="E633" s="141" t="s">
        <v>2780</v>
      </c>
      <c r="F633" s="142" t="s">
        <v>2781</v>
      </c>
      <c r="G633" s="143" t="s">
        <v>332</v>
      </c>
      <c r="H633" s="144">
        <v>332.50799999999998</v>
      </c>
      <c r="I633" s="145"/>
      <c r="J633" s="146">
        <f>ROUND(I633*H633,2)</f>
        <v>0</v>
      </c>
      <c r="K633" s="142" t="s">
        <v>184</v>
      </c>
      <c r="L633" s="35"/>
      <c r="M633" s="147" t="s">
        <v>3</v>
      </c>
      <c r="N633" s="148" t="s">
        <v>48</v>
      </c>
      <c r="O633" s="55"/>
      <c r="P633" s="149">
        <f>O633*H633</f>
        <v>0</v>
      </c>
      <c r="Q633" s="149">
        <v>1.1590000000000001E-3</v>
      </c>
      <c r="R633" s="149">
        <f>Q633*H633</f>
        <v>0.38537677200000003</v>
      </c>
      <c r="S633" s="149">
        <v>0</v>
      </c>
      <c r="T633" s="150">
        <f>S633*H633</f>
        <v>0</v>
      </c>
      <c r="U633" s="34"/>
      <c r="V633" s="34"/>
      <c r="W633" s="34"/>
      <c r="X633" s="34"/>
      <c r="Y633" s="34"/>
      <c r="Z633" s="34"/>
      <c r="AA633" s="34"/>
      <c r="AB633" s="34"/>
      <c r="AC633" s="34"/>
      <c r="AD633" s="34"/>
      <c r="AE633" s="34"/>
      <c r="AR633" s="151" t="s">
        <v>237</v>
      </c>
      <c r="AT633" s="151" t="s">
        <v>180</v>
      </c>
      <c r="AU633" s="151" t="s">
        <v>87</v>
      </c>
      <c r="AY633" s="19" t="s">
        <v>177</v>
      </c>
      <c r="BE633" s="152">
        <f>IF(N633="základní",J633,0)</f>
        <v>0</v>
      </c>
      <c r="BF633" s="152">
        <f>IF(N633="snížená",J633,0)</f>
        <v>0</v>
      </c>
      <c r="BG633" s="152">
        <f>IF(N633="zákl. přenesená",J633,0)</f>
        <v>0</v>
      </c>
      <c r="BH633" s="152">
        <f>IF(N633="sníž. přenesená",J633,0)</f>
        <v>0</v>
      </c>
      <c r="BI633" s="152">
        <f>IF(N633="nulová",J633,0)</f>
        <v>0</v>
      </c>
      <c r="BJ633" s="19" t="s">
        <v>85</v>
      </c>
      <c r="BK633" s="152">
        <f>ROUND(I633*H633,2)</f>
        <v>0</v>
      </c>
      <c r="BL633" s="19" t="s">
        <v>237</v>
      </c>
      <c r="BM633" s="151" t="s">
        <v>2782</v>
      </c>
    </row>
    <row r="634" spans="1:65" s="2" customFormat="1" ht="19.5">
      <c r="A634" s="34"/>
      <c r="B634" s="35"/>
      <c r="C634" s="34"/>
      <c r="D634" s="153" t="s">
        <v>187</v>
      </c>
      <c r="E634" s="34"/>
      <c r="F634" s="154" t="s">
        <v>2783</v>
      </c>
      <c r="G634" s="34"/>
      <c r="H634" s="34"/>
      <c r="I634" s="155"/>
      <c r="J634" s="34"/>
      <c r="K634" s="34"/>
      <c r="L634" s="35"/>
      <c r="M634" s="156"/>
      <c r="N634" s="157"/>
      <c r="O634" s="55"/>
      <c r="P634" s="55"/>
      <c r="Q634" s="55"/>
      <c r="R634" s="55"/>
      <c r="S634" s="55"/>
      <c r="T634" s="56"/>
      <c r="U634" s="34"/>
      <c r="V634" s="34"/>
      <c r="W634" s="34"/>
      <c r="X634" s="34"/>
      <c r="Y634" s="34"/>
      <c r="Z634" s="34"/>
      <c r="AA634" s="34"/>
      <c r="AB634" s="34"/>
      <c r="AC634" s="34"/>
      <c r="AD634" s="34"/>
      <c r="AE634" s="34"/>
      <c r="AT634" s="19" t="s">
        <v>187</v>
      </c>
      <c r="AU634" s="19" t="s">
        <v>87</v>
      </c>
    </row>
    <row r="635" spans="1:65" s="2" customFormat="1">
      <c r="A635" s="34"/>
      <c r="B635" s="35"/>
      <c r="C635" s="34"/>
      <c r="D635" s="158" t="s">
        <v>189</v>
      </c>
      <c r="E635" s="34"/>
      <c r="F635" s="159" t="s">
        <v>2784</v>
      </c>
      <c r="G635" s="34"/>
      <c r="H635" s="34"/>
      <c r="I635" s="155"/>
      <c r="J635" s="34"/>
      <c r="K635" s="34"/>
      <c r="L635" s="35"/>
      <c r="M635" s="156"/>
      <c r="N635" s="157"/>
      <c r="O635" s="55"/>
      <c r="P635" s="55"/>
      <c r="Q635" s="55"/>
      <c r="R635" s="55"/>
      <c r="S635" s="55"/>
      <c r="T635" s="56"/>
      <c r="U635" s="34"/>
      <c r="V635" s="34"/>
      <c r="W635" s="34"/>
      <c r="X635" s="34"/>
      <c r="Y635" s="34"/>
      <c r="Z635" s="34"/>
      <c r="AA635" s="34"/>
      <c r="AB635" s="34"/>
      <c r="AC635" s="34"/>
      <c r="AD635" s="34"/>
      <c r="AE635" s="34"/>
      <c r="AT635" s="19" t="s">
        <v>189</v>
      </c>
      <c r="AU635" s="19" t="s">
        <v>87</v>
      </c>
    </row>
    <row r="636" spans="1:65" s="2" customFormat="1" ht="107.25">
      <c r="A636" s="34"/>
      <c r="B636" s="35"/>
      <c r="C636" s="34"/>
      <c r="D636" s="153" t="s">
        <v>191</v>
      </c>
      <c r="E636" s="34"/>
      <c r="F636" s="160" t="s">
        <v>2785</v>
      </c>
      <c r="G636" s="34"/>
      <c r="H636" s="34"/>
      <c r="I636" s="155"/>
      <c r="J636" s="34"/>
      <c r="K636" s="34"/>
      <c r="L636" s="35"/>
      <c r="M636" s="156"/>
      <c r="N636" s="157"/>
      <c r="O636" s="55"/>
      <c r="P636" s="55"/>
      <c r="Q636" s="55"/>
      <c r="R636" s="55"/>
      <c r="S636" s="55"/>
      <c r="T636" s="56"/>
      <c r="U636" s="34"/>
      <c r="V636" s="34"/>
      <c r="W636" s="34"/>
      <c r="X636" s="34"/>
      <c r="Y636" s="34"/>
      <c r="Z636" s="34"/>
      <c r="AA636" s="34"/>
      <c r="AB636" s="34"/>
      <c r="AC636" s="34"/>
      <c r="AD636" s="34"/>
      <c r="AE636" s="34"/>
      <c r="AT636" s="19" t="s">
        <v>191</v>
      </c>
      <c r="AU636" s="19" t="s">
        <v>87</v>
      </c>
    </row>
    <row r="637" spans="1:65" s="14" customFormat="1">
      <c r="B637" s="169"/>
      <c r="D637" s="153" t="s">
        <v>193</v>
      </c>
      <c r="E637" s="170" t="s">
        <v>3</v>
      </c>
      <c r="F637" s="171" t="s">
        <v>1246</v>
      </c>
      <c r="H637" s="170" t="s">
        <v>3</v>
      </c>
      <c r="I637" s="172"/>
      <c r="L637" s="169"/>
      <c r="M637" s="173"/>
      <c r="N637" s="174"/>
      <c r="O637" s="174"/>
      <c r="P637" s="174"/>
      <c r="Q637" s="174"/>
      <c r="R637" s="174"/>
      <c r="S637" s="174"/>
      <c r="T637" s="175"/>
      <c r="AT637" s="170" t="s">
        <v>193</v>
      </c>
      <c r="AU637" s="170" t="s">
        <v>87</v>
      </c>
      <c r="AV637" s="14" t="s">
        <v>85</v>
      </c>
      <c r="AW637" s="14" t="s">
        <v>36</v>
      </c>
      <c r="AX637" s="14" t="s">
        <v>77</v>
      </c>
      <c r="AY637" s="170" t="s">
        <v>177</v>
      </c>
    </row>
    <row r="638" spans="1:65" s="13" customFormat="1">
      <c r="B638" s="161"/>
      <c r="D638" s="153" t="s">
        <v>193</v>
      </c>
      <c r="E638" s="162" t="s">
        <v>3</v>
      </c>
      <c r="F638" s="163" t="s">
        <v>2715</v>
      </c>
      <c r="H638" s="164">
        <v>332.50799999999998</v>
      </c>
      <c r="I638" s="165"/>
      <c r="L638" s="161"/>
      <c r="M638" s="166"/>
      <c r="N638" s="167"/>
      <c r="O638" s="167"/>
      <c r="P638" s="167"/>
      <c r="Q638" s="167"/>
      <c r="R638" s="167"/>
      <c r="S638" s="167"/>
      <c r="T638" s="168"/>
      <c r="AT638" s="162" t="s">
        <v>193</v>
      </c>
      <c r="AU638" s="162" t="s">
        <v>87</v>
      </c>
      <c r="AV638" s="13" t="s">
        <v>87</v>
      </c>
      <c r="AW638" s="13" t="s">
        <v>36</v>
      </c>
      <c r="AX638" s="13" t="s">
        <v>85</v>
      </c>
      <c r="AY638" s="162" t="s">
        <v>177</v>
      </c>
    </row>
    <row r="639" spans="1:65" s="2" customFormat="1" ht="16.5" customHeight="1">
      <c r="A639" s="34"/>
      <c r="B639" s="139"/>
      <c r="C639" s="195" t="s">
        <v>2786</v>
      </c>
      <c r="D639" s="195" t="s">
        <v>484</v>
      </c>
      <c r="E639" s="196" t="s">
        <v>2787</v>
      </c>
      <c r="F639" s="197" t="s">
        <v>2788</v>
      </c>
      <c r="G639" s="198" t="s">
        <v>332</v>
      </c>
      <c r="H639" s="199">
        <v>365.75900000000001</v>
      </c>
      <c r="I639" s="200"/>
      <c r="J639" s="201">
        <f>ROUND(I639*H639,2)</f>
        <v>0</v>
      </c>
      <c r="K639" s="197" t="s">
        <v>184</v>
      </c>
      <c r="L639" s="202"/>
      <c r="M639" s="203" t="s">
        <v>3</v>
      </c>
      <c r="N639" s="204" t="s">
        <v>48</v>
      </c>
      <c r="O639" s="55"/>
      <c r="P639" s="149">
        <f>O639*H639</f>
        <v>0</v>
      </c>
      <c r="Q639" s="149">
        <v>3.13E-3</v>
      </c>
      <c r="R639" s="149">
        <f>Q639*H639</f>
        <v>1.1448256700000001</v>
      </c>
      <c r="S639" s="149">
        <v>0</v>
      </c>
      <c r="T639" s="150">
        <f>S639*H639</f>
        <v>0</v>
      </c>
      <c r="U639" s="34"/>
      <c r="V639" s="34"/>
      <c r="W639" s="34"/>
      <c r="X639" s="34"/>
      <c r="Y639" s="34"/>
      <c r="Z639" s="34"/>
      <c r="AA639" s="34"/>
      <c r="AB639" s="34"/>
      <c r="AC639" s="34"/>
      <c r="AD639" s="34"/>
      <c r="AE639" s="34"/>
      <c r="AR639" s="151" t="s">
        <v>537</v>
      </c>
      <c r="AT639" s="151" t="s">
        <v>484</v>
      </c>
      <c r="AU639" s="151" t="s">
        <v>87</v>
      </c>
      <c r="AY639" s="19" t="s">
        <v>177</v>
      </c>
      <c r="BE639" s="152">
        <f>IF(N639="základní",J639,0)</f>
        <v>0</v>
      </c>
      <c r="BF639" s="152">
        <f>IF(N639="snížená",J639,0)</f>
        <v>0</v>
      </c>
      <c r="BG639" s="152">
        <f>IF(N639="zákl. přenesená",J639,0)</f>
        <v>0</v>
      </c>
      <c r="BH639" s="152">
        <f>IF(N639="sníž. přenesená",J639,0)</f>
        <v>0</v>
      </c>
      <c r="BI639" s="152">
        <f>IF(N639="nulová",J639,0)</f>
        <v>0</v>
      </c>
      <c r="BJ639" s="19" t="s">
        <v>85</v>
      </c>
      <c r="BK639" s="152">
        <f>ROUND(I639*H639,2)</f>
        <v>0</v>
      </c>
      <c r="BL639" s="19" t="s">
        <v>237</v>
      </c>
      <c r="BM639" s="151" t="s">
        <v>2789</v>
      </c>
    </row>
    <row r="640" spans="1:65" s="2" customFormat="1">
      <c r="A640" s="34"/>
      <c r="B640" s="35"/>
      <c r="C640" s="34"/>
      <c r="D640" s="153" t="s">
        <v>187</v>
      </c>
      <c r="E640" s="34"/>
      <c r="F640" s="154" t="s">
        <v>2790</v>
      </c>
      <c r="G640" s="34"/>
      <c r="H640" s="34"/>
      <c r="I640" s="155"/>
      <c r="J640" s="34"/>
      <c r="K640" s="34"/>
      <c r="L640" s="35"/>
      <c r="M640" s="156"/>
      <c r="N640" s="157"/>
      <c r="O640" s="55"/>
      <c r="P640" s="55"/>
      <c r="Q640" s="55"/>
      <c r="R640" s="55"/>
      <c r="S640" s="55"/>
      <c r="T640" s="56"/>
      <c r="U640" s="34"/>
      <c r="V640" s="34"/>
      <c r="W640" s="34"/>
      <c r="X640" s="34"/>
      <c r="Y640" s="34"/>
      <c r="Z640" s="34"/>
      <c r="AA640" s="34"/>
      <c r="AB640" s="34"/>
      <c r="AC640" s="34"/>
      <c r="AD640" s="34"/>
      <c r="AE640" s="34"/>
      <c r="AT640" s="19" t="s">
        <v>187</v>
      </c>
      <c r="AU640" s="19" t="s">
        <v>87</v>
      </c>
    </row>
    <row r="641" spans="1:65" s="13" customFormat="1">
      <c r="B641" s="161"/>
      <c r="D641" s="153" t="s">
        <v>193</v>
      </c>
      <c r="F641" s="163" t="s">
        <v>2791</v>
      </c>
      <c r="H641" s="164">
        <v>365.75900000000001</v>
      </c>
      <c r="I641" s="165"/>
      <c r="L641" s="161"/>
      <c r="M641" s="166"/>
      <c r="N641" s="167"/>
      <c r="O641" s="167"/>
      <c r="P641" s="167"/>
      <c r="Q641" s="167"/>
      <c r="R641" s="167"/>
      <c r="S641" s="167"/>
      <c r="T641" s="168"/>
      <c r="AT641" s="162" t="s">
        <v>193</v>
      </c>
      <c r="AU641" s="162" t="s">
        <v>87</v>
      </c>
      <c r="AV641" s="13" t="s">
        <v>87</v>
      </c>
      <c r="AW641" s="13" t="s">
        <v>4</v>
      </c>
      <c r="AX641" s="13" t="s">
        <v>85</v>
      </c>
      <c r="AY641" s="162" t="s">
        <v>177</v>
      </c>
    </row>
    <row r="642" spans="1:65" s="2" customFormat="1" ht="21.75" customHeight="1">
      <c r="A642" s="34"/>
      <c r="B642" s="139"/>
      <c r="C642" s="140" t="s">
        <v>2792</v>
      </c>
      <c r="D642" s="140" t="s">
        <v>180</v>
      </c>
      <c r="E642" s="141" t="s">
        <v>2780</v>
      </c>
      <c r="F642" s="142" t="s">
        <v>2781</v>
      </c>
      <c r="G642" s="143" t="s">
        <v>332</v>
      </c>
      <c r="H642" s="144">
        <v>332.50799999999998</v>
      </c>
      <c r="I642" s="145"/>
      <c r="J642" s="146">
        <f>ROUND(I642*H642,2)</f>
        <v>0</v>
      </c>
      <c r="K642" s="142" t="s">
        <v>184</v>
      </c>
      <c r="L642" s="35"/>
      <c r="M642" s="147" t="s">
        <v>3</v>
      </c>
      <c r="N642" s="148" t="s">
        <v>48</v>
      </c>
      <c r="O642" s="55"/>
      <c r="P642" s="149">
        <f>O642*H642</f>
        <v>0</v>
      </c>
      <c r="Q642" s="149">
        <v>1.1590000000000001E-3</v>
      </c>
      <c r="R642" s="149">
        <f>Q642*H642</f>
        <v>0.38537677200000003</v>
      </c>
      <c r="S642" s="149">
        <v>0</v>
      </c>
      <c r="T642" s="150">
        <f>S642*H642</f>
        <v>0</v>
      </c>
      <c r="U642" s="34"/>
      <c r="V642" s="34"/>
      <c r="W642" s="34"/>
      <c r="X642" s="34"/>
      <c r="Y642" s="34"/>
      <c r="Z642" s="34"/>
      <c r="AA642" s="34"/>
      <c r="AB642" s="34"/>
      <c r="AC642" s="34"/>
      <c r="AD642" s="34"/>
      <c r="AE642" s="34"/>
      <c r="AR642" s="151" t="s">
        <v>237</v>
      </c>
      <c r="AT642" s="151" t="s">
        <v>180</v>
      </c>
      <c r="AU642" s="151" t="s">
        <v>87</v>
      </c>
      <c r="AY642" s="19" t="s">
        <v>177</v>
      </c>
      <c r="BE642" s="152">
        <f>IF(N642="základní",J642,0)</f>
        <v>0</v>
      </c>
      <c r="BF642" s="152">
        <f>IF(N642="snížená",J642,0)</f>
        <v>0</v>
      </c>
      <c r="BG642" s="152">
        <f>IF(N642="zákl. přenesená",J642,0)</f>
        <v>0</v>
      </c>
      <c r="BH642" s="152">
        <f>IF(N642="sníž. přenesená",J642,0)</f>
        <v>0</v>
      </c>
      <c r="BI642" s="152">
        <f>IF(N642="nulová",J642,0)</f>
        <v>0</v>
      </c>
      <c r="BJ642" s="19" t="s">
        <v>85</v>
      </c>
      <c r="BK642" s="152">
        <f>ROUND(I642*H642,2)</f>
        <v>0</v>
      </c>
      <c r="BL642" s="19" t="s">
        <v>237</v>
      </c>
      <c r="BM642" s="151" t="s">
        <v>2793</v>
      </c>
    </row>
    <row r="643" spans="1:65" s="2" customFormat="1" ht="19.5">
      <c r="A643" s="34"/>
      <c r="B643" s="35"/>
      <c r="C643" s="34"/>
      <c r="D643" s="153" t="s">
        <v>187</v>
      </c>
      <c r="E643" s="34"/>
      <c r="F643" s="154" t="s">
        <v>2783</v>
      </c>
      <c r="G643" s="34"/>
      <c r="H643" s="34"/>
      <c r="I643" s="155"/>
      <c r="J643" s="34"/>
      <c r="K643" s="34"/>
      <c r="L643" s="35"/>
      <c r="M643" s="156"/>
      <c r="N643" s="157"/>
      <c r="O643" s="55"/>
      <c r="P643" s="55"/>
      <c r="Q643" s="55"/>
      <c r="R643" s="55"/>
      <c r="S643" s="55"/>
      <c r="T643" s="56"/>
      <c r="U643" s="34"/>
      <c r="V643" s="34"/>
      <c r="W643" s="34"/>
      <c r="X643" s="34"/>
      <c r="Y643" s="34"/>
      <c r="Z643" s="34"/>
      <c r="AA643" s="34"/>
      <c r="AB643" s="34"/>
      <c r="AC643" s="34"/>
      <c r="AD643" s="34"/>
      <c r="AE643" s="34"/>
      <c r="AT643" s="19" t="s">
        <v>187</v>
      </c>
      <c r="AU643" s="19" t="s">
        <v>87</v>
      </c>
    </row>
    <row r="644" spans="1:65" s="2" customFormat="1">
      <c r="A644" s="34"/>
      <c r="B644" s="35"/>
      <c r="C644" s="34"/>
      <c r="D644" s="158" t="s">
        <v>189</v>
      </c>
      <c r="E644" s="34"/>
      <c r="F644" s="159" t="s">
        <v>2784</v>
      </c>
      <c r="G644" s="34"/>
      <c r="H644" s="34"/>
      <c r="I644" s="155"/>
      <c r="J644" s="34"/>
      <c r="K644" s="34"/>
      <c r="L644" s="35"/>
      <c r="M644" s="156"/>
      <c r="N644" s="157"/>
      <c r="O644" s="55"/>
      <c r="P644" s="55"/>
      <c r="Q644" s="55"/>
      <c r="R644" s="55"/>
      <c r="S644" s="55"/>
      <c r="T644" s="56"/>
      <c r="U644" s="34"/>
      <c r="V644" s="34"/>
      <c r="W644" s="34"/>
      <c r="X644" s="34"/>
      <c r="Y644" s="34"/>
      <c r="Z644" s="34"/>
      <c r="AA644" s="34"/>
      <c r="AB644" s="34"/>
      <c r="AC644" s="34"/>
      <c r="AD644" s="34"/>
      <c r="AE644" s="34"/>
      <c r="AT644" s="19" t="s">
        <v>189</v>
      </c>
      <c r="AU644" s="19" t="s">
        <v>87</v>
      </c>
    </row>
    <row r="645" spans="1:65" s="2" customFormat="1" ht="107.25">
      <c r="A645" s="34"/>
      <c r="B645" s="35"/>
      <c r="C645" s="34"/>
      <c r="D645" s="153" t="s">
        <v>191</v>
      </c>
      <c r="E645" s="34"/>
      <c r="F645" s="160" t="s">
        <v>2785</v>
      </c>
      <c r="G645" s="34"/>
      <c r="H645" s="34"/>
      <c r="I645" s="155"/>
      <c r="J645" s="34"/>
      <c r="K645" s="34"/>
      <c r="L645" s="35"/>
      <c r="M645" s="156"/>
      <c r="N645" s="157"/>
      <c r="O645" s="55"/>
      <c r="P645" s="55"/>
      <c r="Q645" s="55"/>
      <c r="R645" s="55"/>
      <c r="S645" s="55"/>
      <c r="T645" s="56"/>
      <c r="U645" s="34"/>
      <c r="V645" s="34"/>
      <c r="W645" s="34"/>
      <c r="X645" s="34"/>
      <c r="Y645" s="34"/>
      <c r="Z645" s="34"/>
      <c r="AA645" s="34"/>
      <c r="AB645" s="34"/>
      <c r="AC645" s="34"/>
      <c r="AD645" s="34"/>
      <c r="AE645" s="34"/>
      <c r="AT645" s="19" t="s">
        <v>191</v>
      </c>
      <c r="AU645" s="19" t="s">
        <v>87</v>
      </c>
    </row>
    <row r="646" spans="1:65" s="2" customFormat="1" ht="16.5" customHeight="1">
      <c r="A646" s="34"/>
      <c r="B646" s="139"/>
      <c r="C646" s="195" t="s">
        <v>2794</v>
      </c>
      <c r="D646" s="195" t="s">
        <v>484</v>
      </c>
      <c r="E646" s="196" t="s">
        <v>2795</v>
      </c>
      <c r="F646" s="197" t="s">
        <v>2796</v>
      </c>
      <c r="G646" s="198" t="s">
        <v>808</v>
      </c>
      <c r="H646" s="199">
        <v>87.781999999999996</v>
      </c>
      <c r="I646" s="200"/>
      <c r="J646" s="201">
        <f>ROUND(I646*H646,2)</f>
        <v>0</v>
      </c>
      <c r="K646" s="197" t="s">
        <v>184</v>
      </c>
      <c r="L646" s="202"/>
      <c r="M646" s="203" t="s">
        <v>3</v>
      </c>
      <c r="N646" s="204" t="s">
        <v>48</v>
      </c>
      <c r="O646" s="55"/>
      <c r="P646" s="149">
        <f>O646*H646</f>
        <v>0</v>
      </c>
      <c r="Q646" s="149">
        <v>0.02</v>
      </c>
      <c r="R646" s="149">
        <f>Q646*H646</f>
        <v>1.7556399999999999</v>
      </c>
      <c r="S646" s="149">
        <v>0</v>
      </c>
      <c r="T646" s="150">
        <f>S646*H646</f>
        <v>0</v>
      </c>
      <c r="U646" s="34"/>
      <c r="V646" s="34"/>
      <c r="W646" s="34"/>
      <c r="X646" s="34"/>
      <c r="Y646" s="34"/>
      <c r="Z646" s="34"/>
      <c r="AA646" s="34"/>
      <c r="AB646" s="34"/>
      <c r="AC646" s="34"/>
      <c r="AD646" s="34"/>
      <c r="AE646" s="34"/>
      <c r="AR646" s="151" t="s">
        <v>537</v>
      </c>
      <c r="AT646" s="151" t="s">
        <v>484</v>
      </c>
      <c r="AU646" s="151" t="s">
        <v>87</v>
      </c>
      <c r="AY646" s="19" t="s">
        <v>177</v>
      </c>
      <c r="BE646" s="152">
        <f>IF(N646="základní",J646,0)</f>
        <v>0</v>
      </c>
      <c r="BF646" s="152">
        <f>IF(N646="snížená",J646,0)</f>
        <v>0</v>
      </c>
      <c r="BG646" s="152">
        <f>IF(N646="zákl. přenesená",J646,0)</f>
        <v>0</v>
      </c>
      <c r="BH646" s="152">
        <f>IF(N646="sníž. přenesená",J646,0)</f>
        <v>0</v>
      </c>
      <c r="BI646" s="152">
        <f>IF(N646="nulová",J646,0)</f>
        <v>0</v>
      </c>
      <c r="BJ646" s="19" t="s">
        <v>85</v>
      </c>
      <c r="BK646" s="152">
        <f>ROUND(I646*H646,2)</f>
        <v>0</v>
      </c>
      <c r="BL646" s="19" t="s">
        <v>237</v>
      </c>
      <c r="BM646" s="151" t="s">
        <v>2797</v>
      </c>
    </row>
    <row r="647" spans="1:65" s="2" customFormat="1">
      <c r="A647" s="34"/>
      <c r="B647" s="35"/>
      <c r="C647" s="34"/>
      <c r="D647" s="153" t="s">
        <v>187</v>
      </c>
      <c r="E647" s="34"/>
      <c r="F647" s="154" t="s">
        <v>2798</v>
      </c>
      <c r="G647" s="34"/>
      <c r="H647" s="34"/>
      <c r="I647" s="155"/>
      <c r="J647" s="34"/>
      <c r="K647" s="34"/>
      <c r="L647" s="35"/>
      <c r="M647" s="156"/>
      <c r="N647" s="157"/>
      <c r="O647" s="55"/>
      <c r="P647" s="55"/>
      <c r="Q647" s="55"/>
      <c r="R647" s="55"/>
      <c r="S647" s="55"/>
      <c r="T647" s="56"/>
      <c r="U647" s="34"/>
      <c r="V647" s="34"/>
      <c r="W647" s="34"/>
      <c r="X647" s="34"/>
      <c r="Y647" s="34"/>
      <c r="Z647" s="34"/>
      <c r="AA647" s="34"/>
      <c r="AB647" s="34"/>
      <c r="AC647" s="34"/>
      <c r="AD647" s="34"/>
      <c r="AE647" s="34"/>
      <c r="AT647" s="19" t="s">
        <v>187</v>
      </c>
      <c r="AU647" s="19" t="s">
        <v>87</v>
      </c>
    </row>
    <row r="648" spans="1:65" s="13" customFormat="1">
      <c r="B648" s="161"/>
      <c r="D648" s="153" t="s">
        <v>193</v>
      </c>
      <c r="E648" s="162" t="s">
        <v>3</v>
      </c>
      <c r="F648" s="163" t="s">
        <v>2799</v>
      </c>
      <c r="H648" s="164">
        <v>33.250999999999998</v>
      </c>
      <c r="I648" s="165"/>
      <c r="L648" s="161"/>
      <c r="M648" s="166"/>
      <c r="N648" s="167"/>
      <c r="O648" s="167"/>
      <c r="P648" s="167"/>
      <c r="Q648" s="167"/>
      <c r="R648" s="167"/>
      <c r="S648" s="167"/>
      <c r="T648" s="168"/>
      <c r="AT648" s="162" t="s">
        <v>193</v>
      </c>
      <c r="AU648" s="162" t="s">
        <v>87</v>
      </c>
      <c r="AV648" s="13" t="s">
        <v>87</v>
      </c>
      <c r="AW648" s="13" t="s">
        <v>36</v>
      </c>
      <c r="AX648" s="13" t="s">
        <v>77</v>
      </c>
      <c r="AY648" s="162" t="s">
        <v>177</v>
      </c>
    </row>
    <row r="649" spans="1:65" s="13" customFormat="1">
      <c r="B649" s="161"/>
      <c r="D649" s="153" t="s">
        <v>193</v>
      </c>
      <c r="E649" s="162" t="s">
        <v>3</v>
      </c>
      <c r="F649" s="163" t="s">
        <v>2800</v>
      </c>
      <c r="H649" s="164">
        <v>39.901000000000003</v>
      </c>
      <c r="I649" s="165"/>
      <c r="L649" s="161"/>
      <c r="M649" s="166"/>
      <c r="N649" s="167"/>
      <c r="O649" s="167"/>
      <c r="P649" s="167"/>
      <c r="Q649" s="167"/>
      <c r="R649" s="167"/>
      <c r="S649" s="167"/>
      <c r="T649" s="168"/>
      <c r="AT649" s="162" t="s">
        <v>193</v>
      </c>
      <c r="AU649" s="162" t="s">
        <v>87</v>
      </c>
      <c r="AV649" s="13" t="s">
        <v>87</v>
      </c>
      <c r="AW649" s="13" t="s">
        <v>36</v>
      </c>
      <c r="AX649" s="13" t="s">
        <v>77</v>
      </c>
      <c r="AY649" s="162" t="s">
        <v>177</v>
      </c>
    </row>
    <row r="650" spans="1:65" s="16" customFormat="1">
      <c r="B650" s="184"/>
      <c r="D650" s="153" t="s">
        <v>193</v>
      </c>
      <c r="E650" s="185" t="s">
        <v>3</v>
      </c>
      <c r="F650" s="186" t="s">
        <v>201</v>
      </c>
      <c r="H650" s="187">
        <v>73.152000000000001</v>
      </c>
      <c r="I650" s="188"/>
      <c r="L650" s="184"/>
      <c r="M650" s="189"/>
      <c r="N650" s="190"/>
      <c r="O650" s="190"/>
      <c r="P650" s="190"/>
      <c r="Q650" s="190"/>
      <c r="R650" s="190"/>
      <c r="S650" s="190"/>
      <c r="T650" s="191"/>
      <c r="AT650" s="185" t="s">
        <v>193</v>
      </c>
      <c r="AU650" s="185" t="s">
        <v>87</v>
      </c>
      <c r="AV650" s="16" t="s">
        <v>185</v>
      </c>
      <c r="AW650" s="16" t="s">
        <v>36</v>
      </c>
      <c r="AX650" s="16" t="s">
        <v>85</v>
      </c>
      <c r="AY650" s="185" t="s">
        <v>177</v>
      </c>
    </row>
    <row r="651" spans="1:65" s="13" customFormat="1">
      <c r="B651" s="161"/>
      <c r="D651" s="153" t="s">
        <v>193</v>
      </c>
      <c r="F651" s="163" t="s">
        <v>2801</v>
      </c>
      <c r="H651" s="164">
        <v>87.781999999999996</v>
      </c>
      <c r="I651" s="165"/>
      <c r="L651" s="161"/>
      <c r="M651" s="166"/>
      <c r="N651" s="167"/>
      <c r="O651" s="167"/>
      <c r="P651" s="167"/>
      <c r="Q651" s="167"/>
      <c r="R651" s="167"/>
      <c r="S651" s="167"/>
      <c r="T651" s="168"/>
      <c r="AT651" s="162" t="s">
        <v>193</v>
      </c>
      <c r="AU651" s="162" t="s">
        <v>87</v>
      </c>
      <c r="AV651" s="13" t="s">
        <v>87</v>
      </c>
      <c r="AW651" s="13" t="s">
        <v>4</v>
      </c>
      <c r="AX651" s="13" t="s">
        <v>85</v>
      </c>
      <c r="AY651" s="162" t="s">
        <v>177</v>
      </c>
    </row>
    <row r="652" spans="1:65" s="2" customFormat="1" ht="16.5" customHeight="1">
      <c r="A652" s="34"/>
      <c r="B652" s="139"/>
      <c r="C652" s="140" t="s">
        <v>2802</v>
      </c>
      <c r="D652" s="140" t="s">
        <v>180</v>
      </c>
      <c r="E652" s="141" t="s">
        <v>2803</v>
      </c>
      <c r="F652" s="142" t="s">
        <v>2804</v>
      </c>
      <c r="G652" s="143" t="s">
        <v>332</v>
      </c>
      <c r="H652" s="144">
        <v>332.50799999999998</v>
      </c>
      <c r="I652" s="145"/>
      <c r="J652" s="146">
        <f>ROUND(I652*H652,2)</f>
        <v>0</v>
      </c>
      <c r="K652" s="142" t="s">
        <v>184</v>
      </c>
      <c r="L652" s="35"/>
      <c r="M652" s="147" t="s">
        <v>3</v>
      </c>
      <c r="N652" s="148" t="s">
        <v>48</v>
      </c>
      <c r="O652" s="55"/>
      <c r="P652" s="149">
        <f>O652*H652</f>
        <v>0</v>
      </c>
      <c r="Q652" s="149">
        <v>9.6039999999999995E-5</v>
      </c>
      <c r="R652" s="149">
        <f>Q652*H652</f>
        <v>3.1934068319999995E-2</v>
      </c>
      <c r="S652" s="149">
        <v>0</v>
      </c>
      <c r="T652" s="150">
        <f>S652*H652</f>
        <v>0</v>
      </c>
      <c r="U652" s="34"/>
      <c r="V652" s="34"/>
      <c r="W652" s="34"/>
      <c r="X652" s="34"/>
      <c r="Y652" s="34"/>
      <c r="Z652" s="34"/>
      <c r="AA652" s="34"/>
      <c r="AB652" s="34"/>
      <c r="AC652" s="34"/>
      <c r="AD652" s="34"/>
      <c r="AE652" s="34"/>
      <c r="AR652" s="151" t="s">
        <v>237</v>
      </c>
      <c r="AT652" s="151" t="s">
        <v>180</v>
      </c>
      <c r="AU652" s="151" t="s">
        <v>87</v>
      </c>
      <c r="AY652" s="19" t="s">
        <v>177</v>
      </c>
      <c r="BE652" s="152">
        <f>IF(N652="základní",J652,0)</f>
        <v>0</v>
      </c>
      <c r="BF652" s="152">
        <f>IF(N652="snížená",J652,0)</f>
        <v>0</v>
      </c>
      <c r="BG652" s="152">
        <f>IF(N652="zákl. přenesená",J652,0)</f>
        <v>0</v>
      </c>
      <c r="BH652" s="152">
        <f>IF(N652="sníž. přenesená",J652,0)</f>
        <v>0</v>
      </c>
      <c r="BI652" s="152">
        <f>IF(N652="nulová",J652,0)</f>
        <v>0</v>
      </c>
      <c r="BJ652" s="19" t="s">
        <v>85</v>
      </c>
      <c r="BK652" s="152">
        <f>ROUND(I652*H652,2)</f>
        <v>0</v>
      </c>
      <c r="BL652" s="19" t="s">
        <v>237</v>
      </c>
      <c r="BM652" s="151" t="s">
        <v>2805</v>
      </c>
    </row>
    <row r="653" spans="1:65" s="2" customFormat="1" ht="19.5">
      <c r="A653" s="34"/>
      <c r="B653" s="35"/>
      <c r="C653" s="34"/>
      <c r="D653" s="153" t="s">
        <v>187</v>
      </c>
      <c r="E653" s="34"/>
      <c r="F653" s="154" t="s">
        <v>2806</v>
      </c>
      <c r="G653" s="34"/>
      <c r="H653" s="34"/>
      <c r="I653" s="155"/>
      <c r="J653" s="34"/>
      <c r="K653" s="34"/>
      <c r="L653" s="35"/>
      <c r="M653" s="156"/>
      <c r="N653" s="157"/>
      <c r="O653" s="55"/>
      <c r="P653" s="55"/>
      <c r="Q653" s="55"/>
      <c r="R653" s="55"/>
      <c r="S653" s="55"/>
      <c r="T653" s="56"/>
      <c r="U653" s="34"/>
      <c r="V653" s="34"/>
      <c r="W653" s="34"/>
      <c r="X653" s="34"/>
      <c r="Y653" s="34"/>
      <c r="Z653" s="34"/>
      <c r="AA653" s="34"/>
      <c r="AB653" s="34"/>
      <c r="AC653" s="34"/>
      <c r="AD653" s="34"/>
      <c r="AE653" s="34"/>
      <c r="AT653" s="19" t="s">
        <v>187</v>
      </c>
      <c r="AU653" s="19" t="s">
        <v>87</v>
      </c>
    </row>
    <row r="654" spans="1:65" s="2" customFormat="1">
      <c r="A654" s="34"/>
      <c r="B654" s="35"/>
      <c r="C654" s="34"/>
      <c r="D654" s="158" t="s">
        <v>189</v>
      </c>
      <c r="E654" s="34"/>
      <c r="F654" s="159" t="s">
        <v>2807</v>
      </c>
      <c r="G654" s="34"/>
      <c r="H654" s="34"/>
      <c r="I654" s="155"/>
      <c r="J654" s="34"/>
      <c r="K654" s="34"/>
      <c r="L654" s="35"/>
      <c r="M654" s="156"/>
      <c r="N654" s="157"/>
      <c r="O654" s="55"/>
      <c r="P654" s="55"/>
      <c r="Q654" s="55"/>
      <c r="R654" s="55"/>
      <c r="S654" s="55"/>
      <c r="T654" s="56"/>
      <c r="U654" s="34"/>
      <c r="V654" s="34"/>
      <c r="W654" s="34"/>
      <c r="X654" s="34"/>
      <c r="Y654" s="34"/>
      <c r="Z654" s="34"/>
      <c r="AA654" s="34"/>
      <c r="AB654" s="34"/>
      <c r="AC654" s="34"/>
      <c r="AD654" s="34"/>
      <c r="AE654" s="34"/>
      <c r="AT654" s="19" t="s">
        <v>189</v>
      </c>
      <c r="AU654" s="19" t="s">
        <v>87</v>
      </c>
    </row>
    <row r="655" spans="1:65" s="2" customFormat="1" ht="107.25">
      <c r="A655" s="34"/>
      <c r="B655" s="35"/>
      <c r="C655" s="34"/>
      <c r="D655" s="153" t="s">
        <v>191</v>
      </c>
      <c r="E655" s="34"/>
      <c r="F655" s="160" t="s">
        <v>2785</v>
      </c>
      <c r="G655" s="34"/>
      <c r="H655" s="34"/>
      <c r="I655" s="155"/>
      <c r="J655" s="34"/>
      <c r="K655" s="34"/>
      <c r="L655" s="35"/>
      <c r="M655" s="156"/>
      <c r="N655" s="157"/>
      <c r="O655" s="55"/>
      <c r="P655" s="55"/>
      <c r="Q655" s="55"/>
      <c r="R655" s="55"/>
      <c r="S655" s="55"/>
      <c r="T655" s="56"/>
      <c r="U655" s="34"/>
      <c r="V655" s="34"/>
      <c r="W655" s="34"/>
      <c r="X655" s="34"/>
      <c r="Y655" s="34"/>
      <c r="Z655" s="34"/>
      <c r="AA655" s="34"/>
      <c r="AB655" s="34"/>
      <c r="AC655" s="34"/>
      <c r="AD655" s="34"/>
      <c r="AE655" s="34"/>
      <c r="AT655" s="19" t="s">
        <v>191</v>
      </c>
      <c r="AU655" s="19" t="s">
        <v>87</v>
      </c>
    </row>
    <row r="656" spans="1:65" s="2" customFormat="1" ht="21.75" customHeight="1">
      <c r="A656" s="34"/>
      <c r="B656" s="139"/>
      <c r="C656" s="140" t="s">
        <v>2808</v>
      </c>
      <c r="D656" s="140" t="s">
        <v>180</v>
      </c>
      <c r="E656" s="141" t="s">
        <v>2809</v>
      </c>
      <c r="F656" s="142" t="s">
        <v>2810</v>
      </c>
      <c r="G656" s="143" t="s">
        <v>332</v>
      </c>
      <c r="H656" s="144">
        <v>79.5</v>
      </c>
      <c r="I656" s="145"/>
      <c r="J656" s="146">
        <f>ROUND(I656*H656,2)</f>
        <v>0</v>
      </c>
      <c r="K656" s="142" t="s">
        <v>184</v>
      </c>
      <c r="L656" s="35"/>
      <c r="M656" s="147" t="s">
        <v>3</v>
      </c>
      <c r="N656" s="148" t="s">
        <v>48</v>
      </c>
      <c r="O656" s="55"/>
      <c r="P656" s="149">
        <f>O656*H656</f>
        <v>0</v>
      </c>
      <c r="Q656" s="149">
        <v>1.8699999999999999E-4</v>
      </c>
      <c r="R656" s="149">
        <f>Q656*H656</f>
        <v>1.48665E-2</v>
      </c>
      <c r="S656" s="149">
        <v>0</v>
      </c>
      <c r="T656" s="150">
        <f>S656*H656</f>
        <v>0</v>
      </c>
      <c r="U656" s="34"/>
      <c r="V656" s="34"/>
      <c r="W656" s="34"/>
      <c r="X656" s="34"/>
      <c r="Y656" s="34"/>
      <c r="Z656" s="34"/>
      <c r="AA656" s="34"/>
      <c r="AB656" s="34"/>
      <c r="AC656" s="34"/>
      <c r="AD656" s="34"/>
      <c r="AE656" s="34"/>
      <c r="AR656" s="151" t="s">
        <v>237</v>
      </c>
      <c r="AT656" s="151" t="s">
        <v>180</v>
      </c>
      <c r="AU656" s="151" t="s">
        <v>87</v>
      </c>
      <c r="AY656" s="19" t="s">
        <v>177</v>
      </c>
      <c r="BE656" s="152">
        <f>IF(N656="základní",J656,0)</f>
        <v>0</v>
      </c>
      <c r="BF656" s="152">
        <f>IF(N656="snížená",J656,0)</f>
        <v>0</v>
      </c>
      <c r="BG656" s="152">
        <f>IF(N656="zákl. přenesená",J656,0)</f>
        <v>0</v>
      </c>
      <c r="BH656" s="152">
        <f>IF(N656="sníž. přenesená",J656,0)</f>
        <v>0</v>
      </c>
      <c r="BI656" s="152">
        <f>IF(N656="nulová",J656,0)</f>
        <v>0</v>
      </c>
      <c r="BJ656" s="19" t="s">
        <v>85</v>
      </c>
      <c r="BK656" s="152">
        <f>ROUND(I656*H656,2)</f>
        <v>0</v>
      </c>
      <c r="BL656" s="19" t="s">
        <v>237</v>
      </c>
      <c r="BM656" s="151" t="s">
        <v>2811</v>
      </c>
    </row>
    <row r="657" spans="1:65" s="2" customFormat="1" ht="19.5">
      <c r="A657" s="34"/>
      <c r="B657" s="35"/>
      <c r="C657" s="34"/>
      <c r="D657" s="153" t="s">
        <v>187</v>
      </c>
      <c r="E657" s="34"/>
      <c r="F657" s="154" t="s">
        <v>2812</v>
      </c>
      <c r="G657" s="34"/>
      <c r="H657" s="34"/>
      <c r="I657" s="155"/>
      <c r="J657" s="34"/>
      <c r="K657" s="34"/>
      <c r="L657" s="35"/>
      <c r="M657" s="156"/>
      <c r="N657" s="157"/>
      <c r="O657" s="55"/>
      <c r="P657" s="55"/>
      <c r="Q657" s="55"/>
      <c r="R657" s="55"/>
      <c r="S657" s="55"/>
      <c r="T657" s="56"/>
      <c r="U657" s="34"/>
      <c r="V657" s="34"/>
      <c r="W657" s="34"/>
      <c r="X657" s="34"/>
      <c r="Y657" s="34"/>
      <c r="Z657" s="34"/>
      <c r="AA657" s="34"/>
      <c r="AB657" s="34"/>
      <c r="AC657" s="34"/>
      <c r="AD657" s="34"/>
      <c r="AE657" s="34"/>
      <c r="AT657" s="19" t="s">
        <v>187</v>
      </c>
      <c r="AU657" s="19" t="s">
        <v>87</v>
      </c>
    </row>
    <row r="658" spans="1:65" s="2" customFormat="1">
      <c r="A658" s="34"/>
      <c r="B658" s="35"/>
      <c r="C658" s="34"/>
      <c r="D658" s="158" t="s">
        <v>189</v>
      </c>
      <c r="E658" s="34"/>
      <c r="F658" s="159" t="s">
        <v>2813</v>
      </c>
      <c r="G658" s="34"/>
      <c r="H658" s="34"/>
      <c r="I658" s="155"/>
      <c r="J658" s="34"/>
      <c r="K658" s="34"/>
      <c r="L658" s="35"/>
      <c r="M658" s="156"/>
      <c r="N658" s="157"/>
      <c r="O658" s="55"/>
      <c r="P658" s="55"/>
      <c r="Q658" s="55"/>
      <c r="R658" s="55"/>
      <c r="S658" s="55"/>
      <c r="T658" s="56"/>
      <c r="U658" s="34"/>
      <c r="V658" s="34"/>
      <c r="W658" s="34"/>
      <c r="X658" s="34"/>
      <c r="Y658" s="34"/>
      <c r="Z658" s="34"/>
      <c r="AA658" s="34"/>
      <c r="AB658" s="34"/>
      <c r="AC658" s="34"/>
      <c r="AD658" s="34"/>
      <c r="AE658" s="34"/>
      <c r="AT658" s="19" t="s">
        <v>189</v>
      </c>
      <c r="AU658" s="19" t="s">
        <v>87</v>
      </c>
    </row>
    <row r="659" spans="1:65" s="2" customFormat="1" ht="107.25">
      <c r="A659" s="34"/>
      <c r="B659" s="35"/>
      <c r="C659" s="34"/>
      <c r="D659" s="153" t="s">
        <v>191</v>
      </c>
      <c r="E659" s="34"/>
      <c r="F659" s="160" t="s">
        <v>2785</v>
      </c>
      <c r="G659" s="34"/>
      <c r="H659" s="34"/>
      <c r="I659" s="155"/>
      <c r="J659" s="34"/>
      <c r="K659" s="34"/>
      <c r="L659" s="35"/>
      <c r="M659" s="156"/>
      <c r="N659" s="157"/>
      <c r="O659" s="55"/>
      <c r="P659" s="55"/>
      <c r="Q659" s="55"/>
      <c r="R659" s="55"/>
      <c r="S659" s="55"/>
      <c r="T659" s="56"/>
      <c r="U659" s="34"/>
      <c r="V659" s="34"/>
      <c r="W659" s="34"/>
      <c r="X659" s="34"/>
      <c r="Y659" s="34"/>
      <c r="Z659" s="34"/>
      <c r="AA659" s="34"/>
      <c r="AB659" s="34"/>
      <c r="AC659" s="34"/>
      <c r="AD659" s="34"/>
      <c r="AE659" s="34"/>
      <c r="AT659" s="19" t="s">
        <v>191</v>
      </c>
      <c r="AU659" s="19" t="s">
        <v>87</v>
      </c>
    </row>
    <row r="660" spans="1:65" s="2" customFormat="1" ht="16.5" customHeight="1">
      <c r="A660" s="34"/>
      <c r="B660" s="139"/>
      <c r="C660" s="195" t="s">
        <v>2814</v>
      </c>
      <c r="D660" s="195" t="s">
        <v>484</v>
      </c>
      <c r="E660" s="196" t="s">
        <v>2787</v>
      </c>
      <c r="F660" s="197" t="s">
        <v>2788</v>
      </c>
      <c r="G660" s="198" t="s">
        <v>332</v>
      </c>
      <c r="H660" s="199">
        <v>58.427999999999997</v>
      </c>
      <c r="I660" s="200"/>
      <c r="J660" s="201">
        <f>ROUND(I660*H660,2)</f>
        <v>0</v>
      </c>
      <c r="K660" s="197" t="s">
        <v>184</v>
      </c>
      <c r="L660" s="202"/>
      <c r="M660" s="203" t="s">
        <v>3</v>
      </c>
      <c r="N660" s="204" t="s">
        <v>48</v>
      </c>
      <c r="O660" s="55"/>
      <c r="P660" s="149">
        <f>O660*H660</f>
        <v>0</v>
      </c>
      <c r="Q660" s="149">
        <v>3.13E-3</v>
      </c>
      <c r="R660" s="149">
        <f>Q660*H660</f>
        <v>0.18287963999999998</v>
      </c>
      <c r="S660" s="149">
        <v>0</v>
      </c>
      <c r="T660" s="150">
        <f>S660*H660</f>
        <v>0</v>
      </c>
      <c r="U660" s="34"/>
      <c r="V660" s="34"/>
      <c r="W660" s="34"/>
      <c r="X660" s="34"/>
      <c r="Y660" s="34"/>
      <c r="Z660" s="34"/>
      <c r="AA660" s="34"/>
      <c r="AB660" s="34"/>
      <c r="AC660" s="34"/>
      <c r="AD660" s="34"/>
      <c r="AE660" s="34"/>
      <c r="AR660" s="151" t="s">
        <v>537</v>
      </c>
      <c r="AT660" s="151" t="s">
        <v>484</v>
      </c>
      <c r="AU660" s="151" t="s">
        <v>87</v>
      </c>
      <c r="AY660" s="19" t="s">
        <v>177</v>
      </c>
      <c r="BE660" s="152">
        <f>IF(N660="základní",J660,0)</f>
        <v>0</v>
      </c>
      <c r="BF660" s="152">
        <f>IF(N660="snížená",J660,0)</f>
        <v>0</v>
      </c>
      <c r="BG660" s="152">
        <f>IF(N660="zákl. přenesená",J660,0)</f>
        <v>0</v>
      </c>
      <c r="BH660" s="152">
        <f>IF(N660="sníž. přenesená",J660,0)</f>
        <v>0</v>
      </c>
      <c r="BI660" s="152">
        <f>IF(N660="nulová",J660,0)</f>
        <v>0</v>
      </c>
      <c r="BJ660" s="19" t="s">
        <v>85</v>
      </c>
      <c r="BK660" s="152">
        <f>ROUND(I660*H660,2)</f>
        <v>0</v>
      </c>
      <c r="BL660" s="19" t="s">
        <v>237</v>
      </c>
      <c r="BM660" s="151" t="s">
        <v>2815</v>
      </c>
    </row>
    <row r="661" spans="1:65" s="2" customFormat="1">
      <c r="A661" s="34"/>
      <c r="B661" s="35"/>
      <c r="C661" s="34"/>
      <c r="D661" s="153" t="s">
        <v>187</v>
      </c>
      <c r="E661" s="34"/>
      <c r="F661" s="154" t="s">
        <v>2790</v>
      </c>
      <c r="G661" s="34"/>
      <c r="H661" s="34"/>
      <c r="I661" s="155"/>
      <c r="J661" s="34"/>
      <c r="K661" s="34"/>
      <c r="L661" s="35"/>
      <c r="M661" s="156"/>
      <c r="N661" s="157"/>
      <c r="O661" s="55"/>
      <c r="P661" s="55"/>
      <c r="Q661" s="55"/>
      <c r="R661" s="55"/>
      <c r="S661" s="55"/>
      <c r="T661" s="56"/>
      <c r="U661" s="34"/>
      <c r="V661" s="34"/>
      <c r="W661" s="34"/>
      <c r="X661" s="34"/>
      <c r="Y661" s="34"/>
      <c r="Z661" s="34"/>
      <c r="AA661" s="34"/>
      <c r="AB661" s="34"/>
      <c r="AC661" s="34"/>
      <c r="AD661" s="34"/>
      <c r="AE661" s="34"/>
      <c r="AT661" s="19" t="s">
        <v>187</v>
      </c>
      <c r="AU661" s="19" t="s">
        <v>87</v>
      </c>
    </row>
    <row r="662" spans="1:65" s="13" customFormat="1">
      <c r="B662" s="161"/>
      <c r="D662" s="153" t="s">
        <v>193</v>
      </c>
      <c r="E662" s="162" t="s">
        <v>3</v>
      </c>
      <c r="F662" s="163" t="s">
        <v>2816</v>
      </c>
      <c r="H662" s="164">
        <v>53.116</v>
      </c>
      <c r="I662" s="165"/>
      <c r="L662" s="161"/>
      <c r="M662" s="166"/>
      <c r="N662" s="167"/>
      <c r="O662" s="167"/>
      <c r="P662" s="167"/>
      <c r="Q662" s="167"/>
      <c r="R662" s="167"/>
      <c r="S662" s="167"/>
      <c r="T662" s="168"/>
      <c r="AT662" s="162" t="s">
        <v>193</v>
      </c>
      <c r="AU662" s="162" t="s">
        <v>87</v>
      </c>
      <c r="AV662" s="13" t="s">
        <v>87</v>
      </c>
      <c r="AW662" s="13" t="s">
        <v>36</v>
      </c>
      <c r="AX662" s="13" t="s">
        <v>85</v>
      </c>
      <c r="AY662" s="162" t="s">
        <v>177</v>
      </c>
    </row>
    <row r="663" spans="1:65" s="13" customFormat="1">
      <c r="B663" s="161"/>
      <c r="D663" s="153" t="s">
        <v>193</v>
      </c>
      <c r="F663" s="163" t="s">
        <v>2817</v>
      </c>
      <c r="H663" s="164">
        <v>58.427999999999997</v>
      </c>
      <c r="I663" s="165"/>
      <c r="L663" s="161"/>
      <c r="M663" s="166"/>
      <c r="N663" s="167"/>
      <c r="O663" s="167"/>
      <c r="P663" s="167"/>
      <c r="Q663" s="167"/>
      <c r="R663" s="167"/>
      <c r="S663" s="167"/>
      <c r="T663" s="168"/>
      <c r="AT663" s="162" t="s">
        <v>193</v>
      </c>
      <c r="AU663" s="162" t="s">
        <v>87</v>
      </c>
      <c r="AV663" s="13" t="s">
        <v>87</v>
      </c>
      <c r="AW663" s="13" t="s">
        <v>4</v>
      </c>
      <c r="AX663" s="13" t="s">
        <v>85</v>
      </c>
      <c r="AY663" s="162" t="s">
        <v>177</v>
      </c>
    </row>
    <row r="664" spans="1:65" s="2" customFormat="1" ht="16.5" customHeight="1">
      <c r="A664" s="34"/>
      <c r="B664" s="139"/>
      <c r="C664" s="195" t="s">
        <v>2818</v>
      </c>
      <c r="D664" s="195" t="s">
        <v>484</v>
      </c>
      <c r="E664" s="196" t="s">
        <v>2819</v>
      </c>
      <c r="F664" s="197" t="s">
        <v>2820</v>
      </c>
      <c r="G664" s="198" t="s">
        <v>332</v>
      </c>
      <c r="H664" s="199">
        <v>29.021999999999998</v>
      </c>
      <c r="I664" s="200"/>
      <c r="J664" s="201">
        <f>ROUND(I664*H664,2)</f>
        <v>0</v>
      </c>
      <c r="K664" s="197" t="s">
        <v>184</v>
      </c>
      <c r="L664" s="202"/>
      <c r="M664" s="203" t="s">
        <v>3</v>
      </c>
      <c r="N664" s="204" t="s">
        <v>48</v>
      </c>
      <c r="O664" s="55"/>
      <c r="P664" s="149">
        <f>O664*H664</f>
        <v>0</v>
      </c>
      <c r="Q664" s="149">
        <v>2E-3</v>
      </c>
      <c r="R664" s="149">
        <f>Q664*H664</f>
        <v>5.8043999999999998E-2</v>
      </c>
      <c r="S664" s="149">
        <v>0</v>
      </c>
      <c r="T664" s="150">
        <f>S664*H664</f>
        <v>0</v>
      </c>
      <c r="U664" s="34"/>
      <c r="V664" s="34"/>
      <c r="W664" s="34"/>
      <c r="X664" s="34"/>
      <c r="Y664" s="34"/>
      <c r="Z664" s="34"/>
      <c r="AA664" s="34"/>
      <c r="AB664" s="34"/>
      <c r="AC664" s="34"/>
      <c r="AD664" s="34"/>
      <c r="AE664" s="34"/>
      <c r="AR664" s="151" t="s">
        <v>537</v>
      </c>
      <c r="AT664" s="151" t="s">
        <v>484</v>
      </c>
      <c r="AU664" s="151" t="s">
        <v>87</v>
      </c>
      <c r="AY664" s="19" t="s">
        <v>177</v>
      </c>
      <c r="BE664" s="152">
        <f>IF(N664="základní",J664,0)</f>
        <v>0</v>
      </c>
      <c r="BF664" s="152">
        <f>IF(N664="snížená",J664,0)</f>
        <v>0</v>
      </c>
      <c r="BG664" s="152">
        <f>IF(N664="zákl. přenesená",J664,0)</f>
        <v>0</v>
      </c>
      <c r="BH664" s="152">
        <f>IF(N664="sníž. přenesená",J664,0)</f>
        <v>0</v>
      </c>
      <c r="BI664" s="152">
        <f>IF(N664="nulová",J664,0)</f>
        <v>0</v>
      </c>
      <c r="BJ664" s="19" t="s">
        <v>85</v>
      </c>
      <c r="BK664" s="152">
        <f>ROUND(I664*H664,2)</f>
        <v>0</v>
      </c>
      <c r="BL664" s="19" t="s">
        <v>237</v>
      </c>
      <c r="BM664" s="151" t="s">
        <v>2821</v>
      </c>
    </row>
    <row r="665" spans="1:65" s="2" customFormat="1">
      <c r="A665" s="34"/>
      <c r="B665" s="35"/>
      <c r="C665" s="34"/>
      <c r="D665" s="153" t="s">
        <v>187</v>
      </c>
      <c r="E665" s="34"/>
      <c r="F665" s="154" t="s">
        <v>2822</v>
      </c>
      <c r="G665" s="34"/>
      <c r="H665" s="34"/>
      <c r="I665" s="155"/>
      <c r="J665" s="34"/>
      <c r="K665" s="34"/>
      <c r="L665" s="35"/>
      <c r="M665" s="156"/>
      <c r="N665" s="157"/>
      <c r="O665" s="55"/>
      <c r="P665" s="55"/>
      <c r="Q665" s="55"/>
      <c r="R665" s="55"/>
      <c r="S665" s="55"/>
      <c r="T665" s="56"/>
      <c r="U665" s="34"/>
      <c r="V665" s="34"/>
      <c r="W665" s="34"/>
      <c r="X665" s="34"/>
      <c r="Y665" s="34"/>
      <c r="Z665" s="34"/>
      <c r="AA665" s="34"/>
      <c r="AB665" s="34"/>
      <c r="AC665" s="34"/>
      <c r="AD665" s="34"/>
      <c r="AE665" s="34"/>
      <c r="AT665" s="19" t="s">
        <v>187</v>
      </c>
      <c r="AU665" s="19" t="s">
        <v>87</v>
      </c>
    </row>
    <row r="666" spans="1:65" s="13" customFormat="1">
      <c r="B666" s="161"/>
      <c r="D666" s="153" t="s">
        <v>193</v>
      </c>
      <c r="E666" s="162" t="s">
        <v>3</v>
      </c>
      <c r="F666" s="163" t="s">
        <v>2823</v>
      </c>
      <c r="H666" s="164">
        <v>26.384</v>
      </c>
      <c r="I666" s="165"/>
      <c r="L666" s="161"/>
      <c r="M666" s="166"/>
      <c r="N666" s="167"/>
      <c r="O666" s="167"/>
      <c r="P666" s="167"/>
      <c r="Q666" s="167"/>
      <c r="R666" s="167"/>
      <c r="S666" s="167"/>
      <c r="T666" s="168"/>
      <c r="AT666" s="162" t="s">
        <v>193</v>
      </c>
      <c r="AU666" s="162" t="s">
        <v>87</v>
      </c>
      <c r="AV666" s="13" t="s">
        <v>87</v>
      </c>
      <c r="AW666" s="13" t="s">
        <v>36</v>
      </c>
      <c r="AX666" s="13" t="s">
        <v>85</v>
      </c>
      <c r="AY666" s="162" t="s">
        <v>177</v>
      </c>
    </row>
    <row r="667" spans="1:65" s="13" customFormat="1">
      <c r="B667" s="161"/>
      <c r="D667" s="153" t="s">
        <v>193</v>
      </c>
      <c r="F667" s="163" t="s">
        <v>2824</v>
      </c>
      <c r="H667" s="164">
        <v>29.021999999999998</v>
      </c>
      <c r="I667" s="165"/>
      <c r="L667" s="161"/>
      <c r="M667" s="166"/>
      <c r="N667" s="167"/>
      <c r="O667" s="167"/>
      <c r="P667" s="167"/>
      <c r="Q667" s="167"/>
      <c r="R667" s="167"/>
      <c r="S667" s="167"/>
      <c r="T667" s="168"/>
      <c r="AT667" s="162" t="s">
        <v>193</v>
      </c>
      <c r="AU667" s="162" t="s">
        <v>87</v>
      </c>
      <c r="AV667" s="13" t="s">
        <v>87</v>
      </c>
      <c r="AW667" s="13" t="s">
        <v>4</v>
      </c>
      <c r="AX667" s="13" t="s">
        <v>85</v>
      </c>
      <c r="AY667" s="162" t="s">
        <v>177</v>
      </c>
    </row>
    <row r="668" spans="1:65" s="2" customFormat="1" ht="16.5" customHeight="1">
      <c r="A668" s="34"/>
      <c r="B668" s="139"/>
      <c r="C668" s="140" t="s">
        <v>2825</v>
      </c>
      <c r="D668" s="140" t="s">
        <v>180</v>
      </c>
      <c r="E668" s="141" t="s">
        <v>788</v>
      </c>
      <c r="F668" s="142" t="s">
        <v>789</v>
      </c>
      <c r="G668" s="143" t="s">
        <v>183</v>
      </c>
      <c r="H668" s="144">
        <v>3.9590000000000001</v>
      </c>
      <c r="I668" s="145"/>
      <c r="J668" s="146">
        <f>ROUND(I668*H668,2)</f>
        <v>0</v>
      </c>
      <c r="K668" s="142" t="s">
        <v>184</v>
      </c>
      <c r="L668" s="35"/>
      <c r="M668" s="147" t="s">
        <v>3</v>
      </c>
      <c r="N668" s="148" t="s">
        <v>48</v>
      </c>
      <c r="O668" s="55"/>
      <c r="P668" s="149">
        <f>O668*H668</f>
        <v>0</v>
      </c>
      <c r="Q668" s="149">
        <v>0</v>
      </c>
      <c r="R668" s="149">
        <f>Q668*H668</f>
        <v>0</v>
      </c>
      <c r="S668" s="149">
        <v>0</v>
      </c>
      <c r="T668" s="150">
        <f>S668*H668</f>
        <v>0</v>
      </c>
      <c r="U668" s="34"/>
      <c r="V668" s="34"/>
      <c r="W668" s="34"/>
      <c r="X668" s="34"/>
      <c r="Y668" s="34"/>
      <c r="Z668" s="34"/>
      <c r="AA668" s="34"/>
      <c r="AB668" s="34"/>
      <c r="AC668" s="34"/>
      <c r="AD668" s="34"/>
      <c r="AE668" s="34"/>
      <c r="AR668" s="151" t="s">
        <v>237</v>
      </c>
      <c r="AT668" s="151" t="s">
        <v>180</v>
      </c>
      <c r="AU668" s="151" t="s">
        <v>87</v>
      </c>
      <c r="AY668" s="19" t="s">
        <v>177</v>
      </c>
      <c r="BE668" s="152">
        <f>IF(N668="základní",J668,0)</f>
        <v>0</v>
      </c>
      <c r="BF668" s="152">
        <f>IF(N668="snížená",J668,0)</f>
        <v>0</v>
      </c>
      <c r="BG668" s="152">
        <f>IF(N668="zákl. přenesená",J668,0)</f>
        <v>0</v>
      </c>
      <c r="BH668" s="152">
        <f>IF(N668="sníž. přenesená",J668,0)</f>
        <v>0</v>
      </c>
      <c r="BI668" s="152">
        <f>IF(N668="nulová",J668,0)</f>
        <v>0</v>
      </c>
      <c r="BJ668" s="19" t="s">
        <v>85</v>
      </c>
      <c r="BK668" s="152">
        <f>ROUND(I668*H668,2)</f>
        <v>0</v>
      </c>
      <c r="BL668" s="19" t="s">
        <v>237</v>
      </c>
      <c r="BM668" s="151" t="s">
        <v>2826</v>
      </c>
    </row>
    <row r="669" spans="1:65" s="2" customFormat="1" ht="19.5">
      <c r="A669" s="34"/>
      <c r="B669" s="35"/>
      <c r="C669" s="34"/>
      <c r="D669" s="153" t="s">
        <v>187</v>
      </c>
      <c r="E669" s="34"/>
      <c r="F669" s="154" t="s">
        <v>791</v>
      </c>
      <c r="G669" s="34"/>
      <c r="H669" s="34"/>
      <c r="I669" s="155"/>
      <c r="J669" s="34"/>
      <c r="K669" s="34"/>
      <c r="L669" s="35"/>
      <c r="M669" s="156"/>
      <c r="N669" s="157"/>
      <c r="O669" s="55"/>
      <c r="P669" s="55"/>
      <c r="Q669" s="55"/>
      <c r="R669" s="55"/>
      <c r="S669" s="55"/>
      <c r="T669" s="56"/>
      <c r="U669" s="34"/>
      <c r="V669" s="34"/>
      <c r="W669" s="34"/>
      <c r="X669" s="34"/>
      <c r="Y669" s="34"/>
      <c r="Z669" s="34"/>
      <c r="AA669" s="34"/>
      <c r="AB669" s="34"/>
      <c r="AC669" s="34"/>
      <c r="AD669" s="34"/>
      <c r="AE669" s="34"/>
      <c r="AT669" s="19" t="s">
        <v>187</v>
      </c>
      <c r="AU669" s="19" t="s">
        <v>87</v>
      </c>
    </row>
    <row r="670" spans="1:65" s="2" customFormat="1">
      <c r="A670" s="34"/>
      <c r="B670" s="35"/>
      <c r="C670" s="34"/>
      <c r="D670" s="158" t="s">
        <v>189</v>
      </c>
      <c r="E670" s="34"/>
      <c r="F670" s="159" t="s">
        <v>792</v>
      </c>
      <c r="G670" s="34"/>
      <c r="H670" s="34"/>
      <c r="I670" s="155"/>
      <c r="J670" s="34"/>
      <c r="K670" s="34"/>
      <c r="L670" s="35"/>
      <c r="M670" s="156"/>
      <c r="N670" s="157"/>
      <c r="O670" s="55"/>
      <c r="P670" s="55"/>
      <c r="Q670" s="55"/>
      <c r="R670" s="55"/>
      <c r="S670" s="55"/>
      <c r="T670" s="56"/>
      <c r="U670" s="34"/>
      <c r="V670" s="34"/>
      <c r="W670" s="34"/>
      <c r="X670" s="34"/>
      <c r="Y670" s="34"/>
      <c r="Z670" s="34"/>
      <c r="AA670" s="34"/>
      <c r="AB670" s="34"/>
      <c r="AC670" s="34"/>
      <c r="AD670" s="34"/>
      <c r="AE670" s="34"/>
      <c r="AT670" s="19" t="s">
        <v>189</v>
      </c>
      <c r="AU670" s="19" t="s">
        <v>87</v>
      </c>
    </row>
    <row r="671" spans="1:65" s="2" customFormat="1" ht="78">
      <c r="A671" s="34"/>
      <c r="B671" s="35"/>
      <c r="C671" s="34"/>
      <c r="D671" s="153" t="s">
        <v>191</v>
      </c>
      <c r="E671" s="34"/>
      <c r="F671" s="160" t="s">
        <v>793</v>
      </c>
      <c r="G671" s="34"/>
      <c r="H671" s="34"/>
      <c r="I671" s="155"/>
      <c r="J671" s="34"/>
      <c r="K671" s="34"/>
      <c r="L671" s="35"/>
      <c r="M671" s="156"/>
      <c r="N671" s="157"/>
      <c r="O671" s="55"/>
      <c r="P671" s="55"/>
      <c r="Q671" s="55"/>
      <c r="R671" s="55"/>
      <c r="S671" s="55"/>
      <c r="T671" s="56"/>
      <c r="U671" s="34"/>
      <c r="V671" s="34"/>
      <c r="W671" s="34"/>
      <c r="X671" s="34"/>
      <c r="Y671" s="34"/>
      <c r="Z671" s="34"/>
      <c r="AA671" s="34"/>
      <c r="AB671" s="34"/>
      <c r="AC671" s="34"/>
      <c r="AD671" s="34"/>
      <c r="AE671" s="34"/>
      <c r="AT671" s="19" t="s">
        <v>191</v>
      </c>
      <c r="AU671" s="19" t="s">
        <v>87</v>
      </c>
    </row>
    <row r="672" spans="1:65" s="2" customFormat="1" ht="16.5" customHeight="1">
      <c r="A672" s="34"/>
      <c r="B672" s="139"/>
      <c r="C672" s="140" t="s">
        <v>2827</v>
      </c>
      <c r="D672" s="140" t="s">
        <v>180</v>
      </c>
      <c r="E672" s="141" t="s">
        <v>795</v>
      </c>
      <c r="F672" s="142" t="s">
        <v>796</v>
      </c>
      <c r="G672" s="143" t="s">
        <v>183</v>
      </c>
      <c r="H672" s="144">
        <v>3.9590000000000001</v>
      </c>
      <c r="I672" s="145"/>
      <c r="J672" s="146">
        <f>ROUND(I672*H672,2)</f>
        <v>0</v>
      </c>
      <c r="K672" s="142" t="s">
        <v>184</v>
      </c>
      <c r="L672" s="35"/>
      <c r="M672" s="147" t="s">
        <v>3</v>
      </c>
      <c r="N672" s="148" t="s">
        <v>48</v>
      </c>
      <c r="O672" s="55"/>
      <c r="P672" s="149">
        <f>O672*H672</f>
        <v>0</v>
      </c>
      <c r="Q672" s="149">
        <v>0</v>
      </c>
      <c r="R672" s="149">
        <f>Q672*H672</f>
        <v>0</v>
      </c>
      <c r="S672" s="149">
        <v>0</v>
      </c>
      <c r="T672" s="150">
        <f>S672*H672</f>
        <v>0</v>
      </c>
      <c r="U672" s="34"/>
      <c r="V672" s="34"/>
      <c r="W672" s="34"/>
      <c r="X672" s="34"/>
      <c r="Y672" s="34"/>
      <c r="Z672" s="34"/>
      <c r="AA672" s="34"/>
      <c r="AB672" s="34"/>
      <c r="AC672" s="34"/>
      <c r="AD672" s="34"/>
      <c r="AE672" s="34"/>
      <c r="AR672" s="151" t="s">
        <v>237</v>
      </c>
      <c r="AT672" s="151" t="s">
        <v>180</v>
      </c>
      <c r="AU672" s="151" t="s">
        <v>87</v>
      </c>
      <c r="AY672" s="19" t="s">
        <v>177</v>
      </c>
      <c r="BE672" s="152">
        <f>IF(N672="základní",J672,0)</f>
        <v>0</v>
      </c>
      <c r="BF672" s="152">
        <f>IF(N672="snížená",J672,0)</f>
        <v>0</v>
      </c>
      <c r="BG672" s="152">
        <f>IF(N672="zákl. přenesená",J672,0)</f>
        <v>0</v>
      </c>
      <c r="BH672" s="152">
        <f>IF(N672="sníž. přenesená",J672,0)</f>
        <v>0</v>
      </c>
      <c r="BI672" s="152">
        <f>IF(N672="nulová",J672,0)</f>
        <v>0</v>
      </c>
      <c r="BJ672" s="19" t="s">
        <v>85</v>
      </c>
      <c r="BK672" s="152">
        <f>ROUND(I672*H672,2)</f>
        <v>0</v>
      </c>
      <c r="BL672" s="19" t="s">
        <v>237</v>
      </c>
      <c r="BM672" s="151" t="s">
        <v>2828</v>
      </c>
    </row>
    <row r="673" spans="1:65" s="2" customFormat="1" ht="19.5">
      <c r="A673" s="34"/>
      <c r="B673" s="35"/>
      <c r="C673" s="34"/>
      <c r="D673" s="153" t="s">
        <v>187</v>
      </c>
      <c r="E673" s="34"/>
      <c r="F673" s="154" t="s">
        <v>798</v>
      </c>
      <c r="G673" s="34"/>
      <c r="H673" s="34"/>
      <c r="I673" s="155"/>
      <c r="J673" s="34"/>
      <c r="K673" s="34"/>
      <c r="L673" s="35"/>
      <c r="M673" s="156"/>
      <c r="N673" s="157"/>
      <c r="O673" s="55"/>
      <c r="P673" s="55"/>
      <c r="Q673" s="55"/>
      <c r="R673" s="55"/>
      <c r="S673" s="55"/>
      <c r="T673" s="56"/>
      <c r="U673" s="34"/>
      <c r="V673" s="34"/>
      <c r="W673" s="34"/>
      <c r="X673" s="34"/>
      <c r="Y673" s="34"/>
      <c r="Z673" s="34"/>
      <c r="AA673" s="34"/>
      <c r="AB673" s="34"/>
      <c r="AC673" s="34"/>
      <c r="AD673" s="34"/>
      <c r="AE673" s="34"/>
      <c r="AT673" s="19" t="s">
        <v>187</v>
      </c>
      <c r="AU673" s="19" t="s">
        <v>87</v>
      </c>
    </row>
    <row r="674" spans="1:65" s="2" customFormat="1">
      <c r="A674" s="34"/>
      <c r="B674" s="35"/>
      <c r="C674" s="34"/>
      <c r="D674" s="158" t="s">
        <v>189</v>
      </c>
      <c r="E674" s="34"/>
      <c r="F674" s="159" t="s">
        <v>799</v>
      </c>
      <c r="G674" s="34"/>
      <c r="H674" s="34"/>
      <c r="I674" s="155"/>
      <c r="J674" s="34"/>
      <c r="K674" s="34"/>
      <c r="L674" s="35"/>
      <c r="M674" s="156"/>
      <c r="N674" s="157"/>
      <c r="O674" s="55"/>
      <c r="P674" s="55"/>
      <c r="Q674" s="55"/>
      <c r="R674" s="55"/>
      <c r="S674" s="55"/>
      <c r="T674" s="56"/>
      <c r="U674" s="34"/>
      <c r="V674" s="34"/>
      <c r="W674" s="34"/>
      <c r="X674" s="34"/>
      <c r="Y674" s="34"/>
      <c r="Z674" s="34"/>
      <c r="AA674" s="34"/>
      <c r="AB674" s="34"/>
      <c r="AC674" s="34"/>
      <c r="AD674" s="34"/>
      <c r="AE674" s="34"/>
      <c r="AT674" s="19" t="s">
        <v>189</v>
      </c>
      <c r="AU674" s="19" t="s">
        <v>87</v>
      </c>
    </row>
    <row r="675" spans="1:65" s="2" customFormat="1" ht="78">
      <c r="A675" s="34"/>
      <c r="B675" s="35"/>
      <c r="C675" s="34"/>
      <c r="D675" s="153" t="s">
        <v>191</v>
      </c>
      <c r="E675" s="34"/>
      <c r="F675" s="160" t="s">
        <v>793</v>
      </c>
      <c r="G675" s="34"/>
      <c r="H675" s="34"/>
      <c r="I675" s="155"/>
      <c r="J675" s="34"/>
      <c r="K675" s="34"/>
      <c r="L675" s="35"/>
      <c r="M675" s="156"/>
      <c r="N675" s="157"/>
      <c r="O675" s="55"/>
      <c r="P675" s="55"/>
      <c r="Q675" s="55"/>
      <c r="R675" s="55"/>
      <c r="S675" s="55"/>
      <c r="T675" s="56"/>
      <c r="U675" s="34"/>
      <c r="V675" s="34"/>
      <c r="W675" s="34"/>
      <c r="X675" s="34"/>
      <c r="Y675" s="34"/>
      <c r="Z675" s="34"/>
      <c r="AA675" s="34"/>
      <c r="AB675" s="34"/>
      <c r="AC675" s="34"/>
      <c r="AD675" s="34"/>
      <c r="AE675" s="34"/>
      <c r="AT675" s="19" t="s">
        <v>191</v>
      </c>
      <c r="AU675" s="19" t="s">
        <v>87</v>
      </c>
    </row>
    <row r="676" spans="1:65" s="12" customFormat="1" ht="22.9" customHeight="1">
      <c r="B676" s="126"/>
      <c r="D676" s="127" t="s">
        <v>76</v>
      </c>
      <c r="E676" s="137" t="s">
        <v>231</v>
      </c>
      <c r="F676" s="137" t="s">
        <v>232</v>
      </c>
      <c r="I676" s="129"/>
      <c r="J676" s="138">
        <f>BK676</f>
        <v>0</v>
      </c>
      <c r="L676" s="126"/>
      <c r="M676" s="131"/>
      <c r="N676" s="132"/>
      <c r="O676" s="132"/>
      <c r="P676" s="133">
        <f>SUM(P677:P687)</f>
        <v>0</v>
      </c>
      <c r="Q676" s="132"/>
      <c r="R676" s="133">
        <f>SUM(R677:R687)</f>
        <v>4.8599999999999997E-3</v>
      </c>
      <c r="S676" s="132"/>
      <c r="T676" s="134">
        <f>SUM(T677:T687)</f>
        <v>0</v>
      </c>
      <c r="AR676" s="127" t="s">
        <v>87</v>
      </c>
      <c r="AT676" s="135" t="s">
        <v>76</v>
      </c>
      <c r="AU676" s="135" t="s">
        <v>85</v>
      </c>
      <c r="AY676" s="127" t="s">
        <v>177</v>
      </c>
      <c r="BK676" s="136">
        <f>SUM(BK677:BK687)</f>
        <v>0</v>
      </c>
    </row>
    <row r="677" spans="1:65" s="2" customFormat="1" ht="16.5" customHeight="1">
      <c r="A677" s="34"/>
      <c r="B677" s="139"/>
      <c r="C677" s="140" t="s">
        <v>2829</v>
      </c>
      <c r="D677" s="140" t="s">
        <v>180</v>
      </c>
      <c r="E677" s="141" t="s">
        <v>2830</v>
      </c>
      <c r="F677" s="142" t="s">
        <v>2831</v>
      </c>
      <c r="G677" s="143" t="s">
        <v>236</v>
      </c>
      <c r="H677" s="144">
        <v>2</v>
      </c>
      <c r="I677" s="145"/>
      <c r="J677" s="146">
        <f>ROUND(I677*H677,2)</f>
        <v>0</v>
      </c>
      <c r="K677" s="142" t="s">
        <v>184</v>
      </c>
      <c r="L677" s="35"/>
      <c r="M677" s="147" t="s">
        <v>3</v>
      </c>
      <c r="N677" s="148" t="s">
        <v>48</v>
      </c>
      <c r="O677" s="55"/>
      <c r="P677" s="149">
        <f>O677*H677</f>
        <v>0</v>
      </c>
      <c r="Q677" s="149">
        <v>2.4299999999999999E-3</v>
      </c>
      <c r="R677" s="149">
        <f>Q677*H677</f>
        <v>4.8599999999999997E-3</v>
      </c>
      <c r="S677" s="149">
        <v>0</v>
      </c>
      <c r="T677" s="150">
        <f>S677*H677</f>
        <v>0</v>
      </c>
      <c r="U677" s="34"/>
      <c r="V677" s="34"/>
      <c r="W677" s="34"/>
      <c r="X677" s="34"/>
      <c r="Y677" s="34"/>
      <c r="Z677" s="34"/>
      <c r="AA677" s="34"/>
      <c r="AB677" s="34"/>
      <c r="AC677" s="34"/>
      <c r="AD677" s="34"/>
      <c r="AE677" s="34"/>
      <c r="AR677" s="151" t="s">
        <v>237</v>
      </c>
      <c r="AT677" s="151" t="s">
        <v>180</v>
      </c>
      <c r="AU677" s="151" t="s">
        <v>87</v>
      </c>
      <c r="AY677" s="19" t="s">
        <v>177</v>
      </c>
      <c r="BE677" s="152">
        <f>IF(N677="základní",J677,0)</f>
        <v>0</v>
      </c>
      <c r="BF677" s="152">
        <f>IF(N677="snížená",J677,0)</f>
        <v>0</v>
      </c>
      <c r="BG677" s="152">
        <f>IF(N677="zákl. přenesená",J677,0)</f>
        <v>0</v>
      </c>
      <c r="BH677" s="152">
        <f>IF(N677="sníž. přenesená",J677,0)</f>
        <v>0</v>
      </c>
      <c r="BI677" s="152">
        <f>IF(N677="nulová",J677,0)</f>
        <v>0</v>
      </c>
      <c r="BJ677" s="19" t="s">
        <v>85</v>
      </c>
      <c r="BK677" s="152">
        <f>ROUND(I677*H677,2)</f>
        <v>0</v>
      </c>
      <c r="BL677" s="19" t="s">
        <v>237</v>
      </c>
      <c r="BM677" s="151" t="s">
        <v>2832</v>
      </c>
    </row>
    <row r="678" spans="1:65" s="2" customFormat="1">
      <c r="A678" s="34"/>
      <c r="B678" s="35"/>
      <c r="C678" s="34"/>
      <c r="D678" s="153" t="s">
        <v>187</v>
      </c>
      <c r="E678" s="34"/>
      <c r="F678" s="154" t="s">
        <v>2833</v>
      </c>
      <c r="G678" s="34"/>
      <c r="H678" s="34"/>
      <c r="I678" s="155"/>
      <c r="J678" s="34"/>
      <c r="K678" s="34"/>
      <c r="L678" s="35"/>
      <c r="M678" s="156"/>
      <c r="N678" s="157"/>
      <c r="O678" s="55"/>
      <c r="P678" s="55"/>
      <c r="Q678" s="55"/>
      <c r="R678" s="55"/>
      <c r="S678" s="55"/>
      <c r="T678" s="56"/>
      <c r="U678" s="34"/>
      <c r="V678" s="34"/>
      <c r="W678" s="34"/>
      <c r="X678" s="34"/>
      <c r="Y678" s="34"/>
      <c r="Z678" s="34"/>
      <c r="AA678" s="34"/>
      <c r="AB678" s="34"/>
      <c r="AC678" s="34"/>
      <c r="AD678" s="34"/>
      <c r="AE678" s="34"/>
      <c r="AT678" s="19" t="s">
        <v>187</v>
      </c>
      <c r="AU678" s="19" t="s">
        <v>87</v>
      </c>
    </row>
    <row r="679" spans="1:65" s="2" customFormat="1">
      <c r="A679" s="34"/>
      <c r="B679" s="35"/>
      <c r="C679" s="34"/>
      <c r="D679" s="158" t="s">
        <v>189</v>
      </c>
      <c r="E679" s="34"/>
      <c r="F679" s="159" t="s">
        <v>2834</v>
      </c>
      <c r="G679" s="34"/>
      <c r="H679" s="34"/>
      <c r="I679" s="155"/>
      <c r="J679" s="34"/>
      <c r="K679" s="34"/>
      <c r="L679" s="35"/>
      <c r="M679" s="156"/>
      <c r="N679" s="157"/>
      <c r="O679" s="55"/>
      <c r="P679" s="55"/>
      <c r="Q679" s="55"/>
      <c r="R679" s="55"/>
      <c r="S679" s="55"/>
      <c r="T679" s="56"/>
      <c r="U679" s="34"/>
      <c r="V679" s="34"/>
      <c r="W679" s="34"/>
      <c r="X679" s="34"/>
      <c r="Y679" s="34"/>
      <c r="Z679" s="34"/>
      <c r="AA679" s="34"/>
      <c r="AB679" s="34"/>
      <c r="AC679" s="34"/>
      <c r="AD679" s="34"/>
      <c r="AE679" s="34"/>
      <c r="AT679" s="19" t="s">
        <v>189</v>
      </c>
      <c r="AU679" s="19" t="s">
        <v>87</v>
      </c>
    </row>
    <row r="680" spans="1:65" s="2" customFormat="1" ht="16.5" customHeight="1">
      <c r="A680" s="34"/>
      <c r="B680" s="139"/>
      <c r="C680" s="140" t="s">
        <v>2835</v>
      </c>
      <c r="D680" s="140" t="s">
        <v>180</v>
      </c>
      <c r="E680" s="141" t="s">
        <v>2836</v>
      </c>
      <c r="F680" s="142" t="s">
        <v>2837</v>
      </c>
      <c r="G680" s="143" t="s">
        <v>183</v>
      </c>
      <c r="H680" s="144">
        <v>5.0000000000000001E-3</v>
      </c>
      <c r="I680" s="145"/>
      <c r="J680" s="146">
        <f>ROUND(I680*H680,2)</f>
        <v>0</v>
      </c>
      <c r="K680" s="142" t="s">
        <v>184</v>
      </c>
      <c r="L680" s="35"/>
      <c r="M680" s="147" t="s">
        <v>3</v>
      </c>
      <c r="N680" s="148" t="s">
        <v>48</v>
      </c>
      <c r="O680" s="55"/>
      <c r="P680" s="149">
        <f>O680*H680</f>
        <v>0</v>
      </c>
      <c r="Q680" s="149">
        <v>0</v>
      </c>
      <c r="R680" s="149">
        <f>Q680*H680</f>
        <v>0</v>
      </c>
      <c r="S680" s="149">
        <v>0</v>
      </c>
      <c r="T680" s="150">
        <f>S680*H680</f>
        <v>0</v>
      </c>
      <c r="U680" s="34"/>
      <c r="V680" s="34"/>
      <c r="W680" s="34"/>
      <c r="X680" s="34"/>
      <c r="Y680" s="34"/>
      <c r="Z680" s="34"/>
      <c r="AA680" s="34"/>
      <c r="AB680" s="34"/>
      <c r="AC680" s="34"/>
      <c r="AD680" s="34"/>
      <c r="AE680" s="34"/>
      <c r="AR680" s="151" t="s">
        <v>237</v>
      </c>
      <c r="AT680" s="151" t="s">
        <v>180</v>
      </c>
      <c r="AU680" s="151" t="s">
        <v>87</v>
      </c>
      <c r="AY680" s="19" t="s">
        <v>177</v>
      </c>
      <c r="BE680" s="152">
        <f>IF(N680="základní",J680,0)</f>
        <v>0</v>
      </c>
      <c r="BF680" s="152">
        <f>IF(N680="snížená",J680,0)</f>
        <v>0</v>
      </c>
      <c r="BG680" s="152">
        <f>IF(N680="zákl. přenesená",J680,0)</f>
        <v>0</v>
      </c>
      <c r="BH680" s="152">
        <f>IF(N680="sníž. přenesená",J680,0)</f>
        <v>0</v>
      </c>
      <c r="BI680" s="152">
        <f>IF(N680="nulová",J680,0)</f>
        <v>0</v>
      </c>
      <c r="BJ680" s="19" t="s">
        <v>85</v>
      </c>
      <c r="BK680" s="152">
        <f>ROUND(I680*H680,2)</f>
        <v>0</v>
      </c>
      <c r="BL680" s="19" t="s">
        <v>237</v>
      </c>
      <c r="BM680" s="151" t="s">
        <v>2838</v>
      </c>
    </row>
    <row r="681" spans="1:65" s="2" customFormat="1" ht="19.5">
      <c r="A681" s="34"/>
      <c r="B681" s="35"/>
      <c r="C681" s="34"/>
      <c r="D681" s="153" t="s">
        <v>187</v>
      </c>
      <c r="E681" s="34"/>
      <c r="F681" s="154" t="s">
        <v>2839</v>
      </c>
      <c r="G681" s="34"/>
      <c r="H681" s="34"/>
      <c r="I681" s="155"/>
      <c r="J681" s="34"/>
      <c r="K681" s="34"/>
      <c r="L681" s="35"/>
      <c r="M681" s="156"/>
      <c r="N681" s="157"/>
      <c r="O681" s="55"/>
      <c r="P681" s="55"/>
      <c r="Q681" s="55"/>
      <c r="R681" s="55"/>
      <c r="S681" s="55"/>
      <c r="T681" s="56"/>
      <c r="U681" s="34"/>
      <c r="V681" s="34"/>
      <c r="W681" s="34"/>
      <c r="X681" s="34"/>
      <c r="Y681" s="34"/>
      <c r="Z681" s="34"/>
      <c r="AA681" s="34"/>
      <c r="AB681" s="34"/>
      <c r="AC681" s="34"/>
      <c r="AD681" s="34"/>
      <c r="AE681" s="34"/>
      <c r="AT681" s="19" t="s">
        <v>187</v>
      </c>
      <c r="AU681" s="19" t="s">
        <v>87</v>
      </c>
    </row>
    <row r="682" spans="1:65" s="2" customFormat="1">
      <c r="A682" s="34"/>
      <c r="B682" s="35"/>
      <c r="C682" s="34"/>
      <c r="D682" s="158" t="s">
        <v>189</v>
      </c>
      <c r="E682" s="34"/>
      <c r="F682" s="159" t="s">
        <v>2840</v>
      </c>
      <c r="G682" s="34"/>
      <c r="H682" s="34"/>
      <c r="I682" s="155"/>
      <c r="J682" s="34"/>
      <c r="K682" s="34"/>
      <c r="L682" s="35"/>
      <c r="M682" s="156"/>
      <c r="N682" s="157"/>
      <c r="O682" s="55"/>
      <c r="P682" s="55"/>
      <c r="Q682" s="55"/>
      <c r="R682" s="55"/>
      <c r="S682" s="55"/>
      <c r="T682" s="56"/>
      <c r="U682" s="34"/>
      <c r="V682" s="34"/>
      <c r="W682" s="34"/>
      <c r="X682" s="34"/>
      <c r="Y682" s="34"/>
      <c r="Z682" s="34"/>
      <c r="AA682" s="34"/>
      <c r="AB682" s="34"/>
      <c r="AC682" s="34"/>
      <c r="AD682" s="34"/>
      <c r="AE682" s="34"/>
      <c r="AT682" s="19" t="s">
        <v>189</v>
      </c>
      <c r="AU682" s="19" t="s">
        <v>87</v>
      </c>
    </row>
    <row r="683" spans="1:65" s="2" customFormat="1" ht="78">
      <c r="A683" s="34"/>
      <c r="B683" s="35"/>
      <c r="C683" s="34"/>
      <c r="D683" s="153" t="s">
        <v>191</v>
      </c>
      <c r="E683" s="34"/>
      <c r="F683" s="160" t="s">
        <v>763</v>
      </c>
      <c r="G683" s="34"/>
      <c r="H683" s="34"/>
      <c r="I683" s="155"/>
      <c r="J683" s="34"/>
      <c r="K683" s="34"/>
      <c r="L683" s="35"/>
      <c r="M683" s="156"/>
      <c r="N683" s="157"/>
      <c r="O683" s="55"/>
      <c r="P683" s="55"/>
      <c r="Q683" s="55"/>
      <c r="R683" s="55"/>
      <c r="S683" s="55"/>
      <c r="T683" s="56"/>
      <c r="U683" s="34"/>
      <c r="V683" s="34"/>
      <c r="W683" s="34"/>
      <c r="X683" s="34"/>
      <c r="Y683" s="34"/>
      <c r="Z683" s="34"/>
      <c r="AA683" s="34"/>
      <c r="AB683" s="34"/>
      <c r="AC683" s="34"/>
      <c r="AD683" s="34"/>
      <c r="AE683" s="34"/>
      <c r="AT683" s="19" t="s">
        <v>191</v>
      </c>
      <c r="AU683" s="19" t="s">
        <v>87</v>
      </c>
    </row>
    <row r="684" spans="1:65" s="2" customFormat="1" ht="16.5" customHeight="1">
      <c r="A684" s="34"/>
      <c r="B684" s="139"/>
      <c r="C684" s="140" t="s">
        <v>2841</v>
      </c>
      <c r="D684" s="140" t="s">
        <v>180</v>
      </c>
      <c r="E684" s="141" t="s">
        <v>2842</v>
      </c>
      <c r="F684" s="142" t="s">
        <v>2843</v>
      </c>
      <c r="G684" s="143" t="s">
        <v>183</v>
      </c>
      <c r="H684" s="144">
        <v>5.0000000000000001E-3</v>
      </c>
      <c r="I684" s="145"/>
      <c r="J684" s="146">
        <f>ROUND(I684*H684,2)</f>
        <v>0</v>
      </c>
      <c r="K684" s="142" t="s">
        <v>184</v>
      </c>
      <c r="L684" s="35"/>
      <c r="M684" s="147" t="s">
        <v>3</v>
      </c>
      <c r="N684" s="148" t="s">
        <v>48</v>
      </c>
      <c r="O684" s="55"/>
      <c r="P684" s="149">
        <f>O684*H684</f>
        <v>0</v>
      </c>
      <c r="Q684" s="149">
        <v>0</v>
      </c>
      <c r="R684" s="149">
        <f>Q684*H684</f>
        <v>0</v>
      </c>
      <c r="S684" s="149">
        <v>0</v>
      </c>
      <c r="T684" s="150">
        <f>S684*H684</f>
        <v>0</v>
      </c>
      <c r="U684" s="34"/>
      <c r="V684" s="34"/>
      <c r="W684" s="34"/>
      <c r="X684" s="34"/>
      <c r="Y684" s="34"/>
      <c r="Z684" s="34"/>
      <c r="AA684" s="34"/>
      <c r="AB684" s="34"/>
      <c r="AC684" s="34"/>
      <c r="AD684" s="34"/>
      <c r="AE684" s="34"/>
      <c r="AR684" s="151" t="s">
        <v>237</v>
      </c>
      <c r="AT684" s="151" t="s">
        <v>180</v>
      </c>
      <c r="AU684" s="151" t="s">
        <v>87</v>
      </c>
      <c r="AY684" s="19" t="s">
        <v>177</v>
      </c>
      <c r="BE684" s="152">
        <f>IF(N684="základní",J684,0)</f>
        <v>0</v>
      </c>
      <c r="BF684" s="152">
        <f>IF(N684="snížená",J684,0)</f>
        <v>0</v>
      </c>
      <c r="BG684" s="152">
        <f>IF(N684="zákl. přenesená",J684,0)</f>
        <v>0</v>
      </c>
      <c r="BH684" s="152">
        <f>IF(N684="sníž. přenesená",J684,0)</f>
        <v>0</v>
      </c>
      <c r="BI684" s="152">
        <f>IF(N684="nulová",J684,0)</f>
        <v>0</v>
      </c>
      <c r="BJ684" s="19" t="s">
        <v>85</v>
      </c>
      <c r="BK684" s="152">
        <f>ROUND(I684*H684,2)</f>
        <v>0</v>
      </c>
      <c r="BL684" s="19" t="s">
        <v>237</v>
      </c>
      <c r="BM684" s="151" t="s">
        <v>2844</v>
      </c>
    </row>
    <row r="685" spans="1:65" s="2" customFormat="1" ht="19.5">
      <c r="A685" s="34"/>
      <c r="B685" s="35"/>
      <c r="C685" s="34"/>
      <c r="D685" s="153" t="s">
        <v>187</v>
      </c>
      <c r="E685" s="34"/>
      <c r="F685" s="154" t="s">
        <v>2845</v>
      </c>
      <c r="G685" s="34"/>
      <c r="H685" s="34"/>
      <c r="I685" s="155"/>
      <c r="J685" s="34"/>
      <c r="K685" s="34"/>
      <c r="L685" s="35"/>
      <c r="M685" s="156"/>
      <c r="N685" s="157"/>
      <c r="O685" s="55"/>
      <c r="P685" s="55"/>
      <c r="Q685" s="55"/>
      <c r="R685" s="55"/>
      <c r="S685" s="55"/>
      <c r="T685" s="56"/>
      <c r="U685" s="34"/>
      <c r="V685" s="34"/>
      <c r="W685" s="34"/>
      <c r="X685" s="34"/>
      <c r="Y685" s="34"/>
      <c r="Z685" s="34"/>
      <c r="AA685" s="34"/>
      <c r="AB685" s="34"/>
      <c r="AC685" s="34"/>
      <c r="AD685" s="34"/>
      <c r="AE685" s="34"/>
      <c r="AT685" s="19" t="s">
        <v>187</v>
      </c>
      <c r="AU685" s="19" t="s">
        <v>87</v>
      </c>
    </row>
    <row r="686" spans="1:65" s="2" customFormat="1">
      <c r="A686" s="34"/>
      <c r="B686" s="35"/>
      <c r="C686" s="34"/>
      <c r="D686" s="158" t="s">
        <v>189</v>
      </c>
      <c r="E686" s="34"/>
      <c r="F686" s="159" t="s">
        <v>2846</v>
      </c>
      <c r="G686" s="34"/>
      <c r="H686" s="34"/>
      <c r="I686" s="155"/>
      <c r="J686" s="34"/>
      <c r="K686" s="34"/>
      <c r="L686" s="35"/>
      <c r="M686" s="156"/>
      <c r="N686" s="157"/>
      <c r="O686" s="55"/>
      <c r="P686" s="55"/>
      <c r="Q686" s="55"/>
      <c r="R686" s="55"/>
      <c r="S686" s="55"/>
      <c r="T686" s="56"/>
      <c r="U686" s="34"/>
      <c r="V686" s="34"/>
      <c r="W686" s="34"/>
      <c r="X686" s="34"/>
      <c r="Y686" s="34"/>
      <c r="Z686" s="34"/>
      <c r="AA686" s="34"/>
      <c r="AB686" s="34"/>
      <c r="AC686" s="34"/>
      <c r="AD686" s="34"/>
      <c r="AE686" s="34"/>
      <c r="AT686" s="19" t="s">
        <v>189</v>
      </c>
      <c r="AU686" s="19" t="s">
        <v>87</v>
      </c>
    </row>
    <row r="687" spans="1:65" s="2" customFormat="1" ht="78">
      <c r="A687" s="34"/>
      <c r="B687" s="35"/>
      <c r="C687" s="34"/>
      <c r="D687" s="153" t="s">
        <v>191</v>
      </c>
      <c r="E687" s="34"/>
      <c r="F687" s="160" t="s">
        <v>763</v>
      </c>
      <c r="G687" s="34"/>
      <c r="H687" s="34"/>
      <c r="I687" s="155"/>
      <c r="J687" s="34"/>
      <c r="K687" s="34"/>
      <c r="L687" s="35"/>
      <c r="M687" s="156"/>
      <c r="N687" s="157"/>
      <c r="O687" s="55"/>
      <c r="P687" s="55"/>
      <c r="Q687" s="55"/>
      <c r="R687" s="55"/>
      <c r="S687" s="55"/>
      <c r="T687" s="56"/>
      <c r="U687" s="34"/>
      <c r="V687" s="34"/>
      <c r="W687" s="34"/>
      <c r="X687" s="34"/>
      <c r="Y687" s="34"/>
      <c r="Z687" s="34"/>
      <c r="AA687" s="34"/>
      <c r="AB687" s="34"/>
      <c r="AC687" s="34"/>
      <c r="AD687" s="34"/>
      <c r="AE687" s="34"/>
      <c r="AT687" s="19" t="s">
        <v>191</v>
      </c>
      <c r="AU687" s="19" t="s">
        <v>87</v>
      </c>
    </row>
    <row r="688" spans="1:65" s="12" customFormat="1" ht="22.9" customHeight="1">
      <c r="B688" s="126"/>
      <c r="D688" s="127" t="s">
        <v>76</v>
      </c>
      <c r="E688" s="137" t="s">
        <v>1274</v>
      </c>
      <c r="F688" s="137" t="s">
        <v>1275</v>
      </c>
      <c r="I688" s="129"/>
      <c r="J688" s="138">
        <f>BK688</f>
        <v>0</v>
      </c>
      <c r="L688" s="126"/>
      <c r="M688" s="131"/>
      <c r="N688" s="132"/>
      <c r="O688" s="132"/>
      <c r="P688" s="133">
        <f>SUM(P689:P701)</f>
        <v>0</v>
      </c>
      <c r="Q688" s="132"/>
      <c r="R688" s="133">
        <f>SUM(R689:R701)</f>
        <v>0.67686599999999997</v>
      </c>
      <c r="S688" s="132"/>
      <c r="T688" s="134">
        <f>SUM(T689:T701)</f>
        <v>0</v>
      </c>
      <c r="AR688" s="127" t="s">
        <v>87</v>
      </c>
      <c r="AT688" s="135" t="s">
        <v>76</v>
      </c>
      <c r="AU688" s="135" t="s">
        <v>85</v>
      </c>
      <c r="AY688" s="127" t="s">
        <v>177</v>
      </c>
      <c r="BK688" s="136">
        <f>SUM(BK689:BK701)</f>
        <v>0</v>
      </c>
    </row>
    <row r="689" spans="1:65" s="2" customFormat="1" ht="16.5" customHeight="1">
      <c r="A689" s="34"/>
      <c r="B689" s="139"/>
      <c r="C689" s="140" t="s">
        <v>2847</v>
      </c>
      <c r="D689" s="140" t="s">
        <v>180</v>
      </c>
      <c r="E689" s="141" t="s">
        <v>2848</v>
      </c>
      <c r="F689" s="142" t="s">
        <v>2849</v>
      </c>
      <c r="G689" s="143" t="s">
        <v>332</v>
      </c>
      <c r="H689" s="144">
        <v>48.5</v>
      </c>
      <c r="I689" s="145"/>
      <c r="J689" s="146">
        <f>ROUND(I689*H689,2)</f>
        <v>0</v>
      </c>
      <c r="K689" s="142" t="s">
        <v>184</v>
      </c>
      <c r="L689" s="35"/>
      <c r="M689" s="147" t="s">
        <v>3</v>
      </c>
      <c r="N689" s="148" t="s">
        <v>48</v>
      </c>
      <c r="O689" s="55"/>
      <c r="P689" s="149">
        <f>O689*H689</f>
        <v>0</v>
      </c>
      <c r="Q689" s="149">
        <v>1.3956E-2</v>
      </c>
      <c r="R689" s="149">
        <f>Q689*H689</f>
        <v>0.67686599999999997</v>
      </c>
      <c r="S689" s="149">
        <v>0</v>
      </c>
      <c r="T689" s="150">
        <f>S689*H689</f>
        <v>0</v>
      </c>
      <c r="U689" s="34"/>
      <c r="V689" s="34"/>
      <c r="W689" s="34"/>
      <c r="X689" s="34"/>
      <c r="Y689" s="34"/>
      <c r="Z689" s="34"/>
      <c r="AA689" s="34"/>
      <c r="AB689" s="34"/>
      <c r="AC689" s="34"/>
      <c r="AD689" s="34"/>
      <c r="AE689" s="34"/>
      <c r="AR689" s="151" t="s">
        <v>237</v>
      </c>
      <c r="AT689" s="151" t="s">
        <v>180</v>
      </c>
      <c r="AU689" s="151" t="s">
        <v>87</v>
      </c>
      <c r="AY689" s="19" t="s">
        <v>177</v>
      </c>
      <c r="BE689" s="152">
        <f>IF(N689="základní",J689,0)</f>
        <v>0</v>
      </c>
      <c r="BF689" s="152">
        <f>IF(N689="snížená",J689,0)</f>
        <v>0</v>
      </c>
      <c r="BG689" s="152">
        <f>IF(N689="zákl. přenesená",J689,0)</f>
        <v>0</v>
      </c>
      <c r="BH689" s="152">
        <f>IF(N689="sníž. přenesená",J689,0)</f>
        <v>0</v>
      </c>
      <c r="BI689" s="152">
        <f>IF(N689="nulová",J689,0)</f>
        <v>0</v>
      </c>
      <c r="BJ689" s="19" t="s">
        <v>85</v>
      </c>
      <c r="BK689" s="152">
        <f>ROUND(I689*H689,2)</f>
        <v>0</v>
      </c>
      <c r="BL689" s="19" t="s">
        <v>237</v>
      </c>
      <c r="BM689" s="151" t="s">
        <v>2850</v>
      </c>
    </row>
    <row r="690" spans="1:65" s="2" customFormat="1" ht="19.5">
      <c r="A690" s="34"/>
      <c r="B690" s="35"/>
      <c r="C690" s="34"/>
      <c r="D690" s="153" t="s">
        <v>187</v>
      </c>
      <c r="E690" s="34"/>
      <c r="F690" s="154" t="s">
        <v>2851</v>
      </c>
      <c r="G690" s="34"/>
      <c r="H690" s="34"/>
      <c r="I690" s="155"/>
      <c r="J690" s="34"/>
      <c r="K690" s="34"/>
      <c r="L690" s="35"/>
      <c r="M690" s="156"/>
      <c r="N690" s="157"/>
      <c r="O690" s="55"/>
      <c r="P690" s="55"/>
      <c r="Q690" s="55"/>
      <c r="R690" s="55"/>
      <c r="S690" s="55"/>
      <c r="T690" s="56"/>
      <c r="U690" s="34"/>
      <c r="V690" s="34"/>
      <c r="W690" s="34"/>
      <c r="X690" s="34"/>
      <c r="Y690" s="34"/>
      <c r="Z690" s="34"/>
      <c r="AA690" s="34"/>
      <c r="AB690" s="34"/>
      <c r="AC690" s="34"/>
      <c r="AD690" s="34"/>
      <c r="AE690" s="34"/>
      <c r="AT690" s="19" t="s">
        <v>187</v>
      </c>
      <c r="AU690" s="19" t="s">
        <v>87</v>
      </c>
    </row>
    <row r="691" spans="1:65" s="2" customFormat="1">
      <c r="A691" s="34"/>
      <c r="B691" s="35"/>
      <c r="C691" s="34"/>
      <c r="D691" s="158" t="s">
        <v>189</v>
      </c>
      <c r="E691" s="34"/>
      <c r="F691" s="159" t="s">
        <v>2852</v>
      </c>
      <c r="G691" s="34"/>
      <c r="H691" s="34"/>
      <c r="I691" s="155"/>
      <c r="J691" s="34"/>
      <c r="K691" s="34"/>
      <c r="L691" s="35"/>
      <c r="M691" s="156"/>
      <c r="N691" s="157"/>
      <c r="O691" s="55"/>
      <c r="P691" s="55"/>
      <c r="Q691" s="55"/>
      <c r="R691" s="55"/>
      <c r="S691" s="55"/>
      <c r="T691" s="56"/>
      <c r="U691" s="34"/>
      <c r="V691" s="34"/>
      <c r="W691" s="34"/>
      <c r="X691" s="34"/>
      <c r="Y691" s="34"/>
      <c r="Z691" s="34"/>
      <c r="AA691" s="34"/>
      <c r="AB691" s="34"/>
      <c r="AC691" s="34"/>
      <c r="AD691" s="34"/>
      <c r="AE691" s="34"/>
      <c r="AT691" s="19" t="s">
        <v>189</v>
      </c>
      <c r="AU691" s="19" t="s">
        <v>87</v>
      </c>
    </row>
    <row r="692" spans="1:65" s="2" customFormat="1" ht="29.25">
      <c r="A692" s="34"/>
      <c r="B692" s="35"/>
      <c r="C692" s="34"/>
      <c r="D692" s="153" t="s">
        <v>191</v>
      </c>
      <c r="E692" s="34"/>
      <c r="F692" s="160" t="s">
        <v>2853</v>
      </c>
      <c r="G692" s="34"/>
      <c r="H692" s="34"/>
      <c r="I692" s="155"/>
      <c r="J692" s="34"/>
      <c r="K692" s="34"/>
      <c r="L692" s="35"/>
      <c r="M692" s="156"/>
      <c r="N692" s="157"/>
      <c r="O692" s="55"/>
      <c r="P692" s="55"/>
      <c r="Q692" s="55"/>
      <c r="R692" s="55"/>
      <c r="S692" s="55"/>
      <c r="T692" s="56"/>
      <c r="U692" s="34"/>
      <c r="V692" s="34"/>
      <c r="W692" s="34"/>
      <c r="X692" s="34"/>
      <c r="Y692" s="34"/>
      <c r="Z692" s="34"/>
      <c r="AA692" s="34"/>
      <c r="AB692" s="34"/>
      <c r="AC692" s="34"/>
      <c r="AD692" s="34"/>
      <c r="AE692" s="34"/>
      <c r="AT692" s="19" t="s">
        <v>191</v>
      </c>
      <c r="AU692" s="19" t="s">
        <v>87</v>
      </c>
    </row>
    <row r="693" spans="1:65" s="13" customFormat="1">
      <c r="B693" s="161"/>
      <c r="D693" s="153" t="s">
        <v>193</v>
      </c>
      <c r="E693" s="162" t="s">
        <v>3</v>
      </c>
      <c r="F693" s="163" t="s">
        <v>2854</v>
      </c>
      <c r="H693" s="164">
        <v>48.5</v>
      </c>
      <c r="I693" s="165"/>
      <c r="L693" s="161"/>
      <c r="M693" s="166"/>
      <c r="N693" s="167"/>
      <c r="O693" s="167"/>
      <c r="P693" s="167"/>
      <c r="Q693" s="167"/>
      <c r="R693" s="167"/>
      <c r="S693" s="167"/>
      <c r="T693" s="168"/>
      <c r="AT693" s="162" t="s">
        <v>193</v>
      </c>
      <c r="AU693" s="162" t="s">
        <v>87</v>
      </c>
      <c r="AV693" s="13" t="s">
        <v>87</v>
      </c>
      <c r="AW693" s="13" t="s">
        <v>36</v>
      </c>
      <c r="AX693" s="13" t="s">
        <v>85</v>
      </c>
      <c r="AY693" s="162" t="s">
        <v>177</v>
      </c>
    </row>
    <row r="694" spans="1:65" s="2" customFormat="1" ht="16.5" customHeight="1">
      <c r="A694" s="34"/>
      <c r="B694" s="139"/>
      <c r="C694" s="140" t="s">
        <v>2855</v>
      </c>
      <c r="D694" s="140" t="s">
        <v>180</v>
      </c>
      <c r="E694" s="141" t="s">
        <v>1459</v>
      </c>
      <c r="F694" s="142" t="s">
        <v>1460</v>
      </c>
      <c r="G694" s="143" t="s">
        <v>183</v>
      </c>
      <c r="H694" s="144">
        <v>0.67700000000000005</v>
      </c>
      <c r="I694" s="145"/>
      <c r="J694" s="146">
        <f>ROUND(I694*H694,2)</f>
        <v>0</v>
      </c>
      <c r="K694" s="142" t="s">
        <v>184</v>
      </c>
      <c r="L694" s="35"/>
      <c r="M694" s="147" t="s">
        <v>3</v>
      </c>
      <c r="N694" s="148" t="s">
        <v>48</v>
      </c>
      <c r="O694" s="55"/>
      <c r="P694" s="149">
        <f>O694*H694</f>
        <v>0</v>
      </c>
      <c r="Q694" s="149">
        <v>0</v>
      </c>
      <c r="R694" s="149">
        <f>Q694*H694</f>
        <v>0</v>
      </c>
      <c r="S694" s="149">
        <v>0</v>
      </c>
      <c r="T694" s="150">
        <f>S694*H694</f>
        <v>0</v>
      </c>
      <c r="U694" s="34"/>
      <c r="V694" s="34"/>
      <c r="W694" s="34"/>
      <c r="X694" s="34"/>
      <c r="Y694" s="34"/>
      <c r="Z694" s="34"/>
      <c r="AA694" s="34"/>
      <c r="AB694" s="34"/>
      <c r="AC694" s="34"/>
      <c r="AD694" s="34"/>
      <c r="AE694" s="34"/>
      <c r="AR694" s="151" t="s">
        <v>237</v>
      </c>
      <c r="AT694" s="151" t="s">
        <v>180</v>
      </c>
      <c r="AU694" s="151" t="s">
        <v>87</v>
      </c>
      <c r="AY694" s="19" t="s">
        <v>177</v>
      </c>
      <c r="BE694" s="152">
        <f>IF(N694="základní",J694,0)</f>
        <v>0</v>
      </c>
      <c r="BF694" s="152">
        <f>IF(N694="snížená",J694,0)</f>
        <v>0</v>
      </c>
      <c r="BG694" s="152">
        <f>IF(N694="zákl. přenesená",J694,0)</f>
        <v>0</v>
      </c>
      <c r="BH694" s="152">
        <f>IF(N694="sníž. přenesená",J694,0)</f>
        <v>0</v>
      </c>
      <c r="BI694" s="152">
        <f>IF(N694="nulová",J694,0)</f>
        <v>0</v>
      </c>
      <c r="BJ694" s="19" t="s">
        <v>85</v>
      </c>
      <c r="BK694" s="152">
        <f>ROUND(I694*H694,2)</f>
        <v>0</v>
      </c>
      <c r="BL694" s="19" t="s">
        <v>237</v>
      </c>
      <c r="BM694" s="151" t="s">
        <v>2856</v>
      </c>
    </row>
    <row r="695" spans="1:65" s="2" customFormat="1" ht="19.5">
      <c r="A695" s="34"/>
      <c r="B695" s="35"/>
      <c r="C695" s="34"/>
      <c r="D695" s="153" t="s">
        <v>187</v>
      </c>
      <c r="E695" s="34"/>
      <c r="F695" s="154" t="s">
        <v>1462</v>
      </c>
      <c r="G695" s="34"/>
      <c r="H695" s="34"/>
      <c r="I695" s="155"/>
      <c r="J695" s="34"/>
      <c r="K695" s="34"/>
      <c r="L695" s="35"/>
      <c r="M695" s="156"/>
      <c r="N695" s="157"/>
      <c r="O695" s="55"/>
      <c r="P695" s="55"/>
      <c r="Q695" s="55"/>
      <c r="R695" s="55"/>
      <c r="S695" s="55"/>
      <c r="T695" s="56"/>
      <c r="U695" s="34"/>
      <c r="V695" s="34"/>
      <c r="W695" s="34"/>
      <c r="X695" s="34"/>
      <c r="Y695" s="34"/>
      <c r="Z695" s="34"/>
      <c r="AA695" s="34"/>
      <c r="AB695" s="34"/>
      <c r="AC695" s="34"/>
      <c r="AD695" s="34"/>
      <c r="AE695" s="34"/>
      <c r="AT695" s="19" t="s">
        <v>187</v>
      </c>
      <c r="AU695" s="19" t="s">
        <v>87</v>
      </c>
    </row>
    <row r="696" spans="1:65" s="2" customFormat="1">
      <c r="A696" s="34"/>
      <c r="B696" s="35"/>
      <c r="C696" s="34"/>
      <c r="D696" s="158" t="s">
        <v>189</v>
      </c>
      <c r="E696" s="34"/>
      <c r="F696" s="159" t="s">
        <v>1463</v>
      </c>
      <c r="G696" s="34"/>
      <c r="H696" s="34"/>
      <c r="I696" s="155"/>
      <c r="J696" s="34"/>
      <c r="K696" s="34"/>
      <c r="L696" s="35"/>
      <c r="M696" s="156"/>
      <c r="N696" s="157"/>
      <c r="O696" s="55"/>
      <c r="P696" s="55"/>
      <c r="Q696" s="55"/>
      <c r="R696" s="55"/>
      <c r="S696" s="55"/>
      <c r="T696" s="56"/>
      <c r="U696" s="34"/>
      <c r="V696" s="34"/>
      <c r="W696" s="34"/>
      <c r="X696" s="34"/>
      <c r="Y696" s="34"/>
      <c r="Z696" s="34"/>
      <c r="AA696" s="34"/>
      <c r="AB696" s="34"/>
      <c r="AC696" s="34"/>
      <c r="AD696" s="34"/>
      <c r="AE696" s="34"/>
      <c r="AT696" s="19" t="s">
        <v>189</v>
      </c>
      <c r="AU696" s="19" t="s">
        <v>87</v>
      </c>
    </row>
    <row r="697" spans="1:65" s="2" customFormat="1" ht="78">
      <c r="A697" s="34"/>
      <c r="B697" s="35"/>
      <c r="C697" s="34"/>
      <c r="D697" s="153" t="s">
        <v>191</v>
      </c>
      <c r="E697" s="34"/>
      <c r="F697" s="160" t="s">
        <v>1440</v>
      </c>
      <c r="G697" s="34"/>
      <c r="H697" s="34"/>
      <c r="I697" s="155"/>
      <c r="J697" s="34"/>
      <c r="K697" s="34"/>
      <c r="L697" s="35"/>
      <c r="M697" s="156"/>
      <c r="N697" s="157"/>
      <c r="O697" s="55"/>
      <c r="P697" s="55"/>
      <c r="Q697" s="55"/>
      <c r="R697" s="55"/>
      <c r="S697" s="55"/>
      <c r="T697" s="56"/>
      <c r="U697" s="34"/>
      <c r="V697" s="34"/>
      <c r="W697" s="34"/>
      <c r="X697" s="34"/>
      <c r="Y697" s="34"/>
      <c r="Z697" s="34"/>
      <c r="AA697" s="34"/>
      <c r="AB697" s="34"/>
      <c r="AC697" s="34"/>
      <c r="AD697" s="34"/>
      <c r="AE697" s="34"/>
      <c r="AT697" s="19" t="s">
        <v>191</v>
      </c>
      <c r="AU697" s="19" t="s">
        <v>87</v>
      </c>
    </row>
    <row r="698" spans="1:65" s="2" customFormat="1" ht="16.5" customHeight="1">
      <c r="A698" s="34"/>
      <c r="B698" s="139"/>
      <c r="C698" s="140" t="s">
        <v>2857</v>
      </c>
      <c r="D698" s="140" t="s">
        <v>180</v>
      </c>
      <c r="E698" s="141" t="s">
        <v>1464</v>
      </c>
      <c r="F698" s="142" t="s">
        <v>1465</v>
      </c>
      <c r="G698" s="143" t="s">
        <v>183</v>
      </c>
      <c r="H698" s="144">
        <v>0.67700000000000005</v>
      </c>
      <c r="I698" s="145"/>
      <c r="J698" s="146">
        <f>ROUND(I698*H698,2)</f>
        <v>0</v>
      </c>
      <c r="K698" s="142" t="s">
        <v>184</v>
      </c>
      <c r="L698" s="35"/>
      <c r="M698" s="147" t="s">
        <v>3</v>
      </c>
      <c r="N698" s="148" t="s">
        <v>48</v>
      </c>
      <c r="O698" s="55"/>
      <c r="P698" s="149">
        <f>O698*H698</f>
        <v>0</v>
      </c>
      <c r="Q698" s="149">
        <v>0</v>
      </c>
      <c r="R698" s="149">
        <f>Q698*H698</f>
        <v>0</v>
      </c>
      <c r="S698" s="149">
        <v>0</v>
      </c>
      <c r="T698" s="150">
        <f>S698*H698</f>
        <v>0</v>
      </c>
      <c r="U698" s="34"/>
      <c r="V698" s="34"/>
      <c r="W698" s="34"/>
      <c r="X698" s="34"/>
      <c r="Y698" s="34"/>
      <c r="Z698" s="34"/>
      <c r="AA698" s="34"/>
      <c r="AB698" s="34"/>
      <c r="AC698" s="34"/>
      <c r="AD698" s="34"/>
      <c r="AE698" s="34"/>
      <c r="AR698" s="151" t="s">
        <v>237</v>
      </c>
      <c r="AT698" s="151" t="s">
        <v>180</v>
      </c>
      <c r="AU698" s="151" t="s">
        <v>87</v>
      </c>
      <c r="AY698" s="19" t="s">
        <v>177</v>
      </c>
      <c r="BE698" s="152">
        <f>IF(N698="základní",J698,0)</f>
        <v>0</v>
      </c>
      <c r="BF698" s="152">
        <f>IF(N698="snížená",J698,0)</f>
        <v>0</v>
      </c>
      <c r="BG698" s="152">
        <f>IF(N698="zákl. přenesená",J698,0)</f>
        <v>0</v>
      </c>
      <c r="BH698" s="152">
        <f>IF(N698="sníž. přenesená",J698,0)</f>
        <v>0</v>
      </c>
      <c r="BI698" s="152">
        <f>IF(N698="nulová",J698,0)</f>
        <v>0</v>
      </c>
      <c r="BJ698" s="19" t="s">
        <v>85</v>
      </c>
      <c r="BK698" s="152">
        <f>ROUND(I698*H698,2)</f>
        <v>0</v>
      </c>
      <c r="BL698" s="19" t="s">
        <v>237</v>
      </c>
      <c r="BM698" s="151" t="s">
        <v>2858</v>
      </c>
    </row>
    <row r="699" spans="1:65" s="2" customFormat="1" ht="19.5">
      <c r="A699" s="34"/>
      <c r="B699" s="35"/>
      <c r="C699" s="34"/>
      <c r="D699" s="153" t="s">
        <v>187</v>
      </c>
      <c r="E699" s="34"/>
      <c r="F699" s="154" t="s">
        <v>1467</v>
      </c>
      <c r="G699" s="34"/>
      <c r="H699" s="34"/>
      <c r="I699" s="155"/>
      <c r="J699" s="34"/>
      <c r="K699" s="34"/>
      <c r="L699" s="35"/>
      <c r="M699" s="156"/>
      <c r="N699" s="157"/>
      <c r="O699" s="55"/>
      <c r="P699" s="55"/>
      <c r="Q699" s="55"/>
      <c r="R699" s="55"/>
      <c r="S699" s="55"/>
      <c r="T699" s="56"/>
      <c r="U699" s="34"/>
      <c r="V699" s="34"/>
      <c r="W699" s="34"/>
      <c r="X699" s="34"/>
      <c r="Y699" s="34"/>
      <c r="Z699" s="34"/>
      <c r="AA699" s="34"/>
      <c r="AB699" s="34"/>
      <c r="AC699" s="34"/>
      <c r="AD699" s="34"/>
      <c r="AE699" s="34"/>
      <c r="AT699" s="19" t="s">
        <v>187</v>
      </c>
      <c r="AU699" s="19" t="s">
        <v>87</v>
      </c>
    </row>
    <row r="700" spans="1:65" s="2" customFormat="1">
      <c r="A700" s="34"/>
      <c r="B700" s="35"/>
      <c r="C700" s="34"/>
      <c r="D700" s="158" t="s">
        <v>189</v>
      </c>
      <c r="E700" s="34"/>
      <c r="F700" s="159" t="s">
        <v>1468</v>
      </c>
      <c r="G700" s="34"/>
      <c r="H700" s="34"/>
      <c r="I700" s="155"/>
      <c r="J700" s="34"/>
      <c r="K700" s="34"/>
      <c r="L700" s="35"/>
      <c r="M700" s="156"/>
      <c r="N700" s="157"/>
      <c r="O700" s="55"/>
      <c r="P700" s="55"/>
      <c r="Q700" s="55"/>
      <c r="R700" s="55"/>
      <c r="S700" s="55"/>
      <c r="T700" s="56"/>
      <c r="U700" s="34"/>
      <c r="V700" s="34"/>
      <c r="W700" s="34"/>
      <c r="X700" s="34"/>
      <c r="Y700" s="34"/>
      <c r="Z700" s="34"/>
      <c r="AA700" s="34"/>
      <c r="AB700" s="34"/>
      <c r="AC700" s="34"/>
      <c r="AD700" s="34"/>
      <c r="AE700" s="34"/>
      <c r="AT700" s="19" t="s">
        <v>189</v>
      </c>
      <c r="AU700" s="19" t="s">
        <v>87</v>
      </c>
    </row>
    <row r="701" spans="1:65" s="2" customFormat="1" ht="78">
      <c r="A701" s="34"/>
      <c r="B701" s="35"/>
      <c r="C701" s="34"/>
      <c r="D701" s="153" t="s">
        <v>191</v>
      </c>
      <c r="E701" s="34"/>
      <c r="F701" s="160" t="s">
        <v>1440</v>
      </c>
      <c r="G701" s="34"/>
      <c r="H701" s="34"/>
      <c r="I701" s="155"/>
      <c r="J701" s="34"/>
      <c r="K701" s="34"/>
      <c r="L701" s="35"/>
      <c r="M701" s="156"/>
      <c r="N701" s="157"/>
      <c r="O701" s="55"/>
      <c r="P701" s="55"/>
      <c r="Q701" s="55"/>
      <c r="R701" s="55"/>
      <c r="S701" s="55"/>
      <c r="T701" s="56"/>
      <c r="U701" s="34"/>
      <c r="V701" s="34"/>
      <c r="W701" s="34"/>
      <c r="X701" s="34"/>
      <c r="Y701" s="34"/>
      <c r="Z701" s="34"/>
      <c r="AA701" s="34"/>
      <c r="AB701" s="34"/>
      <c r="AC701" s="34"/>
      <c r="AD701" s="34"/>
      <c r="AE701" s="34"/>
      <c r="AT701" s="19" t="s">
        <v>191</v>
      </c>
      <c r="AU701" s="19" t="s">
        <v>87</v>
      </c>
    </row>
    <row r="702" spans="1:65" s="12" customFormat="1" ht="22.9" customHeight="1">
      <c r="B702" s="126"/>
      <c r="D702" s="127" t="s">
        <v>76</v>
      </c>
      <c r="E702" s="137" t="s">
        <v>1290</v>
      </c>
      <c r="F702" s="137" t="s">
        <v>1291</v>
      </c>
      <c r="I702" s="129"/>
      <c r="J702" s="138">
        <f>BK702</f>
        <v>0</v>
      </c>
      <c r="L702" s="126"/>
      <c r="M702" s="131"/>
      <c r="N702" s="132"/>
      <c r="O702" s="132"/>
      <c r="P702" s="133">
        <f>SUM(P703:P735)</f>
        <v>0</v>
      </c>
      <c r="Q702" s="132"/>
      <c r="R702" s="133">
        <f>SUM(R703:R735)</f>
        <v>0.72484209219999984</v>
      </c>
      <c r="S702" s="132"/>
      <c r="T702" s="134">
        <f>SUM(T703:T735)</f>
        <v>0</v>
      </c>
      <c r="AR702" s="127" t="s">
        <v>87</v>
      </c>
      <c r="AT702" s="135" t="s">
        <v>76</v>
      </c>
      <c r="AU702" s="135" t="s">
        <v>85</v>
      </c>
      <c r="AY702" s="127" t="s">
        <v>177</v>
      </c>
      <c r="BK702" s="136">
        <f>SUM(BK703:BK735)</f>
        <v>0</v>
      </c>
    </row>
    <row r="703" spans="1:65" s="2" customFormat="1" ht="21.75" customHeight="1">
      <c r="A703" s="34"/>
      <c r="B703" s="139"/>
      <c r="C703" s="140" t="s">
        <v>2859</v>
      </c>
      <c r="D703" s="140" t="s">
        <v>180</v>
      </c>
      <c r="E703" s="141" t="s">
        <v>2860</v>
      </c>
      <c r="F703" s="142" t="s">
        <v>2861</v>
      </c>
      <c r="G703" s="143" t="s">
        <v>476</v>
      </c>
      <c r="H703" s="144">
        <v>9.6999999999999993</v>
      </c>
      <c r="I703" s="145"/>
      <c r="J703" s="146">
        <f>ROUND(I703*H703,2)</f>
        <v>0</v>
      </c>
      <c r="K703" s="142" t="s">
        <v>244</v>
      </c>
      <c r="L703" s="35"/>
      <c r="M703" s="147" t="s">
        <v>3</v>
      </c>
      <c r="N703" s="148" t="s">
        <v>48</v>
      </c>
      <c r="O703" s="55"/>
      <c r="P703" s="149">
        <f>O703*H703</f>
        <v>0</v>
      </c>
      <c r="Q703" s="149">
        <v>4.5900000000000003E-3</v>
      </c>
      <c r="R703" s="149">
        <f>Q703*H703</f>
        <v>4.4523E-2</v>
      </c>
      <c r="S703" s="149">
        <v>0</v>
      </c>
      <c r="T703" s="150">
        <f>S703*H703</f>
        <v>0</v>
      </c>
      <c r="U703" s="34"/>
      <c r="V703" s="34"/>
      <c r="W703" s="34"/>
      <c r="X703" s="34"/>
      <c r="Y703" s="34"/>
      <c r="Z703" s="34"/>
      <c r="AA703" s="34"/>
      <c r="AB703" s="34"/>
      <c r="AC703" s="34"/>
      <c r="AD703" s="34"/>
      <c r="AE703" s="34"/>
      <c r="AR703" s="151" t="s">
        <v>237</v>
      </c>
      <c r="AT703" s="151" t="s">
        <v>180</v>
      </c>
      <c r="AU703" s="151" t="s">
        <v>87</v>
      </c>
      <c r="AY703" s="19" t="s">
        <v>177</v>
      </c>
      <c r="BE703" s="152">
        <f>IF(N703="základní",J703,0)</f>
        <v>0</v>
      </c>
      <c r="BF703" s="152">
        <f>IF(N703="snížená",J703,0)</f>
        <v>0</v>
      </c>
      <c r="BG703" s="152">
        <f>IF(N703="zákl. přenesená",J703,0)</f>
        <v>0</v>
      </c>
      <c r="BH703" s="152">
        <f>IF(N703="sníž. přenesená",J703,0)</f>
        <v>0</v>
      </c>
      <c r="BI703" s="152">
        <f>IF(N703="nulová",J703,0)</f>
        <v>0</v>
      </c>
      <c r="BJ703" s="19" t="s">
        <v>85</v>
      </c>
      <c r="BK703" s="152">
        <f>ROUND(I703*H703,2)</f>
        <v>0</v>
      </c>
      <c r="BL703" s="19" t="s">
        <v>237</v>
      </c>
      <c r="BM703" s="151" t="s">
        <v>2862</v>
      </c>
    </row>
    <row r="704" spans="1:65" s="2" customFormat="1">
      <c r="A704" s="34"/>
      <c r="B704" s="35"/>
      <c r="C704" s="34"/>
      <c r="D704" s="153" t="s">
        <v>187</v>
      </c>
      <c r="E704" s="34"/>
      <c r="F704" s="154" t="s">
        <v>2863</v>
      </c>
      <c r="G704" s="34"/>
      <c r="H704" s="34"/>
      <c r="I704" s="155"/>
      <c r="J704" s="34"/>
      <c r="K704" s="34"/>
      <c r="L704" s="35"/>
      <c r="M704" s="156"/>
      <c r="N704" s="157"/>
      <c r="O704" s="55"/>
      <c r="P704" s="55"/>
      <c r="Q704" s="55"/>
      <c r="R704" s="55"/>
      <c r="S704" s="55"/>
      <c r="T704" s="56"/>
      <c r="U704" s="34"/>
      <c r="V704" s="34"/>
      <c r="W704" s="34"/>
      <c r="X704" s="34"/>
      <c r="Y704" s="34"/>
      <c r="Z704" s="34"/>
      <c r="AA704" s="34"/>
      <c r="AB704" s="34"/>
      <c r="AC704" s="34"/>
      <c r="AD704" s="34"/>
      <c r="AE704" s="34"/>
      <c r="AT704" s="19" t="s">
        <v>187</v>
      </c>
      <c r="AU704" s="19" t="s">
        <v>87</v>
      </c>
    </row>
    <row r="705" spans="1:65" s="2" customFormat="1" ht="39">
      <c r="A705" s="34"/>
      <c r="B705" s="35"/>
      <c r="C705" s="34"/>
      <c r="D705" s="153" t="s">
        <v>191</v>
      </c>
      <c r="E705" s="34"/>
      <c r="F705" s="160" t="s">
        <v>2864</v>
      </c>
      <c r="G705" s="34"/>
      <c r="H705" s="34"/>
      <c r="I705" s="155"/>
      <c r="J705" s="34"/>
      <c r="K705" s="34"/>
      <c r="L705" s="35"/>
      <c r="M705" s="156"/>
      <c r="N705" s="157"/>
      <c r="O705" s="55"/>
      <c r="P705" s="55"/>
      <c r="Q705" s="55"/>
      <c r="R705" s="55"/>
      <c r="S705" s="55"/>
      <c r="T705" s="56"/>
      <c r="U705" s="34"/>
      <c r="V705" s="34"/>
      <c r="W705" s="34"/>
      <c r="X705" s="34"/>
      <c r="Y705" s="34"/>
      <c r="Z705" s="34"/>
      <c r="AA705" s="34"/>
      <c r="AB705" s="34"/>
      <c r="AC705" s="34"/>
      <c r="AD705" s="34"/>
      <c r="AE705" s="34"/>
      <c r="AT705" s="19" t="s">
        <v>191</v>
      </c>
      <c r="AU705" s="19" t="s">
        <v>87</v>
      </c>
    </row>
    <row r="706" spans="1:65" s="14" customFormat="1">
      <c r="B706" s="169"/>
      <c r="D706" s="153" t="s">
        <v>193</v>
      </c>
      <c r="E706" s="170" t="s">
        <v>3</v>
      </c>
      <c r="F706" s="171" t="s">
        <v>2865</v>
      </c>
      <c r="H706" s="170" t="s">
        <v>3</v>
      </c>
      <c r="I706" s="172"/>
      <c r="L706" s="169"/>
      <c r="M706" s="173"/>
      <c r="N706" s="174"/>
      <c r="O706" s="174"/>
      <c r="P706" s="174"/>
      <c r="Q706" s="174"/>
      <c r="R706" s="174"/>
      <c r="S706" s="174"/>
      <c r="T706" s="175"/>
      <c r="AT706" s="170" t="s">
        <v>193</v>
      </c>
      <c r="AU706" s="170" t="s">
        <v>87</v>
      </c>
      <c r="AV706" s="14" t="s">
        <v>85</v>
      </c>
      <c r="AW706" s="14" t="s">
        <v>36</v>
      </c>
      <c r="AX706" s="14" t="s">
        <v>77</v>
      </c>
      <c r="AY706" s="170" t="s">
        <v>177</v>
      </c>
    </row>
    <row r="707" spans="1:65" s="13" customFormat="1">
      <c r="B707" s="161"/>
      <c r="D707" s="153" t="s">
        <v>193</v>
      </c>
      <c r="E707" s="162" t="s">
        <v>3</v>
      </c>
      <c r="F707" s="163" t="s">
        <v>2866</v>
      </c>
      <c r="H707" s="164">
        <v>9.6999999999999993</v>
      </c>
      <c r="I707" s="165"/>
      <c r="L707" s="161"/>
      <c r="M707" s="166"/>
      <c r="N707" s="167"/>
      <c r="O707" s="167"/>
      <c r="P707" s="167"/>
      <c r="Q707" s="167"/>
      <c r="R707" s="167"/>
      <c r="S707" s="167"/>
      <c r="T707" s="168"/>
      <c r="AT707" s="162" t="s">
        <v>193</v>
      </c>
      <c r="AU707" s="162" t="s">
        <v>87</v>
      </c>
      <c r="AV707" s="13" t="s">
        <v>87</v>
      </c>
      <c r="AW707" s="13" t="s">
        <v>36</v>
      </c>
      <c r="AX707" s="13" t="s">
        <v>85</v>
      </c>
      <c r="AY707" s="162" t="s">
        <v>177</v>
      </c>
    </row>
    <row r="708" spans="1:65" s="2" customFormat="1" ht="16.5" customHeight="1">
      <c r="A708" s="34"/>
      <c r="B708" s="139"/>
      <c r="C708" s="140" t="s">
        <v>2867</v>
      </c>
      <c r="D708" s="140" t="s">
        <v>180</v>
      </c>
      <c r="E708" s="141" t="s">
        <v>2868</v>
      </c>
      <c r="F708" s="142" t="s">
        <v>2869</v>
      </c>
      <c r="G708" s="143" t="s">
        <v>476</v>
      </c>
      <c r="H708" s="144">
        <v>77.599999999999994</v>
      </c>
      <c r="I708" s="145"/>
      <c r="J708" s="146">
        <f>ROUND(I708*H708,2)</f>
        <v>0</v>
      </c>
      <c r="K708" s="142" t="s">
        <v>184</v>
      </c>
      <c r="L708" s="35"/>
      <c r="M708" s="147" t="s">
        <v>3</v>
      </c>
      <c r="N708" s="148" t="s">
        <v>48</v>
      </c>
      <c r="O708" s="55"/>
      <c r="P708" s="149">
        <f>O708*H708</f>
        <v>0</v>
      </c>
      <c r="Q708" s="149">
        <v>5.79935E-3</v>
      </c>
      <c r="R708" s="149">
        <f>Q708*H708</f>
        <v>0.45002955999999994</v>
      </c>
      <c r="S708" s="149">
        <v>0</v>
      </c>
      <c r="T708" s="150">
        <f>S708*H708</f>
        <v>0</v>
      </c>
      <c r="U708" s="34"/>
      <c r="V708" s="34"/>
      <c r="W708" s="34"/>
      <c r="X708" s="34"/>
      <c r="Y708" s="34"/>
      <c r="Z708" s="34"/>
      <c r="AA708" s="34"/>
      <c r="AB708" s="34"/>
      <c r="AC708" s="34"/>
      <c r="AD708" s="34"/>
      <c r="AE708" s="34"/>
      <c r="AR708" s="151" t="s">
        <v>237</v>
      </c>
      <c r="AT708" s="151" t="s">
        <v>180</v>
      </c>
      <c r="AU708" s="151" t="s">
        <v>87</v>
      </c>
      <c r="AY708" s="19" t="s">
        <v>177</v>
      </c>
      <c r="BE708" s="152">
        <f>IF(N708="základní",J708,0)</f>
        <v>0</v>
      </c>
      <c r="BF708" s="152">
        <f>IF(N708="snížená",J708,0)</f>
        <v>0</v>
      </c>
      <c r="BG708" s="152">
        <f>IF(N708="zákl. přenesená",J708,0)</f>
        <v>0</v>
      </c>
      <c r="BH708" s="152">
        <f>IF(N708="sníž. přenesená",J708,0)</f>
        <v>0</v>
      </c>
      <c r="BI708" s="152">
        <f>IF(N708="nulová",J708,0)</f>
        <v>0</v>
      </c>
      <c r="BJ708" s="19" t="s">
        <v>85</v>
      </c>
      <c r="BK708" s="152">
        <f>ROUND(I708*H708,2)</f>
        <v>0</v>
      </c>
      <c r="BL708" s="19" t="s">
        <v>237</v>
      </c>
      <c r="BM708" s="151" t="s">
        <v>2870</v>
      </c>
    </row>
    <row r="709" spans="1:65" s="2" customFormat="1">
      <c r="A709" s="34"/>
      <c r="B709" s="35"/>
      <c r="C709" s="34"/>
      <c r="D709" s="153" t="s">
        <v>187</v>
      </c>
      <c r="E709" s="34"/>
      <c r="F709" s="154" t="s">
        <v>2871</v>
      </c>
      <c r="G709" s="34"/>
      <c r="H709" s="34"/>
      <c r="I709" s="155"/>
      <c r="J709" s="34"/>
      <c r="K709" s="34"/>
      <c r="L709" s="35"/>
      <c r="M709" s="156"/>
      <c r="N709" s="157"/>
      <c r="O709" s="55"/>
      <c r="P709" s="55"/>
      <c r="Q709" s="55"/>
      <c r="R709" s="55"/>
      <c r="S709" s="55"/>
      <c r="T709" s="56"/>
      <c r="U709" s="34"/>
      <c r="V709" s="34"/>
      <c r="W709" s="34"/>
      <c r="X709" s="34"/>
      <c r="Y709" s="34"/>
      <c r="Z709" s="34"/>
      <c r="AA709" s="34"/>
      <c r="AB709" s="34"/>
      <c r="AC709" s="34"/>
      <c r="AD709" s="34"/>
      <c r="AE709" s="34"/>
      <c r="AT709" s="19" t="s">
        <v>187</v>
      </c>
      <c r="AU709" s="19" t="s">
        <v>87</v>
      </c>
    </row>
    <row r="710" spans="1:65" s="2" customFormat="1">
      <c r="A710" s="34"/>
      <c r="B710" s="35"/>
      <c r="C710" s="34"/>
      <c r="D710" s="158" t="s">
        <v>189</v>
      </c>
      <c r="E710" s="34"/>
      <c r="F710" s="159" t="s">
        <v>2872</v>
      </c>
      <c r="G710" s="34"/>
      <c r="H710" s="34"/>
      <c r="I710" s="155"/>
      <c r="J710" s="34"/>
      <c r="K710" s="34"/>
      <c r="L710" s="35"/>
      <c r="M710" s="156"/>
      <c r="N710" s="157"/>
      <c r="O710" s="55"/>
      <c r="P710" s="55"/>
      <c r="Q710" s="55"/>
      <c r="R710" s="55"/>
      <c r="S710" s="55"/>
      <c r="T710" s="56"/>
      <c r="U710" s="34"/>
      <c r="V710" s="34"/>
      <c r="W710" s="34"/>
      <c r="X710" s="34"/>
      <c r="Y710" s="34"/>
      <c r="Z710" s="34"/>
      <c r="AA710" s="34"/>
      <c r="AB710" s="34"/>
      <c r="AC710" s="34"/>
      <c r="AD710" s="34"/>
      <c r="AE710" s="34"/>
      <c r="AT710" s="19" t="s">
        <v>189</v>
      </c>
      <c r="AU710" s="19" t="s">
        <v>87</v>
      </c>
    </row>
    <row r="711" spans="1:65" s="2" customFormat="1" ht="39">
      <c r="A711" s="34"/>
      <c r="B711" s="35"/>
      <c r="C711" s="34"/>
      <c r="D711" s="153" t="s">
        <v>191</v>
      </c>
      <c r="E711" s="34"/>
      <c r="F711" s="160" t="s">
        <v>2873</v>
      </c>
      <c r="G711" s="34"/>
      <c r="H711" s="34"/>
      <c r="I711" s="155"/>
      <c r="J711" s="34"/>
      <c r="K711" s="34"/>
      <c r="L711" s="35"/>
      <c r="M711" s="156"/>
      <c r="N711" s="157"/>
      <c r="O711" s="55"/>
      <c r="P711" s="55"/>
      <c r="Q711" s="55"/>
      <c r="R711" s="55"/>
      <c r="S711" s="55"/>
      <c r="T711" s="56"/>
      <c r="U711" s="34"/>
      <c r="V711" s="34"/>
      <c r="W711" s="34"/>
      <c r="X711" s="34"/>
      <c r="Y711" s="34"/>
      <c r="Z711" s="34"/>
      <c r="AA711" s="34"/>
      <c r="AB711" s="34"/>
      <c r="AC711" s="34"/>
      <c r="AD711" s="34"/>
      <c r="AE711" s="34"/>
      <c r="AT711" s="19" t="s">
        <v>191</v>
      </c>
      <c r="AU711" s="19" t="s">
        <v>87</v>
      </c>
    </row>
    <row r="712" spans="1:65" s="14" customFormat="1">
      <c r="B712" s="169"/>
      <c r="D712" s="153" t="s">
        <v>193</v>
      </c>
      <c r="E712" s="170" t="s">
        <v>3</v>
      </c>
      <c r="F712" s="171" t="s">
        <v>2874</v>
      </c>
      <c r="H712" s="170" t="s">
        <v>3</v>
      </c>
      <c r="I712" s="172"/>
      <c r="L712" s="169"/>
      <c r="M712" s="173"/>
      <c r="N712" s="174"/>
      <c r="O712" s="174"/>
      <c r="P712" s="174"/>
      <c r="Q712" s="174"/>
      <c r="R712" s="174"/>
      <c r="S712" s="174"/>
      <c r="T712" s="175"/>
      <c r="AT712" s="170" t="s">
        <v>193</v>
      </c>
      <c r="AU712" s="170" t="s">
        <v>87</v>
      </c>
      <c r="AV712" s="14" t="s">
        <v>85</v>
      </c>
      <c r="AW712" s="14" t="s">
        <v>36</v>
      </c>
      <c r="AX712" s="14" t="s">
        <v>77</v>
      </c>
      <c r="AY712" s="170" t="s">
        <v>177</v>
      </c>
    </row>
    <row r="713" spans="1:65" s="13" customFormat="1">
      <c r="B713" s="161"/>
      <c r="D713" s="153" t="s">
        <v>193</v>
      </c>
      <c r="E713" s="162" t="s">
        <v>3</v>
      </c>
      <c r="F713" s="163" t="s">
        <v>2875</v>
      </c>
      <c r="H713" s="164">
        <v>77.599999999999994</v>
      </c>
      <c r="I713" s="165"/>
      <c r="L713" s="161"/>
      <c r="M713" s="166"/>
      <c r="N713" s="167"/>
      <c r="O713" s="167"/>
      <c r="P713" s="167"/>
      <c r="Q713" s="167"/>
      <c r="R713" s="167"/>
      <c r="S713" s="167"/>
      <c r="T713" s="168"/>
      <c r="AT713" s="162" t="s">
        <v>193</v>
      </c>
      <c r="AU713" s="162" t="s">
        <v>87</v>
      </c>
      <c r="AV713" s="13" t="s">
        <v>87</v>
      </c>
      <c r="AW713" s="13" t="s">
        <v>36</v>
      </c>
      <c r="AX713" s="13" t="s">
        <v>85</v>
      </c>
      <c r="AY713" s="162" t="s">
        <v>177</v>
      </c>
    </row>
    <row r="714" spans="1:65" s="2" customFormat="1" ht="16.5" customHeight="1">
      <c r="A714" s="34"/>
      <c r="B714" s="139"/>
      <c r="C714" s="140" t="s">
        <v>2876</v>
      </c>
      <c r="D714" s="140" t="s">
        <v>180</v>
      </c>
      <c r="E714" s="141" t="s">
        <v>2877</v>
      </c>
      <c r="F714" s="142" t="s">
        <v>2878</v>
      </c>
      <c r="G714" s="143" t="s">
        <v>476</v>
      </c>
      <c r="H714" s="144">
        <v>56.7</v>
      </c>
      <c r="I714" s="145"/>
      <c r="J714" s="146">
        <f>ROUND(I714*H714,2)</f>
        <v>0</v>
      </c>
      <c r="K714" s="142" t="s">
        <v>184</v>
      </c>
      <c r="L714" s="35"/>
      <c r="M714" s="147" t="s">
        <v>3</v>
      </c>
      <c r="N714" s="148" t="s">
        <v>48</v>
      </c>
      <c r="O714" s="55"/>
      <c r="P714" s="149">
        <f>O714*H714</f>
        <v>0</v>
      </c>
      <c r="Q714" s="149">
        <v>1.4562659999999999E-3</v>
      </c>
      <c r="R714" s="149">
        <f>Q714*H714</f>
        <v>8.2570282199999998E-2</v>
      </c>
      <c r="S714" s="149">
        <v>0</v>
      </c>
      <c r="T714" s="150">
        <f>S714*H714</f>
        <v>0</v>
      </c>
      <c r="U714" s="34"/>
      <c r="V714" s="34"/>
      <c r="W714" s="34"/>
      <c r="X714" s="34"/>
      <c r="Y714" s="34"/>
      <c r="Z714" s="34"/>
      <c r="AA714" s="34"/>
      <c r="AB714" s="34"/>
      <c r="AC714" s="34"/>
      <c r="AD714" s="34"/>
      <c r="AE714" s="34"/>
      <c r="AR714" s="151" t="s">
        <v>237</v>
      </c>
      <c r="AT714" s="151" t="s">
        <v>180</v>
      </c>
      <c r="AU714" s="151" t="s">
        <v>87</v>
      </c>
      <c r="AY714" s="19" t="s">
        <v>177</v>
      </c>
      <c r="BE714" s="152">
        <f>IF(N714="základní",J714,0)</f>
        <v>0</v>
      </c>
      <c r="BF714" s="152">
        <f>IF(N714="snížená",J714,0)</f>
        <v>0</v>
      </c>
      <c r="BG714" s="152">
        <f>IF(N714="zákl. přenesená",J714,0)</f>
        <v>0</v>
      </c>
      <c r="BH714" s="152">
        <f>IF(N714="sníž. přenesená",J714,0)</f>
        <v>0</v>
      </c>
      <c r="BI714" s="152">
        <f>IF(N714="nulová",J714,0)</f>
        <v>0</v>
      </c>
      <c r="BJ714" s="19" t="s">
        <v>85</v>
      </c>
      <c r="BK714" s="152">
        <f>ROUND(I714*H714,2)</f>
        <v>0</v>
      </c>
      <c r="BL714" s="19" t="s">
        <v>237</v>
      </c>
      <c r="BM714" s="151" t="s">
        <v>2879</v>
      </c>
    </row>
    <row r="715" spans="1:65" s="2" customFormat="1">
      <c r="A715" s="34"/>
      <c r="B715" s="35"/>
      <c r="C715" s="34"/>
      <c r="D715" s="153" t="s">
        <v>187</v>
      </c>
      <c r="E715" s="34"/>
      <c r="F715" s="154" t="s">
        <v>2880</v>
      </c>
      <c r="G715" s="34"/>
      <c r="H715" s="34"/>
      <c r="I715" s="155"/>
      <c r="J715" s="34"/>
      <c r="K715" s="34"/>
      <c r="L715" s="35"/>
      <c r="M715" s="156"/>
      <c r="N715" s="157"/>
      <c r="O715" s="55"/>
      <c r="P715" s="55"/>
      <c r="Q715" s="55"/>
      <c r="R715" s="55"/>
      <c r="S715" s="55"/>
      <c r="T715" s="56"/>
      <c r="U715" s="34"/>
      <c r="V715" s="34"/>
      <c r="W715" s="34"/>
      <c r="X715" s="34"/>
      <c r="Y715" s="34"/>
      <c r="Z715" s="34"/>
      <c r="AA715" s="34"/>
      <c r="AB715" s="34"/>
      <c r="AC715" s="34"/>
      <c r="AD715" s="34"/>
      <c r="AE715" s="34"/>
      <c r="AT715" s="19" t="s">
        <v>187</v>
      </c>
      <c r="AU715" s="19" t="s">
        <v>87</v>
      </c>
    </row>
    <row r="716" spans="1:65" s="2" customFormat="1">
      <c r="A716" s="34"/>
      <c r="B716" s="35"/>
      <c r="C716" s="34"/>
      <c r="D716" s="158" t="s">
        <v>189</v>
      </c>
      <c r="E716" s="34"/>
      <c r="F716" s="159" t="s">
        <v>2881</v>
      </c>
      <c r="G716" s="34"/>
      <c r="H716" s="34"/>
      <c r="I716" s="155"/>
      <c r="J716" s="34"/>
      <c r="K716" s="34"/>
      <c r="L716" s="35"/>
      <c r="M716" s="156"/>
      <c r="N716" s="157"/>
      <c r="O716" s="55"/>
      <c r="P716" s="55"/>
      <c r="Q716" s="55"/>
      <c r="R716" s="55"/>
      <c r="S716" s="55"/>
      <c r="T716" s="56"/>
      <c r="U716" s="34"/>
      <c r="V716" s="34"/>
      <c r="W716" s="34"/>
      <c r="X716" s="34"/>
      <c r="Y716" s="34"/>
      <c r="Z716" s="34"/>
      <c r="AA716" s="34"/>
      <c r="AB716" s="34"/>
      <c r="AC716" s="34"/>
      <c r="AD716" s="34"/>
      <c r="AE716" s="34"/>
      <c r="AT716" s="19" t="s">
        <v>189</v>
      </c>
      <c r="AU716" s="19" t="s">
        <v>87</v>
      </c>
    </row>
    <row r="717" spans="1:65" s="2" customFormat="1" ht="16.5" customHeight="1">
      <c r="A717" s="34"/>
      <c r="B717" s="139"/>
      <c r="C717" s="140" t="s">
        <v>2882</v>
      </c>
      <c r="D717" s="140" t="s">
        <v>180</v>
      </c>
      <c r="E717" s="141" t="s">
        <v>2883</v>
      </c>
      <c r="F717" s="142" t="s">
        <v>2884</v>
      </c>
      <c r="G717" s="143" t="s">
        <v>236</v>
      </c>
      <c r="H717" s="144">
        <v>56</v>
      </c>
      <c r="I717" s="145"/>
      <c r="J717" s="146">
        <f>ROUND(I717*H717,2)</f>
        <v>0</v>
      </c>
      <c r="K717" s="142" t="s">
        <v>184</v>
      </c>
      <c r="L717" s="35"/>
      <c r="M717" s="147" t="s">
        <v>3</v>
      </c>
      <c r="N717" s="148" t="s">
        <v>48</v>
      </c>
      <c r="O717" s="55"/>
      <c r="P717" s="149">
        <f>O717*H717</f>
        <v>0</v>
      </c>
      <c r="Q717" s="149">
        <v>0</v>
      </c>
      <c r="R717" s="149">
        <f>Q717*H717</f>
        <v>0</v>
      </c>
      <c r="S717" s="149">
        <v>0</v>
      </c>
      <c r="T717" s="150">
        <f>S717*H717</f>
        <v>0</v>
      </c>
      <c r="U717" s="34"/>
      <c r="V717" s="34"/>
      <c r="W717" s="34"/>
      <c r="X717" s="34"/>
      <c r="Y717" s="34"/>
      <c r="Z717" s="34"/>
      <c r="AA717" s="34"/>
      <c r="AB717" s="34"/>
      <c r="AC717" s="34"/>
      <c r="AD717" s="34"/>
      <c r="AE717" s="34"/>
      <c r="AR717" s="151" t="s">
        <v>237</v>
      </c>
      <c r="AT717" s="151" t="s">
        <v>180</v>
      </c>
      <c r="AU717" s="151" t="s">
        <v>87</v>
      </c>
      <c r="AY717" s="19" t="s">
        <v>177</v>
      </c>
      <c r="BE717" s="152">
        <f>IF(N717="základní",J717,0)</f>
        <v>0</v>
      </c>
      <c r="BF717" s="152">
        <f>IF(N717="snížená",J717,0)</f>
        <v>0</v>
      </c>
      <c r="BG717" s="152">
        <f>IF(N717="zákl. přenesená",J717,0)</f>
        <v>0</v>
      </c>
      <c r="BH717" s="152">
        <f>IF(N717="sníž. přenesená",J717,0)</f>
        <v>0</v>
      </c>
      <c r="BI717" s="152">
        <f>IF(N717="nulová",J717,0)</f>
        <v>0</v>
      </c>
      <c r="BJ717" s="19" t="s">
        <v>85</v>
      </c>
      <c r="BK717" s="152">
        <f>ROUND(I717*H717,2)</f>
        <v>0</v>
      </c>
      <c r="BL717" s="19" t="s">
        <v>237</v>
      </c>
      <c r="BM717" s="151" t="s">
        <v>2885</v>
      </c>
    </row>
    <row r="718" spans="1:65" s="2" customFormat="1" ht="19.5">
      <c r="A718" s="34"/>
      <c r="B718" s="35"/>
      <c r="C718" s="34"/>
      <c r="D718" s="153" t="s">
        <v>187</v>
      </c>
      <c r="E718" s="34"/>
      <c r="F718" s="154" t="s">
        <v>2886</v>
      </c>
      <c r="G718" s="34"/>
      <c r="H718" s="34"/>
      <c r="I718" s="155"/>
      <c r="J718" s="34"/>
      <c r="K718" s="34"/>
      <c r="L718" s="35"/>
      <c r="M718" s="156"/>
      <c r="N718" s="157"/>
      <c r="O718" s="55"/>
      <c r="P718" s="55"/>
      <c r="Q718" s="55"/>
      <c r="R718" s="55"/>
      <c r="S718" s="55"/>
      <c r="T718" s="56"/>
      <c r="U718" s="34"/>
      <c r="V718" s="34"/>
      <c r="W718" s="34"/>
      <c r="X718" s="34"/>
      <c r="Y718" s="34"/>
      <c r="Z718" s="34"/>
      <c r="AA718" s="34"/>
      <c r="AB718" s="34"/>
      <c r="AC718" s="34"/>
      <c r="AD718" s="34"/>
      <c r="AE718" s="34"/>
      <c r="AT718" s="19" t="s">
        <v>187</v>
      </c>
      <c r="AU718" s="19" t="s">
        <v>87</v>
      </c>
    </row>
    <row r="719" spans="1:65" s="2" customFormat="1">
      <c r="A719" s="34"/>
      <c r="B719" s="35"/>
      <c r="C719" s="34"/>
      <c r="D719" s="158" t="s">
        <v>189</v>
      </c>
      <c r="E719" s="34"/>
      <c r="F719" s="159" t="s">
        <v>2887</v>
      </c>
      <c r="G719" s="34"/>
      <c r="H719" s="34"/>
      <c r="I719" s="155"/>
      <c r="J719" s="34"/>
      <c r="K719" s="34"/>
      <c r="L719" s="35"/>
      <c r="M719" s="156"/>
      <c r="N719" s="157"/>
      <c r="O719" s="55"/>
      <c r="P719" s="55"/>
      <c r="Q719" s="55"/>
      <c r="R719" s="55"/>
      <c r="S719" s="55"/>
      <c r="T719" s="56"/>
      <c r="U719" s="34"/>
      <c r="V719" s="34"/>
      <c r="W719" s="34"/>
      <c r="X719" s="34"/>
      <c r="Y719" s="34"/>
      <c r="Z719" s="34"/>
      <c r="AA719" s="34"/>
      <c r="AB719" s="34"/>
      <c r="AC719" s="34"/>
      <c r="AD719" s="34"/>
      <c r="AE719" s="34"/>
      <c r="AT719" s="19" t="s">
        <v>189</v>
      </c>
      <c r="AU719" s="19" t="s">
        <v>87</v>
      </c>
    </row>
    <row r="720" spans="1:65" s="13" customFormat="1">
      <c r="B720" s="161"/>
      <c r="D720" s="153" t="s">
        <v>193</v>
      </c>
      <c r="E720" s="162" t="s">
        <v>3</v>
      </c>
      <c r="F720" s="163" t="s">
        <v>2888</v>
      </c>
      <c r="H720" s="164">
        <v>32</v>
      </c>
      <c r="I720" s="165"/>
      <c r="L720" s="161"/>
      <c r="M720" s="166"/>
      <c r="N720" s="167"/>
      <c r="O720" s="167"/>
      <c r="P720" s="167"/>
      <c r="Q720" s="167"/>
      <c r="R720" s="167"/>
      <c r="S720" s="167"/>
      <c r="T720" s="168"/>
      <c r="AT720" s="162" t="s">
        <v>193</v>
      </c>
      <c r="AU720" s="162" t="s">
        <v>87</v>
      </c>
      <c r="AV720" s="13" t="s">
        <v>87</v>
      </c>
      <c r="AW720" s="13" t="s">
        <v>36</v>
      </c>
      <c r="AX720" s="13" t="s">
        <v>77</v>
      </c>
      <c r="AY720" s="162" t="s">
        <v>177</v>
      </c>
    </row>
    <row r="721" spans="1:65" s="13" customFormat="1">
      <c r="B721" s="161"/>
      <c r="D721" s="153" t="s">
        <v>193</v>
      </c>
      <c r="E721" s="162" t="s">
        <v>3</v>
      </c>
      <c r="F721" s="163" t="s">
        <v>2889</v>
      </c>
      <c r="H721" s="164">
        <v>24</v>
      </c>
      <c r="I721" s="165"/>
      <c r="L721" s="161"/>
      <c r="M721" s="166"/>
      <c r="N721" s="167"/>
      <c r="O721" s="167"/>
      <c r="P721" s="167"/>
      <c r="Q721" s="167"/>
      <c r="R721" s="167"/>
      <c r="S721" s="167"/>
      <c r="T721" s="168"/>
      <c r="AT721" s="162" t="s">
        <v>193</v>
      </c>
      <c r="AU721" s="162" t="s">
        <v>87</v>
      </c>
      <c r="AV721" s="13" t="s">
        <v>87</v>
      </c>
      <c r="AW721" s="13" t="s">
        <v>36</v>
      </c>
      <c r="AX721" s="13" t="s">
        <v>77</v>
      </c>
      <c r="AY721" s="162" t="s">
        <v>177</v>
      </c>
    </row>
    <row r="722" spans="1:65" s="16" customFormat="1">
      <c r="B722" s="184"/>
      <c r="D722" s="153" t="s">
        <v>193</v>
      </c>
      <c r="E722" s="185" t="s">
        <v>3</v>
      </c>
      <c r="F722" s="186" t="s">
        <v>201</v>
      </c>
      <c r="H722" s="187">
        <v>56</v>
      </c>
      <c r="I722" s="188"/>
      <c r="L722" s="184"/>
      <c r="M722" s="189"/>
      <c r="N722" s="190"/>
      <c r="O722" s="190"/>
      <c r="P722" s="190"/>
      <c r="Q722" s="190"/>
      <c r="R722" s="190"/>
      <c r="S722" s="190"/>
      <c r="T722" s="191"/>
      <c r="AT722" s="185" t="s">
        <v>193</v>
      </c>
      <c r="AU722" s="185" t="s">
        <v>87</v>
      </c>
      <c r="AV722" s="16" t="s">
        <v>185</v>
      </c>
      <c r="AW722" s="16" t="s">
        <v>36</v>
      </c>
      <c r="AX722" s="16" t="s">
        <v>85</v>
      </c>
      <c r="AY722" s="185" t="s">
        <v>177</v>
      </c>
    </row>
    <row r="723" spans="1:65" s="2" customFormat="1" ht="21.75" customHeight="1">
      <c r="A723" s="34"/>
      <c r="B723" s="139"/>
      <c r="C723" s="140" t="s">
        <v>2890</v>
      </c>
      <c r="D723" s="140" t="s">
        <v>180</v>
      </c>
      <c r="E723" s="141" t="s">
        <v>2891</v>
      </c>
      <c r="F723" s="142" t="s">
        <v>2892</v>
      </c>
      <c r="G723" s="143" t="s">
        <v>476</v>
      </c>
      <c r="H723" s="144">
        <v>33.9</v>
      </c>
      <c r="I723" s="145"/>
      <c r="J723" s="146">
        <f>ROUND(I723*H723,2)</f>
        <v>0</v>
      </c>
      <c r="K723" s="142" t="s">
        <v>184</v>
      </c>
      <c r="L723" s="35"/>
      <c r="M723" s="147" t="s">
        <v>3</v>
      </c>
      <c r="N723" s="148" t="s">
        <v>48</v>
      </c>
      <c r="O723" s="55"/>
      <c r="P723" s="149">
        <f>O723*H723</f>
        <v>0</v>
      </c>
      <c r="Q723" s="149">
        <v>4.3575000000000003E-3</v>
      </c>
      <c r="R723" s="149">
        <f>Q723*H723</f>
        <v>0.14771925</v>
      </c>
      <c r="S723" s="149">
        <v>0</v>
      </c>
      <c r="T723" s="150">
        <f>S723*H723</f>
        <v>0</v>
      </c>
      <c r="U723" s="34"/>
      <c r="V723" s="34"/>
      <c r="W723" s="34"/>
      <c r="X723" s="34"/>
      <c r="Y723" s="34"/>
      <c r="Z723" s="34"/>
      <c r="AA723" s="34"/>
      <c r="AB723" s="34"/>
      <c r="AC723" s="34"/>
      <c r="AD723" s="34"/>
      <c r="AE723" s="34"/>
      <c r="AR723" s="151" t="s">
        <v>237</v>
      </c>
      <c r="AT723" s="151" t="s">
        <v>180</v>
      </c>
      <c r="AU723" s="151" t="s">
        <v>87</v>
      </c>
      <c r="AY723" s="19" t="s">
        <v>177</v>
      </c>
      <c r="BE723" s="152">
        <f>IF(N723="základní",J723,0)</f>
        <v>0</v>
      </c>
      <c r="BF723" s="152">
        <f>IF(N723="snížená",J723,0)</f>
        <v>0</v>
      </c>
      <c r="BG723" s="152">
        <f>IF(N723="zákl. přenesená",J723,0)</f>
        <v>0</v>
      </c>
      <c r="BH723" s="152">
        <f>IF(N723="sníž. přenesená",J723,0)</f>
        <v>0</v>
      </c>
      <c r="BI723" s="152">
        <f>IF(N723="nulová",J723,0)</f>
        <v>0</v>
      </c>
      <c r="BJ723" s="19" t="s">
        <v>85</v>
      </c>
      <c r="BK723" s="152">
        <f>ROUND(I723*H723,2)</f>
        <v>0</v>
      </c>
      <c r="BL723" s="19" t="s">
        <v>237</v>
      </c>
      <c r="BM723" s="151" t="s">
        <v>2893</v>
      </c>
    </row>
    <row r="724" spans="1:65" s="2" customFormat="1" ht="19.5">
      <c r="A724" s="34"/>
      <c r="B724" s="35"/>
      <c r="C724" s="34"/>
      <c r="D724" s="153" t="s">
        <v>187</v>
      </c>
      <c r="E724" s="34"/>
      <c r="F724" s="154" t="s">
        <v>2894</v>
      </c>
      <c r="G724" s="34"/>
      <c r="H724" s="34"/>
      <c r="I724" s="155"/>
      <c r="J724" s="34"/>
      <c r="K724" s="34"/>
      <c r="L724" s="35"/>
      <c r="M724" s="156"/>
      <c r="N724" s="157"/>
      <c r="O724" s="55"/>
      <c r="P724" s="55"/>
      <c r="Q724" s="55"/>
      <c r="R724" s="55"/>
      <c r="S724" s="55"/>
      <c r="T724" s="56"/>
      <c r="U724" s="34"/>
      <c r="V724" s="34"/>
      <c r="W724" s="34"/>
      <c r="X724" s="34"/>
      <c r="Y724" s="34"/>
      <c r="Z724" s="34"/>
      <c r="AA724" s="34"/>
      <c r="AB724" s="34"/>
      <c r="AC724" s="34"/>
      <c r="AD724" s="34"/>
      <c r="AE724" s="34"/>
      <c r="AT724" s="19" t="s">
        <v>187</v>
      </c>
      <c r="AU724" s="19" t="s">
        <v>87</v>
      </c>
    </row>
    <row r="725" spans="1:65" s="2" customFormat="1">
      <c r="A725" s="34"/>
      <c r="B725" s="35"/>
      <c r="C725" s="34"/>
      <c r="D725" s="158" t="s">
        <v>189</v>
      </c>
      <c r="E725" s="34"/>
      <c r="F725" s="159" t="s">
        <v>2895</v>
      </c>
      <c r="G725" s="34"/>
      <c r="H725" s="34"/>
      <c r="I725" s="155"/>
      <c r="J725" s="34"/>
      <c r="K725" s="34"/>
      <c r="L725" s="35"/>
      <c r="M725" s="156"/>
      <c r="N725" s="157"/>
      <c r="O725" s="55"/>
      <c r="P725" s="55"/>
      <c r="Q725" s="55"/>
      <c r="R725" s="55"/>
      <c r="S725" s="55"/>
      <c r="T725" s="56"/>
      <c r="U725" s="34"/>
      <c r="V725" s="34"/>
      <c r="W725" s="34"/>
      <c r="X725" s="34"/>
      <c r="Y725" s="34"/>
      <c r="Z725" s="34"/>
      <c r="AA725" s="34"/>
      <c r="AB725" s="34"/>
      <c r="AC725" s="34"/>
      <c r="AD725" s="34"/>
      <c r="AE725" s="34"/>
      <c r="AT725" s="19" t="s">
        <v>189</v>
      </c>
      <c r="AU725" s="19" t="s">
        <v>87</v>
      </c>
    </row>
    <row r="726" spans="1:65" s="14" customFormat="1">
      <c r="B726" s="169"/>
      <c r="D726" s="153" t="s">
        <v>193</v>
      </c>
      <c r="E726" s="170" t="s">
        <v>3</v>
      </c>
      <c r="F726" s="171" t="s">
        <v>2896</v>
      </c>
      <c r="H726" s="170" t="s">
        <v>3</v>
      </c>
      <c r="I726" s="172"/>
      <c r="L726" s="169"/>
      <c r="M726" s="173"/>
      <c r="N726" s="174"/>
      <c r="O726" s="174"/>
      <c r="P726" s="174"/>
      <c r="Q726" s="174"/>
      <c r="R726" s="174"/>
      <c r="S726" s="174"/>
      <c r="T726" s="175"/>
      <c r="AT726" s="170" t="s">
        <v>193</v>
      </c>
      <c r="AU726" s="170" t="s">
        <v>87</v>
      </c>
      <c r="AV726" s="14" t="s">
        <v>85</v>
      </c>
      <c r="AW726" s="14" t="s">
        <v>36</v>
      </c>
      <c r="AX726" s="14" t="s">
        <v>77</v>
      </c>
      <c r="AY726" s="170" t="s">
        <v>177</v>
      </c>
    </row>
    <row r="727" spans="1:65" s="13" customFormat="1">
      <c r="B727" s="161"/>
      <c r="D727" s="153" t="s">
        <v>193</v>
      </c>
      <c r="E727" s="162" t="s">
        <v>3</v>
      </c>
      <c r="F727" s="163" t="s">
        <v>2897</v>
      </c>
      <c r="H727" s="164">
        <v>33.9</v>
      </c>
      <c r="I727" s="165"/>
      <c r="L727" s="161"/>
      <c r="M727" s="166"/>
      <c r="N727" s="167"/>
      <c r="O727" s="167"/>
      <c r="P727" s="167"/>
      <c r="Q727" s="167"/>
      <c r="R727" s="167"/>
      <c r="S727" s="167"/>
      <c r="T727" s="168"/>
      <c r="AT727" s="162" t="s">
        <v>193</v>
      </c>
      <c r="AU727" s="162" t="s">
        <v>87</v>
      </c>
      <c r="AV727" s="13" t="s">
        <v>87</v>
      </c>
      <c r="AW727" s="13" t="s">
        <v>36</v>
      </c>
      <c r="AX727" s="13" t="s">
        <v>85</v>
      </c>
      <c r="AY727" s="162" t="s">
        <v>177</v>
      </c>
    </row>
    <row r="728" spans="1:65" s="2" customFormat="1" ht="16.5" customHeight="1">
      <c r="A728" s="34"/>
      <c r="B728" s="139"/>
      <c r="C728" s="140" t="s">
        <v>2898</v>
      </c>
      <c r="D728" s="140" t="s">
        <v>180</v>
      </c>
      <c r="E728" s="141" t="s">
        <v>2899</v>
      </c>
      <c r="F728" s="142" t="s">
        <v>2900</v>
      </c>
      <c r="G728" s="143" t="s">
        <v>183</v>
      </c>
      <c r="H728" s="144">
        <v>0.72499999999999998</v>
      </c>
      <c r="I728" s="145"/>
      <c r="J728" s="146">
        <f>ROUND(I728*H728,2)</f>
        <v>0</v>
      </c>
      <c r="K728" s="142" t="s">
        <v>184</v>
      </c>
      <c r="L728" s="35"/>
      <c r="M728" s="147" t="s">
        <v>3</v>
      </c>
      <c r="N728" s="148" t="s">
        <v>48</v>
      </c>
      <c r="O728" s="55"/>
      <c r="P728" s="149">
        <f>O728*H728</f>
        <v>0</v>
      </c>
      <c r="Q728" s="149">
        <v>0</v>
      </c>
      <c r="R728" s="149">
        <f>Q728*H728</f>
        <v>0</v>
      </c>
      <c r="S728" s="149">
        <v>0</v>
      </c>
      <c r="T728" s="150">
        <f>S728*H728</f>
        <v>0</v>
      </c>
      <c r="U728" s="34"/>
      <c r="V728" s="34"/>
      <c r="W728" s="34"/>
      <c r="X728" s="34"/>
      <c r="Y728" s="34"/>
      <c r="Z728" s="34"/>
      <c r="AA728" s="34"/>
      <c r="AB728" s="34"/>
      <c r="AC728" s="34"/>
      <c r="AD728" s="34"/>
      <c r="AE728" s="34"/>
      <c r="AR728" s="151" t="s">
        <v>237</v>
      </c>
      <c r="AT728" s="151" t="s">
        <v>180</v>
      </c>
      <c r="AU728" s="151" t="s">
        <v>87</v>
      </c>
      <c r="AY728" s="19" t="s">
        <v>177</v>
      </c>
      <c r="BE728" s="152">
        <f>IF(N728="základní",J728,0)</f>
        <v>0</v>
      </c>
      <c r="BF728" s="152">
        <f>IF(N728="snížená",J728,0)</f>
        <v>0</v>
      </c>
      <c r="BG728" s="152">
        <f>IF(N728="zákl. přenesená",J728,0)</f>
        <v>0</v>
      </c>
      <c r="BH728" s="152">
        <f>IF(N728="sníž. přenesená",J728,0)</f>
        <v>0</v>
      </c>
      <c r="BI728" s="152">
        <f>IF(N728="nulová",J728,0)</f>
        <v>0</v>
      </c>
      <c r="BJ728" s="19" t="s">
        <v>85</v>
      </c>
      <c r="BK728" s="152">
        <f>ROUND(I728*H728,2)</f>
        <v>0</v>
      </c>
      <c r="BL728" s="19" t="s">
        <v>237</v>
      </c>
      <c r="BM728" s="151" t="s">
        <v>2901</v>
      </c>
    </row>
    <row r="729" spans="1:65" s="2" customFormat="1" ht="19.5">
      <c r="A729" s="34"/>
      <c r="B729" s="35"/>
      <c r="C729" s="34"/>
      <c r="D729" s="153" t="s">
        <v>187</v>
      </c>
      <c r="E729" s="34"/>
      <c r="F729" s="154" t="s">
        <v>2902</v>
      </c>
      <c r="G729" s="34"/>
      <c r="H729" s="34"/>
      <c r="I729" s="155"/>
      <c r="J729" s="34"/>
      <c r="K729" s="34"/>
      <c r="L729" s="35"/>
      <c r="M729" s="156"/>
      <c r="N729" s="157"/>
      <c r="O729" s="55"/>
      <c r="P729" s="55"/>
      <c r="Q729" s="55"/>
      <c r="R729" s="55"/>
      <c r="S729" s="55"/>
      <c r="T729" s="56"/>
      <c r="U729" s="34"/>
      <c r="V729" s="34"/>
      <c r="W729" s="34"/>
      <c r="X729" s="34"/>
      <c r="Y729" s="34"/>
      <c r="Z729" s="34"/>
      <c r="AA729" s="34"/>
      <c r="AB729" s="34"/>
      <c r="AC729" s="34"/>
      <c r="AD729" s="34"/>
      <c r="AE729" s="34"/>
      <c r="AT729" s="19" t="s">
        <v>187</v>
      </c>
      <c r="AU729" s="19" t="s">
        <v>87</v>
      </c>
    </row>
    <row r="730" spans="1:65" s="2" customFormat="1">
      <c r="A730" s="34"/>
      <c r="B730" s="35"/>
      <c r="C730" s="34"/>
      <c r="D730" s="158" t="s">
        <v>189</v>
      </c>
      <c r="E730" s="34"/>
      <c r="F730" s="159" t="s">
        <v>2903</v>
      </c>
      <c r="G730" s="34"/>
      <c r="H730" s="34"/>
      <c r="I730" s="155"/>
      <c r="J730" s="34"/>
      <c r="K730" s="34"/>
      <c r="L730" s="35"/>
      <c r="M730" s="156"/>
      <c r="N730" s="157"/>
      <c r="O730" s="55"/>
      <c r="P730" s="55"/>
      <c r="Q730" s="55"/>
      <c r="R730" s="55"/>
      <c r="S730" s="55"/>
      <c r="T730" s="56"/>
      <c r="U730" s="34"/>
      <c r="V730" s="34"/>
      <c r="W730" s="34"/>
      <c r="X730" s="34"/>
      <c r="Y730" s="34"/>
      <c r="Z730" s="34"/>
      <c r="AA730" s="34"/>
      <c r="AB730" s="34"/>
      <c r="AC730" s="34"/>
      <c r="AD730" s="34"/>
      <c r="AE730" s="34"/>
      <c r="AT730" s="19" t="s">
        <v>189</v>
      </c>
      <c r="AU730" s="19" t="s">
        <v>87</v>
      </c>
    </row>
    <row r="731" spans="1:65" s="2" customFormat="1" ht="78">
      <c r="A731" s="34"/>
      <c r="B731" s="35"/>
      <c r="C731" s="34"/>
      <c r="D731" s="153" t="s">
        <v>191</v>
      </c>
      <c r="E731" s="34"/>
      <c r="F731" s="160" t="s">
        <v>2904</v>
      </c>
      <c r="G731" s="34"/>
      <c r="H731" s="34"/>
      <c r="I731" s="155"/>
      <c r="J731" s="34"/>
      <c r="K731" s="34"/>
      <c r="L731" s="35"/>
      <c r="M731" s="156"/>
      <c r="N731" s="157"/>
      <c r="O731" s="55"/>
      <c r="P731" s="55"/>
      <c r="Q731" s="55"/>
      <c r="R731" s="55"/>
      <c r="S731" s="55"/>
      <c r="T731" s="56"/>
      <c r="U731" s="34"/>
      <c r="V731" s="34"/>
      <c r="W731" s="34"/>
      <c r="X731" s="34"/>
      <c r="Y731" s="34"/>
      <c r="Z731" s="34"/>
      <c r="AA731" s="34"/>
      <c r="AB731" s="34"/>
      <c r="AC731" s="34"/>
      <c r="AD731" s="34"/>
      <c r="AE731" s="34"/>
      <c r="AT731" s="19" t="s">
        <v>191</v>
      </c>
      <c r="AU731" s="19" t="s">
        <v>87</v>
      </c>
    </row>
    <row r="732" spans="1:65" s="2" customFormat="1" ht="16.5" customHeight="1">
      <c r="A732" s="34"/>
      <c r="B732" s="139"/>
      <c r="C732" s="140" t="s">
        <v>2905</v>
      </c>
      <c r="D732" s="140" t="s">
        <v>180</v>
      </c>
      <c r="E732" s="141" t="s">
        <v>2906</v>
      </c>
      <c r="F732" s="142" t="s">
        <v>2907</v>
      </c>
      <c r="G732" s="143" t="s">
        <v>183</v>
      </c>
      <c r="H732" s="144">
        <v>0.72499999999999998</v>
      </c>
      <c r="I732" s="145"/>
      <c r="J732" s="146">
        <f>ROUND(I732*H732,2)</f>
        <v>0</v>
      </c>
      <c r="K732" s="142" t="s">
        <v>184</v>
      </c>
      <c r="L732" s="35"/>
      <c r="M732" s="147" t="s">
        <v>3</v>
      </c>
      <c r="N732" s="148" t="s">
        <v>48</v>
      </c>
      <c r="O732" s="55"/>
      <c r="P732" s="149">
        <f>O732*H732</f>
        <v>0</v>
      </c>
      <c r="Q732" s="149">
        <v>0</v>
      </c>
      <c r="R732" s="149">
        <f>Q732*H732</f>
        <v>0</v>
      </c>
      <c r="S732" s="149">
        <v>0</v>
      </c>
      <c r="T732" s="150">
        <f>S732*H732</f>
        <v>0</v>
      </c>
      <c r="U732" s="34"/>
      <c r="V732" s="34"/>
      <c r="W732" s="34"/>
      <c r="X732" s="34"/>
      <c r="Y732" s="34"/>
      <c r="Z732" s="34"/>
      <c r="AA732" s="34"/>
      <c r="AB732" s="34"/>
      <c r="AC732" s="34"/>
      <c r="AD732" s="34"/>
      <c r="AE732" s="34"/>
      <c r="AR732" s="151" t="s">
        <v>237</v>
      </c>
      <c r="AT732" s="151" t="s">
        <v>180</v>
      </c>
      <c r="AU732" s="151" t="s">
        <v>87</v>
      </c>
      <c r="AY732" s="19" t="s">
        <v>177</v>
      </c>
      <c r="BE732" s="152">
        <f>IF(N732="základní",J732,0)</f>
        <v>0</v>
      </c>
      <c r="BF732" s="152">
        <f>IF(N732="snížená",J732,0)</f>
        <v>0</v>
      </c>
      <c r="BG732" s="152">
        <f>IF(N732="zákl. přenesená",J732,0)</f>
        <v>0</v>
      </c>
      <c r="BH732" s="152">
        <f>IF(N732="sníž. přenesená",J732,0)</f>
        <v>0</v>
      </c>
      <c r="BI732" s="152">
        <f>IF(N732="nulová",J732,0)</f>
        <v>0</v>
      </c>
      <c r="BJ732" s="19" t="s">
        <v>85</v>
      </c>
      <c r="BK732" s="152">
        <f>ROUND(I732*H732,2)</f>
        <v>0</v>
      </c>
      <c r="BL732" s="19" t="s">
        <v>237</v>
      </c>
      <c r="BM732" s="151" t="s">
        <v>2908</v>
      </c>
    </row>
    <row r="733" spans="1:65" s="2" customFormat="1" ht="19.5">
      <c r="A733" s="34"/>
      <c r="B733" s="35"/>
      <c r="C733" s="34"/>
      <c r="D733" s="153" t="s">
        <v>187</v>
      </c>
      <c r="E733" s="34"/>
      <c r="F733" s="154" t="s">
        <v>2909</v>
      </c>
      <c r="G733" s="34"/>
      <c r="H733" s="34"/>
      <c r="I733" s="155"/>
      <c r="J733" s="34"/>
      <c r="K733" s="34"/>
      <c r="L733" s="35"/>
      <c r="M733" s="156"/>
      <c r="N733" s="157"/>
      <c r="O733" s="55"/>
      <c r="P733" s="55"/>
      <c r="Q733" s="55"/>
      <c r="R733" s="55"/>
      <c r="S733" s="55"/>
      <c r="T733" s="56"/>
      <c r="U733" s="34"/>
      <c r="V733" s="34"/>
      <c r="W733" s="34"/>
      <c r="X733" s="34"/>
      <c r="Y733" s="34"/>
      <c r="Z733" s="34"/>
      <c r="AA733" s="34"/>
      <c r="AB733" s="34"/>
      <c r="AC733" s="34"/>
      <c r="AD733" s="34"/>
      <c r="AE733" s="34"/>
      <c r="AT733" s="19" t="s">
        <v>187</v>
      </c>
      <c r="AU733" s="19" t="s">
        <v>87</v>
      </c>
    </row>
    <row r="734" spans="1:65" s="2" customFormat="1">
      <c r="A734" s="34"/>
      <c r="B734" s="35"/>
      <c r="C734" s="34"/>
      <c r="D734" s="158" t="s">
        <v>189</v>
      </c>
      <c r="E734" s="34"/>
      <c r="F734" s="159" t="s">
        <v>2910</v>
      </c>
      <c r="G734" s="34"/>
      <c r="H734" s="34"/>
      <c r="I734" s="155"/>
      <c r="J734" s="34"/>
      <c r="K734" s="34"/>
      <c r="L734" s="35"/>
      <c r="M734" s="156"/>
      <c r="N734" s="157"/>
      <c r="O734" s="55"/>
      <c r="P734" s="55"/>
      <c r="Q734" s="55"/>
      <c r="R734" s="55"/>
      <c r="S734" s="55"/>
      <c r="T734" s="56"/>
      <c r="U734" s="34"/>
      <c r="V734" s="34"/>
      <c r="W734" s="34"/>
      <c r="X734" s="34"/>
      <c r="Y734" s="34"/>
      <c r="Z734" s="34"/>
      <c r="AA734" s="34"/>
      <c r="AB734" s="34"/>
      <c r="AC734" s="34"/>
      <c r="AD734" s="34"/>
      <c r="AE734" s="34"/>
      <c r="AT734" s="19" t="s">
        <v>189</v>
      </c>
      <c r="AU734" s="19" t="s">
        <v>87</v>
      </c>
    </row>
    <row r="735" spans="1:65" s="2" customFormat="1" ht="78">
      <c r="A735" s="34"/>
      <c r="B735" s="35"/>
      <c r="C735" s="34"/>
      <c r="D735" s="153" t="s">
        <v>191</v>
      </c>
      <c r="E735" s="34"/>
      <c r="F735" s="160" t="s">
        <v>2904</v>
      </c>
      <c r="G735" s="34"/>
      <c r="H735" s="34"/>
      <c r="I735" s="155"/>
      <c r="J735" s="34"/>
      <c r="K735" s="34"/>
      <c r="L735" s="35"/>
      <c r="M735" s="156"/>
      <c r="N735" s="157"/>
      <c r="O735" s="55"/>
      <c r="P735" s="55"/>
      <c r="Q735" s="55"/>
      <c r="R735" s="55"/>
      <c r="S735" s="55"/>
      <c r="T735" s="56"/>
      <c r="U735" s="34"/>
      <c r="V735" s="34"/>
      <c r="W735" s="34"/>
      <c r="X735" s="34"/>
      <c r="Y735" s="34"/>
      <c r="Z735" s="34"/>
      <c r="AA735" s="34"/>
      <c r="AB735" s="34"/>
      <c r="AC735" s="34"/>
      <c r="AD735" s="34"/>
      <c r="AE735" s="34"/>
      <c r="AT735" s="19" t="s">
        <v>191</v>
      </c>
      <c r="AU735" s="19" t="s">
        <v>87</v>
      </c>
    </row>
    <row r="736" spans="1:65" s="12" customFormat="1" ht="22.9" customHeight="1">
      <c r="B736" s="126"/>
      <c r="D736" s="127" t="s">
        <v>76</v>
      </c>
      <c r="E736" s="137" t="s">
        <v>1324</v>
      </c>
      <c r="F736" s="137" t="s">
        <v>1325</v>
      </c>
      <c r="I736" s="129"/>
      <c r="J736" s="138">
        <f>BK736</f>
        <v>0</v>
      </c>
      <c r="L736" s="126"/>
      <c r="M736" s="131"/>
      <c r="N736" s="132"/>
      <c r="O736" s="132"/>
      <c r="P736" s="133">
        <f>SUM(P737:P791)</f>
        <v>0</v>
      </c>
      <c r="Q736" s="132"/>
      <c r="R736" s="133">
        <f>SUM(R737:R791)</f>
        <v>0.22156900000000002</v>
      </c>
      <c r="S736" s="132"/>
      <c r="T736" s="134">
        <f>SUM(T737:T791)</f>
        <v>0</v>
      </c>
      <c r="AR736" s="127" t="s">
        <v>87</v>
      </c>
      <c r="AT736" s="135" t="s">
        <v>76</v>
      </c>
      <c r="AU736" s="135" t="s">
        <v>85</v>
      </c>
      <c r="AY736" s="127" t="s">
        <v>177</v>
      </c>
      <c r="BK736" s="136">
        <f>SUM(BK737:BK791)</f>
        <v>0</v>
      </c>
    </row>
    <row r="737" spans="1:65" s="2" customFormat="1" ht="16.5" customHeight="1">
      <c r="A737" s="34"/>
      <c r="B737" s="139"/>
      <c r="C737" s="140" t="s">
        <v>2911</v>
      </c>
      <c r="D737" s="140" t="s">
        <v>180</v>
      </c>
      <c r="E737" s="141" t="s">
        <v>2912</v>
      </c>
      <c r="F737" s="142" t="s">
        <v>2913</v>
      </c>
      <c r="G737" s="143" t="s">
        <v>236</v>
      </c>
      <c r="H737" s="144">
        <v>8</v>
      </c>
      <c r="I737" s="145"/>
      <c r="J737" s="146">
        <f>ROUND(I737*H737,2)</f>
        <v>0</v>
      </c>
      <c r="K737" s="142" t="s">
        <v>184</v>
      </c>
      <c r="L737" s="35"/>
      <c r="M737" s="147" t="s">
        <v>3</v>
      </c>
      <c r="N737" s="148" t="s">
        <v>48</v>
      </c>
      <c r="O737" s="55"/>
      <c r="P737" s="149">
        <f>O737*H737</f>
        <v>0</v>
      </c>
      <c r="Q737" s="149">
        <v>0</v>
      </c>
      <c r="R737" s="149">
        <f>Q737*H737</f>
        <v>0</v>
      </c>
      <c r="S737" s="149">
        <v>0</v>
      </c>
      <c r="T737" s="150">
        <f>S737*H737</f>
        <v>0</v>
      </c>
      <c r="U737" s="34"/>
      <c r="V737" s="34"/>
      <c r="W737" s="34"/>
      <c r="X737" s="34"/>
      <c r="Y737" s="34"/>
      <c r="Z737" s="34"/>
      <c r="AA737" s="34"/>
      <c r="AB737" s="34"/>
      <c r="AC737" s="34"/>
      <c r="AD737" s="34"/>
      <c r="AE737" s="34"/>
      <c r="AR737" s="151" t="s">
        <v>237</v>
      </c>
      <c r="AT737" s="151" t="s">
        <v>180</v>
      </c>
      <c r="AU737" s="151" t="s">
        <v>87</v>
      </c>
      <c r="AY737" s="19" t="s">
        <v>177</v>
      </c>
      <c r="BE737" s="152">
        <f>IF(N737="základní",J737,0)</f>
        <v>0</v>
      </c>
      <c r="BF737" s="152">
        <f>IF(N737="snížená",J737,0)</f>
        <v>0</v>
      </c>
      <c r="BG737" s="152">
        <f>IF(N737="zákl. přenesená",J737,0)</f>
        <v>0</v>
      </c>
      <c r="BH737" s="152">
        <f>IF(N737="sníž. přenesená",J737,0)</f>
        <v>0</v>
      </c>
      <c r="BI737" s="152">
        <f>IF(N737="nulová",J737,0)</f>
        <v>0</v>
      </c>
      <c r="BJ737" s="19" t="s">
        <v>85</v>
      </c>
      <c r="BK737" s="152">
        <f>ROUND(I737*H737,2)</f>
        <v>0</v>
      </c>
      <c r="BL737" s="19" t="s">
        <v>237</v>
      </c>
      <c r="BM737" s="151" t="s">
        <v>2914</v>
      </c>
    </row>
    <row r="738" spans="1:65" s="2" customFormat="1">
      <c r="A738" s="34"/>
      <c r="B738" s="35"/>
      <c r="C738" s="34"/>
      <c r="D738" s="153" t="s">
        <v>187</v>
      </c>
      <c r="E738" s="34"/>
      <c r="F738" s="154" t="s">
        <v>2915</v>
      </c>
      <c r="G738" s="34"/>
      <c r="H738" s="34"/>
      <c r="I738" s="155"/>
      <c r="J738" s="34"/>
      <c r="K738" s="34"/>
      <c r="L738" s="35"/>
      <c r="M738" s="156"/>
      <c r="N738" s="157"/>
      <c r="O738" s="55"/>
      <c r="P738" s="55"/>
      <c r="Q738" s="55"/>
      <c r="R738" s="55"/>
      <c r="S738" s="55"/>
      <c r="T738" s="56"/>
      <c r="U738" s="34"/>
      <c r="V738" s="34"/>
      <c r="W738" s="34"/>
      <c r="X738" s="34"/>
      <c r="Y738" s="34"/>
      <c r="Z738" s="34"/>
      <c r="AA738" s="34"/>
      <c r="AB738" s="34"/>
      <c r="AC738" s="34"/>
      <c r="AD738" s="34"/>
      <c r="AE738" s="34"/>
      <c r="AT738" s="19" t="s">
        <v>187</v>
      </c>
      <c r="AU738" s="19" t="s">
        <v>87</v>
      </c>
    </row>
    <row r="739" spans="1:65" s="2" customFormat="1">
      <c r="A739" s="34"/>
      <c r="B739" s="35"/>
      <c r="C739" s="34"/>
      <c r="D739" s="158" t="s">
        <v>189</v>
      </c>
      <c r="E739" s="34"/>
      <c r="F739" s="159" t="s">
        <v>2916</v>
      </c>
      <c r="G739" s="34"/>
      <c r="H739" s="34"/>
      <c r="I739" s="155"/>
      <c r="J739" s="34"/>
      <c r="K739" s="34"/>
      <c r="L739" s="35"/>
      <c r="M739" s="156"/>
      <c r="N739" s="157"/>
      <c r="O739" s="55"/>
      <c r="P739" s="55"/>
      <c r="Q739" s="55"/>
      <c r="R739" s="55"/>
      <c r="S739" s="55"/>
      <c r="T739" s="56"/>
      <c r="U739" s="34"/>
      <c r="V739" s="34"/>
      <c r="W739" s="34"/>
      <c r="X739" s="34"/>
      <c r="Y739" s="34"/>
      <c r="Z739" s="34"/>
      <c r="AA739" s="34"/>
      <c r="AB739" s="34"/>
      <c r="AC739" s="34"/>
      <c r="AD739" s="34"/>
      <c r="AE739" s="34"/>
      <c r="AT739" s="19" t="s">
        <v>189</v>
      </c>
      <c r="AU739" s="19" t="s">
        <v>87</v>
      </c>
    </row>
    <row r="740" spans="1:65" s="2" customFormat="1" ht="16.5" customHeight="1">
      <c r="A740" s="34"/>
      <c r="B740" s="139"/>
      <c r="C740" s="195" t="s">
        <v>2917</v>
      </c>
      <c r="D740" s="195" t="s">
        <v>484</v>
      </c>
      <c r="E740" s="196" t="s">
        <v>2918</v>
      </c>
      <c r="F740" s="197" t="s">
        <v>2919</v>
      </c>
      <c r="G740" s="198" t="s">
        <v>236</v>
      </c>
      <c r="H740" s="199">
        <v>8</v>
      </c>
      <c r="I740" s="200"/>
      <c r="J740" s="201">
        <f>ROUND(I740*H740,2)</f>
        <v>0</v>
      </c>
      <c r="K740" s="197" t="s">
        <v>184</v>
      </c>
      <c r="L740" s="202"/>
      <c r="M740" s="203" t="s">
        <v>3</v>
      </c>
      <c r="N740" s="204" t="s">
        <v>48</v>
      </c>
      <c r="O740" s="55"/>
      <c r="P740" s="149">
        <f>O740*H740</f>
        <v>0</v>
      </c>
      <c r="Q740" s="149">
        <v>1.18E-2</v>
      </c>
      <c r="R740" s="149">
        <f>Q740*H740</f>
        <v>9.4399999999999998E-2</v>
      </c>
      <c r="S740" s="149">
        <v>0</v>
      </c>
      <c r="T740" s="150">
        <f>S740*H740</f>
        <v>0</v>
      </c>
      <c r="U740" s="34"/>
      <c r="V740" s="34"/>
      <c r="W740" s="34"/>
      <c r="X740" s="34"/>
      <c r="Y740" s="34"/>
      <c r="Z740" s="34"/>
      <c r="AA740" s="34"/>
      <c r="AB740" s="34"/>
      <c r="AC740" s="34"/>
      <c r="AD740" s="34"/>
      <c r="AE740" s="34"/>
      <c r="AR740" s="151" t="s">
        <v>537</v>
      </c>
      <c r="AT740" s="151" t="s">
        <v>484</v>
      </c>
      <c r="AU740" s="151" t="s">
        <v>87</v>
      </c>
      <c r="AY740" s="19" t="s">
        <v>177</v>
      </c>
      <c r="BE740" s="152">
        <f>IF(N740="základní",J740,0)</f>
        <v>0</v>
      </c>
      <c r="BF740" s="152">
        <f>IF(N740="snížená",J740,0)</f>
        <v>0</v>
      </c>
      <c r="BG740" s="152">
        <f>IF(N740="zákl. přenesená",J740,0)</f>
        <v>0</v>
      </c>
      <c r="BH740" s="152">
        <f>IF(N740="sníž. přenesená",J740,0)</f>
        <v>0</v>
      </c>
      <c r="BI740" s="152">
        <f>IF(N740="nulová",J740,0)</f>
        <v>0</v>
      </c>
      <c r="BJ740" s="19" t="s">
        <v>85</v>
      </c>
      <c r="BK740" s="152">
        <f>ROUND(I740*H740,2)</f>
        <v>0</v>
      </c>
      <c r="BL740" s="19" t="s">
        <v>237</v>
      </c>
      <c r="BM740" s="151" t="s">
        <v>2920</v>
      </c>
    </row>
    <row r="741" spans="1:65" s="2" customFormat="1">
      <c r="A741" s="34"/>
      <c r="B741" s="35"/>
      <c r="C741" s="34"/>
      <c r="D741" s="153" t="s">
        <v>187</v>
      </c>
      <c r="E741" s="34"/>
      <c r="F741" s="154" t="s">
        <v>2919</v>
      </c>
      <c r="G741" s="34"/>
      <c r="H741" s="34"/>
      <c r="I741" s="155"/>
      <c r="J741" s="34"/>
      <c r="K741" s="34"/>
      <c r="L741" s="35"/>
      <c r="M741" s="156"/>
      <c r="N741" s="157"/>
      <c r="O741" s="55"/>
      <c r="P741" s="55"/>
      <c r="Q741" s="55"/>
      <c r="R741" s="55"/>
      <c r="S741" s="55"/>
      <c r="T741" s="56"/>
      <c r="U741" s="34"/>
      <c r="V741" s="34"/>
      <c r="W741" s="34"/>
      <c r="X741" s="34"/>
      <c r="Y741" s="34"/>
      <c r="Z741" s="34"/>
      <c r="AA741" s="34"/>
      <c r="AB741" s="34"/>
      <c r="AC741" s="34"/>
      <c r="AD741" s="34"/>
      <c r="AE741" s="34"/>
      <c r="AT741" s="19" t="s">
        <v>187</v>
      </c>
      <c r="AU741" s="19" t="s">
        <v>87</v>
      </c>
    </row>
    <row r="742" spans="1:65" s="2" customFormat="1" ht="16.5" customHeight="1">
      <c r="A742" s="34"/>
      <c r="B742" s="139"/>
      <c r="C742" s="140" t="s">
        <v>2921</v>
      </c>
      <c r="D742" s="140" t="s">
        <v>180</v>
      </c>
      <c r="E742" s="141" t="s">
        <v>2922</v>
      </c>
      <c r="F742" s="142" t="s">
        <v>2923</v>
      </c>
      <c r="G742" s="143" t="s">
        <v>476</v>
      </c>
      <c r="H742" s="144">
        <v>2.4540000000000002</v>
      </c>
      <c r="I742" s="145"/>
      <c r="J742" s="146">
        <f>ROUND(I742*H742,2)</f>
        <v>0</v>
      </c>
      <c r="K742" s="142" t="s">
        <v>184</v>
      </c>
      <c r="L742" s="35"/>
      <c r="M742" s="147" t="s">
        <v>3</v>
      </c>
      <c r="N742" s="148" t="s">
        <v>48</v>
      </c>
      <c r="O742" s="55"/>
      <c r="P742" s="149">
        <f>O742*H742</f>
        <v>0</v>
      </c>
      <c r="Q742" s="149">
        <v>0</v>
      </c>
      <c r="R742" s="149">
        <f>Q742*H742</f>
        <v>0</v>
      </c>
      <c r="S742" s="149">
        <v>0</v>
      </c>
      <c r="T742" s="150">
        <f>S742*H742</f>
        <v>0</v>
      </c>
      <c r="U742" s="34"/>
      <c r="V742" s="34"/>
      <c r="W742" s="34"/>
      <c r="X742" s="34"/>
      <c r="Y742" s="34"/>
      <c r="Z742" s="34"/>
      <c r="AA742" s="34"/>
      <c r="AB742" s="34"/>
      <c r="AC742" s="34"/>
      <c r="AD742" s="34"/>
      <c r="AE742" s="34"/>
      <c r="AR742" s="151" t="s">
        <v>237</v>
      </c>
      <c r="AT742" s="151" t="s">
        <v>180</v>
      </c>
      <c r="AU742" s="151" t="s">
        <v>87</v>
      </c>
      <c r="AY742" s="19" t="s">
        <v>177</v>
      </c>
      <c r="BE742" s="152">
        <f>IF(N742="základní",J742,0)</f>
        <v>0</v>
      </c>
      <c r="BF742" s="152">
        <f>IF(N742="snížená",J742,0)</f>
        <v>0</v>
      </c>
      <c r="BG742" s="152">
        <f>IF(N742="zákl. přenesená",J742,0)</f>
        <v>0</v>
      </c>
      <c r="BH742" s="152">
        <f>IF(N742="sníž. přenesená",J742,0)</f>
        <v>0</v>
      </c>
      <c r="BI742" s="152">
        <f>IF(N742="nulová",J742,0)</f>
        <v>0</v>
      </c>
      <c r="BJ742" s="19" t="s">
        <v>85</v>
      </c>
      <c r="BK742" s="152">
        <f>ROUND(I742*H742,2)</f>
        <v>0</v>
      </c>
      <c r="BL742" s="19" t="s">
        <v>237</v>
      </c>
      <c r="BM742" s="151" t="s">
        <v>2924</v>
      </c>
    </row>
    <row r="743" spans="1:65" s="2" customFormat="1" ht="19.5">
      <c r="A743" s="34"/>
      <c r="B743" s="35"/>
      <c r="C743" s="34"/>
      <c r="D743" s="153" t="s">
        <v>187</v>
      </c>
      <c r="E743" s="34"/>
      <c r="F743" s="154" t="s">
        <v>2925</v>
      </c>
      <c r="G743" s="34"/>
      <c r="H743" s="34"/>
      <c r="I743" s="155"/>
      <c r="J743" s="34"/>
      <c r="K743" s="34"/>
      <c r="L743" s="35"/>
      <c r="M743" s="156"/>
      <c r="N743" s="157"/>
      <c r="O743" s="55"/>
      <c r="P743" s="55"/>
      <c r="Q743" s="55"/>
      <c r="R743" s="55"/>
      <c r="S743" s="55"/>
      <c r="T743" s="56"/>
      <c r="U743" s="34"/>
      <c r="V743" s="34"/>
      <c r="W743" s="34"/>
      <c r="X743" s="34"/>
      <c r="Y743" s="34"/>
      <c r="Z743" s="34"/>
      <c r="AA743" s="34"/>
      <c r="AB743" s="34"/>
      <c r="AC743" s="34"/>
      <c r="AD743" s="34"/>
      <c r="AE743" s="34"/>
      <c r="AT743" s="19" t="s">
        <v>187</v>
      </c>
      <c r="AU743" s="19" t="s">
        <v>87</v>
      </c>
    </row>
    <row r="744" spans="1:65" s="2" customFormat="1">
      <c r="A744" s="34"/>
      <c r="B744" s="35"/>
      <c r="C744" s="34"/>
      <c r="D744" s="158" t="s">
        <v>189</v>
      </c>
      <c r="E744" s="34"/>
      <c r="F744" s="159" t="s">
        <v>2926</v>
      </c>
      <c r="G744" s="34"/>
      <c r="H744" s="34"/>
      <c r="I744" s="155"/>
      <c r="J744" s="34"/>
      <c r="K744" s="34"/>
      <c r="L744" s="35"/>
      <c r="M744" s="156"/>
      <c r="N744" s="157"/>
      <c r="O744" s="55"/>
      <c r="P744" s="55"/>
      <c r="Q744" s="55"/>
      <c r="R744" s="55"/>
      <c r="S744" s="55"/>
      <c r="T744" s="56"/>
      <c r="U744" s="34"/>
      <c r="V744" s="34"/>
      <c r="W744" s="34"/>
      <c r="X744" s="34"/>
      <c r="Y744" s="34"/>
      <c r="Z744" s="34"/>
      <c r="AA744" s="34"/>
      <c r="AB744" s="34"/>
      <c r="AC744" s="34"/>
      <c r="AD744" s="34"/>
      <c r="AE744" s="34"/>
      <c r="AT744" s="19" t="s">
        <v>189</v>
      </c>
      <c r="AU744" s="19" t="s">
        <v>87</v>
      </c>
    </row>
    <row r="745" spans="1:65" s="2" customFormat="1" ht="48.75">
      <c r="A745" s="34"/>
      <c r="B745" s="35"/>
      <c r="C745" s="34"/>
      <c r="D745" s="153" t="s">
        <v>191</v>
      </c>
      <c r="E745" s="34"/>
      <c r="F745" s="160" t="s">
        <v>2927</v>
      </c>
      <c r="G745" s="34"/>
      <c r="H745" s="34"/>
      <c r="I745" s="155"/>
      <c r="J745" s="34"/>
      <c r="K745" s="34"/>
      <c r="L745" s="35"/>
      <c r="M745" s="156"/>
      <c r="N745" s="157"/>
      <c r="O745" s="55"/>
      <c r="P745" s="55"/>
      <c r="Q745" s="55"/>
      <c r="R745" s="55"/>
      <c r="S745" s="55"/>
      <c r="T745" s="56"/>
      <c r="U745" s="34"/>
      <c r="V745" s="34"/>
      <c r="W745" s="34"/>
      <c r="X745" s="34"/>
      <c r="Y745" s="34"/>
      <c r="Z745" s="34"/>
      <c r="AA745" s="34"/>
      <c r="AB745" s="34"/>
      <c r="AC745" s="34"/>
      <c r="AD745" s="34"/>
      <c r="AE745" s="34"/>
      <c r="AT745" s="19" t="s">
        <v>191</v>
      </c>
      <c r="AU745" s="19" t="s">
        <v>87</v>
      </c>
    </row>
    <row r="746" spans="1:65" s="14" customFormat="1">
      <c r="B746" s="169"/>
      <c r="D746" s="153" t="s">
        <v>193</v>
      </c>
      <c r="E746" s="170" t="s">
        <v>3</v>
      </c>
      <c r="F746" s="171" t="s">
        <v>2928</v>
      </c>
      <c r="H746" s="170" t="s">
        <v>3</v>
      </c>
      <c r="I746" s="172"/>
      <c r="L746" s="169"/>
      <c r="M746" s="173"/>
      <c r="N746" s="174"/>
      <c r="O746" s="174"/>
      <c r="P746" s="174"/>
      <c r="Q746" s="174"/>
      <c r="R746" s="174"/>
      <c r="S746" s="174"/>
      <c r="T746" s="175"/>
      <c r="AT746" s="170" t="s">
        <v>193</v>
      </c>
      <c r="AU746" s="170" t="s">
        <v>87</v>
      </c>
      <c r="AV746" s="14" t="s">
        <v>85</v>
      </c>
      <c r="AW746" s="14" t="s">
        <v>36</v>
      </c>
      <c r="AX746" s="14" t="s">
        <v>77</v>
      </c>
      <c r="AY746" s="170" t="s">
        <v>177</v>
      </c>
    </row>
    <row r="747" spans="1:65" s="13" customFormat="1">
      <c r="B747" s="161"/>
      <c r="D747" s="153" t="s">
        <v>193</v>
      </c>
      <c r="E747" s="162" t="s">
        <v>3</v>
      </c>
      <c r="F747" s="163" t="s">
        <v>2929</v>
      </c>
      <c r="H747" s="164">
        <v>2.4540000000000002</v>
      </c>
      <c r="I747" s="165"/>
      <c r="L747" s="161"/>
      <c r="M747" s="166"/>
      <c r="N747" s="167"/>
      <c r="O747" s="167"/>
      <c r="P747" s="167"/>
      <c r="Q747" s="167"/>
      <c r="R747" s="167"/>
      <c r="S747" s="167"/>
      <c r="T747" s="168"/>
      <c r="AT747" s="162" t="s">
        <v>193</v>
      </c>
      <c r="AU747" s="162" t="s">
        <v>87</v>
      </c>
      <c r="AV747" s="13" t="s">
        <v>87</v>
      </c>
      <c r="AW747" s="13" t="s">
        <v>36</v>
      </c>
      <c r="AX747" s="13" t="s">
        <v>85</v>
      </c>
      <c r="AY747" s="162" t="s">
        <v>177</v>
      </c>
    </row>
    <row r="748" spans="1:65" s="2" customFormat="1" ht="16.5" customHeight="1">
      <c r="A748" s="34"/>
      <c r="B748" s="139"/>
      <c r="C748" s="195" t="s">
        <v>2930</v>
      </c>
      <c r="D748" s="195" t="s">
        <v>484</v>
      </c>
      <c r="E748" s="196" t="s">
        <v>2931</v>
      </c>
      <c r="F748" s="197" t="s">
        <v>2932</v>
      </c>
      <c r="G748" s="198" t="s">
        <v>183</v>
      </c>
      <c r="H748" s="199">
        <v>4.3999999999999997E-2</v>
      </c>
      <c r="I748" s="200"/>
      <c r="J748" s="201">
        <f>ROUND(I748*H748,2)</f>
        <v>0</v>
      </c>
      <c r="K748" s="197" t="s">
        <v>244</v>
      </c>
      <c r="L748" s="202"/>
      <c r="M748" s="203" t="s">
        <v>3</v>
      </c>
      <c r="N748" s="204" t="s">
        <v>48</v>
      </c>
      <c r="O748" s="55"/>
      <c r="P748" s="149">
        <f>O748*H748</f>
        <v>0</v>
      </c>
      <c r="Q748" s="149">
        <v>1</v>
      </c>
      <c r="R748" s="149">
        <f>Q748*H748</f>
        <v>4.3999999999999997E-2</v>
      </c>
      <c r="S748" s="149">
        <v>0</v>
      </c>
      <c r="T748" s="150">
        <f>S748*H748</f>
        <v>0</v>
      </c>
      <c r="U748" s="34"/>
      <c r="V748" s="34"/>
      <c r="W748" s="34"/>
      <c r="X748" s="34"/>
      <c r="Y748" s="34"/>
      <c r="Z748" s="34"/>
      <c r="AA748" s="34"/>
      <c r="AB748" s="34"/>
      <c r="AC748" s="34"/>
      <c r="AD748" s="34"/>
      <c r="AE748" s="34"/>
      <c r="AR748" s="151" t="s">
        <v>537</v>
      </c>
      <c r="AT748" s="151" t="s">
        <v>484</v>
      </c>
      <c r="AU748" s="151" t="s">
        <v>87</v>
      </c>
      <c r="AY748" s="19" t="s">
        <v>177</v>
      </c>
      <c r="BE748" s="152">
        <f>IF(N748="základní",J748,0)</f>
        <v>0</v>
      </c>
      <c r="BF748" s="152">
        <f>IF(N748="snížená",J748,0)</f>
        <v>0</v>
      </c>
      <c r="BG748" s="152">
        <f>IF(N748="zákl. přenesená",J748,0)</f>
        <v>0</v>
      </c>
      <c r="BH748" s="152">
        <f>IF(N748="sníž. přenesená",J748,0)</f>
        <v>0</v>
      </c>
      <c r="BI748" s="152">
        <f>IF(N748="nulová",J748,0)</f>
        <v>0</v>
      </c>
      <c r="BJ748" s="19" t="s">
        <v>85</v>
      </c>
      <c r="BK748" s="152">
        <f>ROUND(I748*H748,2)</f>
        <v>0</v>
      </c>
      <c r="BL748" s="19" t="s">
        <v>237</v>
      </c>
      <c r="BM748" s="151" t="s">
        <v>2933</v>
      </c>
    </row>
    <row r="749" spans="1:65" s="2" customFormat="1">
      <c r="A749" s="34"/>
      <c r="B749" s="35"/>
      <c r="C749" s="34"/>
      <c r="D749" s="153" t="s">
        <v>187</v>
      </c>
      <c r="E749" s="34"/>
      <c r="F749" s="154" t="s">
        <v>2934</v>
      </c>
      <c r="G749" s="34"/>
      <c r="H749" s="34"/>
      <c r="I749" s="155"/>
      <c r="J749" s="34"/>
      <c r="K749" s="34"/>
      <c r="L749" s="35"/>
      <c r="M749" s="156"/>
      <c r="N749" s="157"/>
      <c r="O749" s="55"/>
      <c r="P749" s="55"/>
      <c r="Q749" s="55"/>
      <c r="R749" s="55"/>
      <c r="S749" s="55"/>
      <c r="T749" s="56"/>
      <c r="U749" s="34"/>
      <c r="V749" s="34"/>
      <c r="W749" s="34"/>
      <c r="X749" s="34"/>
      <c r="Y749" s="34"/>
      <c r="Z749" s="34"/>
      <c r="AA749" s="34"/>
      <c r="AB749" s="34"/>
      <c r="AC749" s="34"/>
      <c r="AD749" s="34"/>
      <c r="AE749" s="34"/>
      <c r="AT749" s="19" t="s">
        <v>187</v>
      </c>
      <c r="AU749" s="19" t="s">
        <v>87</v>
      </c>
    </row>
    <row r="750" spans="1:65" s="13" customFormat="1">
      <c r="B750" s="161"/>
      <c r="D750" s="153" t="s">
        <v>193</v>
      </c>
      <c r="E750" s="162" t="s">
        <v>3</v>
      </c>
      <c r="F750" s="163" t="s">
        <v>2935</v>
      </c>
      <c r="H750" s="164">
        <v>4.3999999999999997E-2</v>
      </c>
      <c r="I750" s="165"/>
      <c r="L750" s="161"/>
      <c r="M750" s="166"/>
      <c r="N750" s="167"/>
      <c r="O750" s="167"/>
      <c r="P750" s="167"/>
      <c r="Q750" s="167"/>
      <c r="R750" s="167"/>
      <c r="S750" s="167"/>
      <c r="T750" s="168"/>
      <c r="AT750" s="162" t="s">
        <v>193</v>
      </c>
      <c r="AU750" s="162" t="s">
        <v>87</v>
      </c>
      <c r="AV750" s="13" t="s">
        <v>87</v>
      </c>
      <c r="AW750" s="13" t="s">
        <v>36</v>
      </c>
      <c r="AX750" s="13" t="s">
        <v>85</v>
      </c>
      <c r="AY750" s="162" t="s">
        <v>177</v>
      </c>
    </row>
    <row r="751" spans="1:65" s="2" customFormat="1" ht="16.5" customHeight="1">
      <c r="A751" s="34"/>
      <c r="B751" s="139"/>
      <c r="C751" s="195" t="s">
        <v>2936</v>
      </c>
      <c r="D751" s="195" t="s">
        <v>484</v>
      </c>
      <c r="E751" s="196" t="s">
        <v>2937</v>
      </c>
      <c r="F751" s="197" t="s">
        <v>2938</v>
      </c>
      <c r="G751" s="198" t="s">
        <v>243</v>
      </c>
      <c r="H751" s="199">
        <v>1</v>
      </c>
      <c r="I751" s="200"/>
      <c r="J751" s="201">
        <f>ROUND(I751*H751,2)</f>
        <v>0</v>
      </c>
      <c r="K751" s="197" t="s">
        <v>244</v>
      </c>
      <c r="L751" s="202"/>
      <c r="M751" s="203" t="s">
        <v>3</v>
      </c>
      <c r="N751" s="204" t="s">
        <v>48</v>
      </c>
      <c r="O751" s="55"/>
      <c r="P751" s="149">
        <f>O751*H751</f>
        <v>0</v>
      </c>
      <c r="Q751" s="149">
        <v>0</v>
      </c>
      <c r="R751" s="149">
        <f>Q751*H751</f>
        <v>0</v>
      </c>
      <c r="S751" s="149">
        <v>0</v>
      </c>
      <c r="T751" s="150">
        <f>S751*H751</f>
        <v>0</v>
      </c>
      <c r="U751" s="34"/>
      <c r="V751" s="34"/>
      <c r="W751" s="34"/>
      <c r="X751" s="34"/>
      <c r="Y751" s="34"/>
      <c r="Z751" s="34"/>
      <c r="AA751" s="34"/>
      <c r="AB751" s="34"/>
      <c r="AC751" s="34"/>
      <c r="AD751" s="34"/>
      <c r="AE751" s="34"/>
      <c r="AR751" s="151" t="s">
        <v>537</v>
      </c>
      <c r="AT751" s="151" t="s">
        <v>484</v>
      </c>
      <c r="AU751" s="151" t="s">
        <v>87</v>
      </c>
      <c r="AY751" s="19" t="s">
        <v>177</v>
      </c>
      <c r="BE751" s="152">
        <f>IF(N751="základní",J751,0)</f>
        <v>0</v>
      </c>
      <c r="BF751" s="152">
        <f>IF(N751="snížená",J751,0)</f>
        <v>0</v>
      </c>
      <c r="BG751" s="152">
        <f>IF(N751="zákl. přenesená",J751,0)</f>
        <v>0</v>
      </c>
      <c r="BH751" s="152">
        <f>IF(N751="sníž. přenesená",J751,0)</f>
        <v>0</v>
      </c>
      <c r="BI751" s="152">
        <f>IF(N751="nulová",J751,0)</f>
        <v>0</v>
      </c>
      <c r="BJ751" s="19" t="s">
        <v>85</v>
      </c>
      <c r="BK751" s="152">
        <f>ROUND(I751*H751,2)</f>
        <v>0</v>
      </c>
      <c r="BL751" s="19" t="s">
        <v>237</v>
      </c>
      <c r="BM751" s="151" t="s">
        <v>2939</v>
      </c>
    </row>
    <row r="752" spans="1:65" s="2" customFormat="1">
      <c r="A752" s="34"/>
      <c r="B752" s="35"/>
      <c r="C752" s="34"/>
      <c r="D752" s="153" t="s">
        <v>187</v>
      </c>
      <c r="E752" s="34"/>
      <c r="F752" s="154" t="s">
        <v>2938</v>
      </c>
      <c r="G752" s="34"/>
      <c r="H752" s="34"/>
      <c r="I752" s="155"/>
      <c r="J752" s="34"/>
      <c r="K752" s="34"/>
      <c r="L752" s="35"/>
      <c r="M752" s="156"/>
      <c r="N752" s="157"/>
      <c r="O752" s="55"/>
      <c r="P752" s="55"/>
      <c r="Q752" s="55"/>
      <c r="R752" s="55"/>
      <c r="S752" s="55"/>
      <c r="T752" s="56"/>
      <c r="U752" s="34"/>
      <c r="V752" s="34"/>
      <c r="W752" s="34"/>
      <c r="X752" s="34"/>
      <c r="Y752" s="34"/>
      <c r="Z752" s="34"/>
      <c r="AA752" s="34"/>
      <c r="AB752" s="34"/>
      <c r="AC752" s="34"/>
      <c r="AD752" s="34"/>
      <c r="AE752" s="34"/>
      <c r="AT752" s="19" t="s">
        <v>187</v>
      </c>
      <c r="AU752" s="19" t="s">
        <v>87</v>
      </c>
    </row>
    <row r="753" spans="1:65" s="2" customFormat="1" ht="16.5" customHeight="1">
      <c r="A753" s="34"/>
      <c r="B753" s="139"/>
      <c r="C753" s="140" t="s">
        <v>2940</v>
      </c>
      <c r="D753" s="140" t="s">
        <v>180</v>
      </c>
      <c r="E753" s="141" t="s">
        <v>2941</v>
      </c>
      <c r="F753" s="142" t="s">
        <v>2942</v>
      </c>
      <c r="G753" s="143" t="s">
        <v>476</v>
      </c>
      <c r="H753" s="144">
        <v>4.9189999999999996</v>
      </c>
      <c r="I753" s="145"/>
      <c r="J753" s="146">
        <f>ROUND(I753*H753,2)</f>
        <v>0</v>
      </c>
      <c r="K753" s="142" t="s">
        <v>184</v>
      </c>
      <c r="L753" s="35"/>
      <c r="M753" s="147" t="s">
        <v>3</v>
      </c>
      <c r="N753" s="148" t="s">
        <v>48</v>
      </c>
      <c r="O753" s="55"/>
      <c r="P753" s="149">
        <f>O753*H753</f>
        <v>0</v>
      </c>
      <c r="Q753" s="149">
        <v>0</v>
      </c>
      <c r="R753" s="149">
        <f>Q753*H753</f>
        <v>0</v>
      </c>
      <c r="S753" s="149">
        <v>0</v>
      </c>
      <c r="T753" s="150">
        <f>S753*H753</f>
        <v>0</v>
      </c>
      <c r="U753" s="34"/>
      <c r="V753" s="34"/>
      <c r="W753" s="34"/>
      <c r="X753" s="34"/>
      <c r="Y753" s="34"/>
      <c r="Z753" s="34"/>
      <c r="AA753" s="34"/>
      <c r="AB753" s="34"/>
      <c r="AC753" s="34"/>
      <c r="AD753" s="34"/>
      <c r="AE753" s="34"/>
      <c r="AR753" s="151" t="s">
        <v>237</v>
      </c>
      <c r="AT753" s="151" t="s">
        <v>180</v>
      </c>
      <c r="AU753" s="151" t="s">
        <v>87</v>
      </c>
      <c r="AY753" s="19" t="s">
        <v>177</v>
      </c>
      <c r="BE753" s="152">
        <f>IF(N753="základní",J753,0)</f>
        <v>0</v>
      </c>
      <c r="BF753" s="152">
        <f>IF(N753="snížená",J753,0)</f>
        <v>0</v>
      </c>
      <c r="BG753" s="152">
        <f>IF(N753="zákl. přenesená",J753,0)</f>
        <v>0</v>
      </c>
      <c r="BH753" s="152">
        <f>IF(N753="sníž. přenesená",J753,0)</f>
        <v>0</v>
      </c>
      <c r="BI753" s="152">
        <f>IF(N753="nulová",J753,0)</f>
        <v>0</v>
      </c>
      <c r="BJ753" s="19" t="s">
        <v>85</v>
      </c>
      <c r="BK753" s="152">
        <f>ROUND(I753*H753,2)</f>
        <v>0</v>
      </c>
      <c r="BL753" s="19" t="s">
        <v>237</v>
      </c>
      <c r="BM753" s="151" t="s">
        <v>2943</v>
      </c>
    </row>
    <row r="754" spans="1:65" s="2" customFormat="1">
      <c r="A754" s="34"/>
      <c r="B754" s="35"/>
      <c r="C754" s="34"/>
      <c r="D754" s="153" t="s">
        <v>187</v>
      </c>
      <c r="E754" s="34"/>
      <c r="F754" s="154" t="s">
        <v>2944</v>
      </c>
      <c r="G754" s="34"/>
      <c r="H754" s="34"/>
      <c r="I754" s="155"/>
      <c r="J754" s="34"/>
      <c r="K754" s="34"/>
      <c r="L754" s="35"/>
      <c r="M754" s="156"/>
      <c r="N754" s="157"/>
      <c r="O754" s="55"/>
      <c r="P754" s="55"/>
      <c r="Q754" s="55"/>
      <c r="R754" s="55"/>
      <c r="S754" s="55"/>
      <c r="T754" s="56"/>
      <c r="U754" s="34"/>
      <c r="V754" s="34"/>
      <c r="W754" s="34"/>
      <c r="X754" s="34"/>
      <c r="Y754" s="34"/>
      <c r="Z754" s="34"/>
      <c r="AA754" s="34"/>
      <c r="AB754" s="34"/>
      <c r="AC754" s="34"/>
      <c r="AD754" s="34"/>
      <c r="AE754" s="34"/>
      <c r="AT754" s="19" t="s">
        <v>187</v>
      </c>
      <c r="AU754" s="19" t="s">
        <v>87</v>
      </c>
    </row>
    <row r="755" spans="1:65" s="2" customFormat="1">
      <c r="A755" s="34"/>
      <c r="B755" s="35"/>
      <c r="C755" s="34"/>
      <c r="D755" s="158" t="s">
        <v>189</v>
      </c>
      <c r="E755" s="34"/>
      <c r="F755" s="159" t="s">
        <v>2945</v>
      </c>
      <c r="G755" s="34"/>
      <c r="H755" s="34"/>
      <c r="I755" s="155"/>
      <c r="J755" s="34"/>
      <c r="K755" s="34"/>
      <c r="L755" s="35"/>
      <c r="M755" s="156"/>
      <c r="N755" s="157"/>
      <c r="O755" s="55"/>
      <c r="P755" s="55"/>
      <c r="Q755" s="55"/>
      <c r="R755" s="55"/>
      <c r="S755" s="55"/>
      <c r="T755" s="56"/>
      <c r="U755" s="34"/>
      <c r="V755" s="34"/>
      <c r="W755" s="34"/>
      <c r="X755" s="34"/>
      <c r="Y755" s="34"/>
      <c r="Z755" s="34"/>
      <c r="AA755" s="34"/>
      <c r="AB755" s="34"/>
      <c r="AC755" s="34"/>
      <c r="AD755" s="34"/>
      <c r="AE755" s="34"/>
      <c r="AT755" s="19" t="s">
        <v>189</v>
      </c>
      <c r="AU755" s="19" t="s">
        <v>87</v>
      </c>
    </row>
    <row r="756" spans="1:65" s="2" customFormat="1" ht="87.75">
      <c r="A756" s="34"/>
      <c r="B756" s="35"/>
      <c r="C756" s="34"/>
      <c r="D756" s="153" t="s">
        <v>191</v>
      </c>
      <c r="E756" s="34"/>
      <c r="F756" s="160" t="s">
        <v>2946</v>
      </c>
      <c r="G756" s="34"/>
      <c r="H756" s="34"/>
      <c r="I756" s="155"/>
      <c r="J756" s="34"/>
      <c r="K756" s="34"/>
      <c r="L756" s="35"/>
      <c r="M756" s="156"/>
      <c r="N756" s="157"/>
      <c r="O756" s="55"/>
      <c r="P756" s="55"/>
      <c r="Q756" s="55"/>
      <c r="R756" s="55"/>
      <c r="S756" s="55"/>
      <c r="T756" s="56"/>
      <c r="U756" s="34"/>
      <c r="V756" s="34"/>
      <c r="W756" s="34"/>
      <c r="X756" s="34"/>
      <c r="Y756" s="34"/>
      <c r="Z756" s="34"/>
      <c r="AA756" s="34"/>
      <c r="AB756" s="34"/>
      <c r="AC756" s="34"/>
      <c r="AD756" s="34"/>
      <c r="AE756" s="34"/>
      <c r="AT756" s="19" t="s">
        <v>191</v>
      </c>
      <c r="AU756" s="19" t="s">
        <v>87</v>
      </c>
    </row>
    <row r="757" spans="1:65" s="13" customFormat="1">
      <c r="B757" s="161"/>
      <c r="D757" s="153" t="s">
        <v>193</v>
      </c>
      <c r="E757" s="162" t="s">
        <v>3</v>
      </c>
      <c r="F757" s="163" t="s">
        <v>2947</v>
      </c>
      <c r="H757" s="164">
        <v>4.4720000000000004</v>
      </c>
      <c r="I757" s="165"/>
      <c r="L757" s="161"/>
      <c r="M757" s="166"/>
      <c r="N757" s="167"/>
      <c r="O757" s="167"/>
      <c r="P757" s="167"/>
      <c r="Q757" s="167"/>
      <c r="R757" s="167"/>
      <c r="S757" s="167"/>
      <c r="T757" s="168"/>
      <c r="AT757" s="162" t="s">
        <v>193</v>
      </c>
      <c r="AU757" s="162" t="s">
        <v>87</v>
      </c>
      <c r="AV757" s="13" t="s">
        <v>87</v>
      </c>
      <c r="AW757" s="13" t="s">
        <v>36</v>
      </c>
      <c r="AX757" s="13" t="s">
        <v>85</v>
      </c>
      <c r="AY757" s="162" t="s">
        <v>177</v>
      </c>
    </row>
    <row r="758" spans="1:65" s="13" customFormat="1">
      <c r="B758" s="161"/>
      <c r="D758" s="153" t="s">
        <v>193</v>
      </c>
      <c r="F758" s="163" t="s">
        <v>2948</v>
      </c>
      <c r="H758" s="164">
        <v>4.9189999999999996</v>
      </c>
      <c r="I758" s="165"/>
      <c r="L758" s="161"/>
      <c r="M758" s="166"/>
      <c r="N758" s="167"/>
      <c r="O758" s="167"/>
      <c r="P758" s="167"/>
      <c r="Q758" s="167"/>
      <c r="R758" s="167"/>
      <c r="S758" s="167"/>
      <c r="T758" s="168"/>
      <c r="AT758" s="162" t="s">
        <v>193</v>
      </c>
      <c r="AU758" s="162" t="s">
        <v>87</v>
      </c>
      <c r="AV758" s="13" t="s">
        <v>87</v>
      </c>
      <c r="AW758" s="13" t="s">
        <v>4</v>
      </c>
      <c r="AX758" s="13" t="s">
        <v>85</v>
      </c>
      <c r="AY758" s="162" t="s">
        <v>177</v>
      </c>
    </row>
    <row r="759" spans="1:65" s="2" customFormat="1" ht="16.5" customHeight="1">
      <c r="A759" s="34"/>
      <c r="B759" s="139"/>
      <c r="C759" s="195" t="s">
        <v>2949</v>
      </c>
      <c r="D759" s="195" t="s">
        <v>484</v>
      </c>
      <c r="E759" s="196" t="s">
        <v>2950</v>
      </c>
      <c r="F759" s="197" t="s">
        <v>2951</v>
      </c>
      <c r="G759" s="198" t="s">
        <v>1630</v>
      </c>
      <c r="H759" s="199">
        <v>70.168999999999997</v>
      </c>
      <c r="I759" s="200"/>
      <c r="J759" s="201">
        <f>ROUND(I759*H759,2)</f>
        <v>0</v>
      </c>
      <c r="K759" s="197" t="s">
        <v>244</v>
      </c>
      <c r="L759" s="202"/>
      <c r="M759" s="203" t="s">
        <v>3</v>
      </c>
      <c r="N759" s="204" t="s">
        <v>48</v>
      </c>
      <c r="O759" s="55"/>
      <c r="P759" s="149">
        <f>O759*H759</f>
        <v>0</v>
      </c>
      <c r="Q759" s="149">
        <v>1E-3</v>
      </c>
      <c r="R759" s="149">
        <f>Q759*H759</f>
        <v>7.0168999999999995E-2</v>
      </c>
      <c r="S759" s="149">
        <v>0</v>
      </c>
      <c r="T759" s="150">
        <f>S759*H759</f>
        <v>0</v>
      </c>
      <c r="U759" s="34"/>
      <c r="V759" s="34"/>
      <c r="W759" s="34"/>
      <c r="X759" s="34"/>
      <c r="Y759" s="34"/>
      <c r="Z759" s="34"/>
      <c r="AA759" s="34"/>
      <c r="AB759" s="34"/>
      <c r="AC759" s="34"/>
      <c r="AD759" s="34"/>
      <c r="AE759" s="34"/>
      <c r="AR759" s="151" t="s">
        <v>537</v>
      </c>
      <c r="AT759" s="151" t="s">
        <v>484</v>
      </c>
      <c r="AU759" s="151" t="s">
        <v>87</v>
      </c>
      <c r="AY759" s="19" t="s">
        <v>177</v>
      </c>
      <c r="BE759" s="152">
        <f>IF(N759="základní",J759,0)</f>
        <v>0</v>
      </c>
      <c r="BF759" s="152">
        <f>IF(N759="snížená",J759,0)</f>
        <v>0</v>
      </c>
      <c r="BG759" s="152">
        <f>IF(N759="zákl. přenesená",J759,0)</f>
        <v>0</v>
      </c>
      <c r="BH759" s="152">
        <f>IF(N759="sníž. přenesená",J759,0)</f>
        <v>0</v>
      </c>
      <c r="BI759" s="152">
        <f>IF(N759="nulová",J759,0)</f>
        <v>0</v>
      </c>
      <c r="BJ759" s="19" t="s">
        <v>85</v>
      </c>
      <c r="BK759" s="152">
        <f>ROUND(I759*H759,2)</f>
        <v>0</v>
      </c>
      <c r="BL759" s="19" t="s">
        <v>237</v>
      </c>
      <c r="BM759" s="151" t="s">
        <v>2952</v>
      </c>
    </row>
    <row r="760" spans="1:65" s="2" customFormat="1">
      <c r="A760" s="34"/>
      <c r="B760" s="35"/>
      <c r="C760" s="34"/>
      <c r="D760" s="153" t="s">
        <v>187</v>
      </c>
      <c r="E760" s="34"/>
      <c r="F760" s="154" t="s">
        <v>2951</v>
      </c>
      <c r="G760" s="34"/>
      <c r="H760" s="34"/>
      <c r="I760" s="155"/>
      <c r="J760" s="34"/>
      <c r="K760" s="34"/>
      <c r="L760" s="35"/>
      <c r="M760" s="156"/>
      <c r="N760" s="157"/>
      <c r="O760" s="55"/>
      <c r="P760" s="55"/>
      <c r="Q760" s="55"/>
      <c r="R760" s="55"/>
      <c r="S760" s="55"/>
      <c r="T760" s="56"/>
      <c r="U760" s="34"/>
      <c r="V760" s="34"/>
      <c r="W760" s="34"/>
      <c r="X760" s="34"/>
      <c r="Y760" s="34"/>
      <c r="Z760" s="34"/>
      <c r="AA760" s="34"/>
      <c r="AB760" s="34"/>
      <c r="AC760" s="34"/>
      <c r="AD760" s="34"/>
      <c r="AE760" s="34"/>
      <c r="AT760" s="19" t="s">
        <v>187</v>
      </c>
      <c r="AU760" s="19" t="s">
        <v>87</v>
      </c>
    </row>
    <row r="761" spans="1:65" s="14" customFormat="1">
      <c r="B761" s="169"/>
      <c r="D761" s="153" t="s">
        <v>193</v>
      </c>
      <c r="E761" s="170" t="s">
        <v>3</v>
      </c>
      <c r="F761" s="171" t="s">
        <v>2953</v>
      </c>
      <c r="H761" s="170" t="s">
        <v>3</v>
      </c>
      <c r="I761" s="172"/>
      <c r="L761" s="169"/>
      <c r="M761" s="173"/>
      <c r="N761" s="174"/>
      <c r="O761" s="174"/>
      <c r="P761" s="174"/>
      <c r="Q761" s="174"/>
      <c r="R761" s="174"/>
      <c r="S761" s="174"/>
      <c r="T761" s="175"/>
      <c r="AT761" s="170" t="s">
        <v>193</v>
      </c>
      <c r="AU761" s="170" t="s">
        <v>87</v>
      </c>
      <c r="AV761" s="14" t="s">
        <v>85</v>
      </c>
      <c r="AW761" s="14" t="s">
        <v>36</v>
      </c>
      <c r="AX761" s="14" t="s">
        <v>77</v>
      </c>
      <c r="AY761" s="170" t="s">
        <v>177</v>
      </c>
    </row>
    <row r="762" spans="1:65" s="13" customFormat="1">
      <c r="B762" s="161"/>
      <c r="D762" s="153" t="s">
        <v>193</v>
      </c>
      <c r="E762" s="162" t="s">
        <v>3</v>
      </c>
      <c r="F762" s="163" t="s">
        <v>2954</v>
      </c>
      <c r="H762" s="164">
        <v>20.629000000000001</v>
      </c>
      <c r="I762" s="165"/>
      <c r="L762" s="161"/>
      <c r="M762" s="166"/>
      <c r="N762" s="167"/>
      <c r="O762" s="167"/>
      <c r="P762" s="167"/>
      <c r="Q762" s="167"/>
      <c r="R762" s="167"/>
      <c r="S762" s="167"/>
      <c r="T762" s="168"/>
      <c r="AT762" s="162" t="s">
        <v>193</v>
      </c>
      <c r="AU762" s="162" t="s">
        <v>87</v>
      </c>
      <c r="AV762" s="13" t="s">
        <v>87</v>
      </c>
      <c r="AW762" s="13" t="s">
        <v>36</v>
      </c>
      <c r="AX762" s="13" t="s">
        <v>77</v>
      </c>
      <c r="AY762" s="162" t="s">
        <v>177</v>
      </c>
    </row>
    <row r="763" spans="1:65" s="14" customFormat="1">
      <c r="B763" s="169"/>
      <c r="D763" s="153" t="s">
        <v>193</v>
      </c>
      <c r="E763" s="170" t="s">
        <v>3</v>
      </c>
      <c r="F763" s="171" t="s">
        <v>2955</v>
      </c>
      <c r="H763" s="170" t="s">
        <v>3</v>
      </c>
      <c r="I763" s="172"/>
      <c r="L763" s="169"/>
      <c r="M763" s="173"/>
      <c r="N763" s="174"/>
      <c r="O763" s="174"/>
      <c r="P763" s="174"/>
      <c r="Q763" s="174"/>
      <c r="R763" s="174"/>
      <c r="S763" s="174"/>
      <c r="T763" s="175"/>
      <c r="AT763" s="170" t="s">
        <v>193</v>
      </c>
      <c r="AU763" s="170" t="s">
        <v>87</v>
      </c>
      <c r="AV763" s="14" t="s">
        <v>85</v>
      </c>
      <c r="AW763" s="14" t="s">
        <v>36</v>
      </c>
      <c r="AX763" s="14" t="s">
        <v>77</v>
      </c>
      <c r="AY763" s="170" t="s">
        <v>177</v>
      </c>
    </row>
    <row r="764" spans="1:65" s="13" customFormat="1">
      <c r="B764" s="161"/>
      <c r="D764" s="153" t="s">
        <v>193</v>
      </c>
      <c r="E764" s="162" t="s">
        <v>3</v>
      </c>
      <c r="F764" s="163" t="s">
        <v>2956</v>
      </c>
      <c r="H764" s="164">
        <v>19.297999999999998</v>
      </c>
      <c r="I764" s="165"/>
      <c r="L764" s="161"/>
      <c r="M764" s="166"/>
      <c r="N764" s="167"/>
      <c r="O764" s="167"/>
      <c r="P764" s="167"/>
      <c r="Q764" s="167"/>
      <c r="R764" s="167"/>
      <c r="S764" s="167"/>
      <c r="T764" s="168"/>
      <c r="AT764" s="162" t="s">
        <v>193</v>
      </c>
      <c r="AU764" s="162" t="s">
        <v>87</v>
      </c>
      <c r="AV764" s="13" t="s">
        <v>87</v>
      </c>
      <c r="AW764" s="13" t="s">
        <v>36</v>
      </c>
      <c r="AX764" s="13" t="s">
        <v>77</v>
      </c>
      <c r="AY764" s="162" t="s">
        <v>177</v>
      </c>
    </row>
    <row r="765" spans="1:65" s="14" customFormat="1">
      <c r="B765" s="169"/>
      <c r="D765" s="153" t="s">
        <v>193</v>
      </c>
      <c r="E765" s="170" t="s">
        <v>3</v>
      </c>
      <c r="F765" s="171" t="s">
        <v>2957</v>
      </c>
      <c r="H765" s="170" t="s">
        <v>3</v>
      </c>
      <c r="I765" s="172"/>
      <c r="L765" s="169"/>
      <c r="M765" s="173"/>
      <c r="N765" s="174"/>
      <c r="O765" s="174"/>
      <c r="P765" s="174"/>
      <c r="Q765" s="174"/>
      <c r="R765" s="174"/>
      <c r="S765" s="174"/>
      <c r="T765" s="175"/>
      <c r="AT765" s="170" t="s">
        <v>193</v>
      </c>
      <c r="AU765" s="170" t="s">
        <v>87</v>
      </c>
      <c r="AV765" s="14" t="s">
        <v>85</v>
      </c>
      <c r="AW765" s="14" t="s">
        <v>36</v>
      </c>
      <c r="AX765" s="14" t="s">
        <v>77</v>
      </c>
      <c r="AY765" s="170" t="s">
        <v>177</v>
      </c>
    </row>
    <row r="766" spans="1:65" s="13" customFormat="1">
      <c r="B766" s="161"/>
      <c r="D766" s="153" t="s">
        <v>193</v>
      </c>
      <c r="E766" s="162" t="s">
        <v>3</v>
      </c>
      <c r="F766" s="163" t="s">
        <v>2958</v>
      </c>
      <c r="H766" s="164">
        <v>8.2840000000000007</v>
      </c>
      <c r="I766" s="165"/>
      <c r="L766" s="161"/>
      <c r="M766" s="166"/>
      <c r="N766" s="167"/>
      <c r="O766" s="167"/>
      <c r="P766" s="167"/>
      <c r="Q766" s="167"/>
      <c r="R766" s="167"/>
      <c r="S766" s="167"/>
      <c r="T766" s="168"/>
      <c r="AT766" s="162" t="s">
        <v>193</v>
      </c>
      <c r="AU766" s="162" t="s">
        <v>87</v>
      </c>
      <c r="AV766" s="13" t="s">
        <v>87</v>
      </c>
      <c r="AW766" s="13" t="s">
        <v>36</v>
      </c>
      <c r="AX766" s="13" t="s">
        <v>77</v>
      </c>
      <c r="AY766" s="162" t="s">
        <v>177</v>
      </c>
    </row>
    <row r="767" spans="1:65" s="14" customFormat="1">
      <c r="B767" s="169"/>
      <c r="D767" s="153" t="s">
        <v>193</v>
      </c>
      <c r="E767" s="170" t="s">
        <v>3</v>
      </c>
      <c r="F767" s="171" t="s">
        <v>2959</v>
      </c>
      <c r="H767" s="170" t="s">
        <v>3</v>
      </c>
      <c r="I767" s="172"/>
      <c r="L767" s="169"/>
      <c r="M767" s="173"/>
      <c r="N767" s="174"/>
      <c r="O767" s="174"/>
      <c r="P767" s="174"/>
      <c r="Q767" s="174"/>
      <c r="R767" s="174"/>
      <c r="S767" s="174"/>
      <c r="T767" s="175"/>
      <c r="AT767" s="170" t="s">
        <v>193</v>
      </c>
      <c r="AU767" s="170" t="s">
        <v>87</v>
      </c>
      <c r="AV767" s="14" t="s">
        <v>85</v>
      </c>
      <c r="AW767" s="14" t="s">
        <v>36</v>
      </c>
      <c r="AX767" s="14" t="s">
        <v>77</v>
      </c>
      <c r="AY767" s="170" t="s">
        <v>177</v>
      </c>
    </row>
    <row r="768" spans="1:65" s="13" customFormat="1">
      <c r="B768" s="161"/>
      <c r="D768" s="153" t="s">
        <v>193</v>
      </c>
      <c r="E768" s="162" t="s">
        <v>3</v>
      </c>
      <c r="F768" s="163" t="s">
        <v>2960</v>
      </c>
      <c r="H768" s="164">
        <v>15.558</v>
      </c>
      <c r="I768" s="165"/>
      <c r="L768" s="161"/>
      <c r="M768" s="166"/>
      <c r="N768" s="167"/>
      <c r="O768" s="167"/>
      <c r="P768" s="167"/>
      <c r="Q768" s="167"/>
      <c r="R768" s="167"/>
      <c r="S768" s="167"/>
      <c r="T768" s="168"/>
      <c r="AT768" s="162" t="s">
        <v>193</v>
      </c>
      <c r="AU768" s="162" t="s">
        <v>87</v>
      </c>
      <c r="AV768" s="13" t="s">
        <v>87</v>
      </c>
      <c r="AW768" s="13" t="s">
        <v>36</v>
      </c>
      <c r="AX768" s="13" t="s">
        <v>77</v>
      </c>
      <c r="AY768" s="162" t="s">
        <v>177</v>
      </c>
    </row>
    <row r="769" spans="1:65" s="15" customFormat="1">
      <c r="B769" s="176"/>
      <c r="D769" s="153" t="s">
        <v>193</v>
      </c>
      <c r="E769" s="177" t="s">
        <v>3</v>
      </c>
      <c r="F769" s="178" t="s">
        <v>197</v>
      </c>
      <c r="H769" s="179">
        <v>63.768999999999998</v>
      </c>
      <c r="I769" s="180"/>
      <c r="L769" s="176"/>
      <c r="M769" s="181"/>
      <c r="N769" s="182"/>
      <c r="O769" s="182"/>
      <c r="P769" s="182"/>
      <c r="Q769" s="182"/>
      <c r="R769" s="182"/>
      <c r="S769" s="182"/>
      <c r="T769" s="183"/>
      <c r="AT769" s="177" t="s">
        <v>193</v>
      </c>
      <c r="AU769" s="177" t="s">
        <v>87</v>
      </c>
      <c r="AV769" s="15" t="s">
        <v>198</v>
      </c>
      <c r="AW769" s="15" t="s">
        <v>36</v>
      </c>
      <c r="AX769" s="15" t="s">
        <v>77</v>
      </c>
      <c r="AY769" s="177" t="s">
        <v>177</v>
      </c>
    </row>
    <row r="770" spans="1:65" s="14" customFormat="1">
      <c r="B770" s="169"/>
      <c r="D770" s="153" t="s">
        <v>193</v>
      </c>
      <c r="E770" s="170" t="s">
        <v>3</v>
      </c>
      <c r="F770" s="171" t="s">
        <v>2961</v>
      </c>
      <c r="H770" s="170" t="s">
        <v>3</v>
      </c>
      <c r="I770" s="172"/>
      <c r="L770" s="169"/>
      <c r="M770" s="173"/>
      <c r="N770" s="174"/>
      <c r="O770" s="174"/>
      <c r="P770" s="174"/>
      <c r="Q770" s="174"/>
      <c r="R770" s="174"/>
      <c r="S770" s="174"/>
      <c r="T770" s="175"/>
      <c r="AT770" s="170" t="s">
        <v>193</v>
      </c>
      <c r="AU770" s="170" t="s">
        <v>87</v>
      </c>
      <c r="AV770" s="14" t="s">
        <v>85</v>
      </c>
      <c r="AW770" s="14" t="s">
        <v>36</v>
      </c>
      <c r="AX770" s="14" t="s">
        <v>77</v>
      </c>
      <c r="AY770" s="170" t="s">
        <v>177</v>
      </c>
    </row>
    <row r="771" spans="1:65" s="13" customFormat="1">
      <c r="B771" s="161"/>
      <c r="D771" s="153" t="s">
        <v>193</v>
      </c>
      <c r="E771" s="162" t="s">
        <v>3</v>
      </c>
      <c r="F771" s="163" t="s">
        <v>2962</v>
      </c>
      <c r="H771" s="164">
        <v>6.4</v>
      </c>
      <c r="I771" s="165"/>
      <c r="L771" s="161"/>
      <c r="M771" s="166"/>
      <c r="N771" s="167"/>
      <c r="O771" s="167"/>
      <c r="P771" s="167"/>
      <c r="Q771" s="167"/>
      <c r="R771" s="167"/>
      <c r="S771" s="167"/>
      <c r="T771" s="168"/>
      <c r="AT771" s="162" t="s">
        <v>193</v>
      </c>
      <c r="AU771" s="162" t="s">
        <v>87</v>
      </c>
      <c r="AV771" s="13" t="s">
        <v>87</v>
      </c>
      <c r="AW771" s="13" t="s">
        <v>36</v>
      </c>
      <c r="AX771" s="13" t="s">
        <v>77</v>
      </c>
      <c r="AY771" s="162" t="s">
        <v>177</v>
      </c>
    </row>
    <row r="772" spans="1:65" s="16" customFormat="1">
      <c r="B772" s="184"/>
      <c r="D772" s="153" t="s">
        <v>193</v>
      </c>
      <c r="E772" s="185" t="s">
        <v>3</v>
      </c>
      <c r="F772" s="186" t="s">
        <v>201</v>
      </c>
      <c r="H772" s="187">
        <v>70.168999999999997</v>
      </c>
      <c r="I772" s="188"/>
      <c r="L772" s="184"/>
      <c r="M772" s="189"/>
      <c r="N772" s="190"/>
      <c r="O772" s="190"/>
      <c r="P772" s="190"/>
      <c r="Q772" s="190"/>
      <c r="R772" s="190"/>
      <c r="S772" s="190"/>
      <c r="T772" s="191"/>
      <c r="AT772" s="185" t="s">
        <v>193</v>
      </c>
      <c r="AU772" s="185" t="s">
        <v>87</v>
      </c>
      <c r="AV772" s="16" t="s">
        <v>185</v>
      </c>
      <c r="AW772" s="16" t="s">
        <v>36</v>
      </c>
      <c r="AX772" s="16" t="s">
        <v>85</v>
      </c>
      <c r="AY772" s="185" t="s">
        <v>177</v>
      </c>
    </row>
    <row r="773" spans="1:65" s="2" customFormat="1" ht="16.5" customHeight="1">
      <c r="A773" s="34"/>
      <c r="B773" s="139"/>
      <c r="C773" s="140" t="s">
        <v>2963</v>
      </c>
      <c r="D773" s="140" t="s">
        <v>180</v>
      </c>
      <c r="E773" s="141" t="s">
        <v>2964</v>
      </c>
      <c r="F773" s="142" t="s">
        <v>2965</v>
      </c>
      <c r="G773" s="143" t="s">
        <v>236</v>
      </c>
      <c r="H773" s="144">
        <v>1</v>
      </c>
      <c r="I773" s="145"/>
      <c r="J773" s="146">
        <f>ROUND(I773*H773,2)</f>
        <v>0</v>
      </c>
      <c r="K773" s="142" t="s">
        <v>184</v>
      </c>
      <c r="L773" s="35"/>
      <c r="M773" s="147" t="s">
        <v>3</v>
      </c>
      <c r="N773" s="148" t="s">
        <v>48</v>
      </c>
      <c r="O773" s="55"/>
      <c r="P773" s="149">
        <f>O773*H773</f>
        <v>0</v>
      </c>
      <c r="Q773" s="149">
        <v>0</v>
      </c>
      <c r="R773" s="149">
        <f>Q773*H773</f>
        <v>0</v>
      </c>
      <c r="S773" s="149">
        <v>0</v>
      </c>
      <c r="T773" s="150">
        <f>S773*H773</f>
        <v>0</v>
      </c>
      <c r="U773" s="34"/>
      <c r="V773" s="34"/>
      <c r="W773" s="34"/>
      <c r="X773" s="34"/>
      <c r="Y773" s="34"/>
      <c r="Z773" s="34"/>
      <c r="AA773" s="34"/>
      <c r="AB773" s="34"/>
      <c r="AC773" s="34"/>
      <c r="AD773" s="34"/>
      <c r="AE773" s="34"/>
      <c r="AR773" s="151" t="s">
        <v>237</v>
      </c>
      <c r="AT773" s="151" t="s">
        <v>180</v>
      </c>
      <c r="AU773" s="151" t="s">
        <v>87</v>
      </c>
      <c r="AY773" s="19" t="s">
        <v>177</v>
      </c>
      <c r="BE773" s="152">
        <f>IF(N773="základní",J773,0)</f>
        <v>0</v>
      </c>
      <c r="BF773" s="152">
        <f>IF(N773="snížená",J773,0)</f>
        <v>0</v>
      </c>
      <c r="BG773" s="152">
        <f>IF(N773="zákl. přenesená",J773,0)</f>
        <v>0</v>
      </c>
      <c r="BH773" s="152">
        <f>IF(N773="sníž. přenesená",J773,0)</f>
        <v>0</v>
      </c>
      <c r="BI773" s="152">
        <f>IF(N773="nulová",J773,0)</f>
        <v>0</v>
      </c>
      <c r="BJ773" s="19" t="s">
        <v>85</v>
      </c>
      <c r="BK773" s="152">
        <f>ROUND(I773*H773,2)</f>
        <v>0</v>
      </c>
      <c r="BL773" s="19" t="s">
        <v>237</v>
      </c>
      <c r="BM773" s="151" t="s">
        <v>2966</v>
      </c>
    </row>
    <row r="774" spans="1:65" s="2" customFormat="1">
      <c r="A774" s="34"/>
      <c r="B774" s="35"/>
      <c r="C774" s="34"/>
      <c r="D774" s="153" t="s">
        <v>187</v>
      </c>
      <c r="E774" s="34"/>
      <c r="F774" s="154" t="s">
        <v>2967</v>
      </c>
      <c r="G774" s="34"/>
      <c r="H774" s="34"/>
      <c r="I774" s="155"/>
      <c r="J774" s="34"/>
      <c r="K774" s="34"/>
      <c r="L774" s="35"/>
      <c r="M774" s="156"/>
      <c r="N774" s="157"/>
      <c r="O774" s="55"/>
      <c r="P774" s="55"/>
      <c r="Q774" s="55"/>
      <c r="R774" s="55"/>
      <c r="S774" s="55"/>
      <c r="T774" s="56"/>
      <c r="U774" s="34"/>
      <c r="V774" s="34"/>
      <c r="W774" s="34"/>
      <c r="X774" s="34"/>
      <c r="Y774" s="34"/>
      <c r="Z774" s="34"/>
      <c r="AA774" s="34"/>
      <c r="AB774" s="34"/>
      <c r="AC774" s="34"/>
      <c r="AD774" s="34"/>
      <c r="AE774" s="34"/>
      <c r="AT774" s="19" t="s">
        <v>187</v>
      </c>
      <c r="AU774" s="19" t="s">
        <v>87</v>
      </c>
    </row>
    <row r="775" spans="1:65" s="2" customFormat="1">
      <c r="A775" s="34"/>
      <c r="B775" s="35"/>
      <c r="C775" s="34"/>
      <c r="D775" s="158" t="s">
        <v>189</v>
      </c>
      <c r="E775" s="34"/>
      <c r="F775" s="159" t="s">
        <v>2968</v>
      </c>
      <c r="G775" s="34"/>
      <c r="H775" s="34"/>
      <c r="I775" s="155"/>
      <c r="J775" s="34"/>
      <c r="K775" s="34"/>
      <c r="L775" s="35"/>
      <c r="M775" s="156"/>
      <c r="N775" s="157"/>
      <c r="O775" s="55"/>
      <c r="P775" s="55"/>
      <c r="Q775" s="55"/>
      <c r="R775" s="55"/>
      <c r="S775" s="55"/>
      <c r="T775" s="56"/>
      <c r="U775" s="34"/>
      <c r="V775" s="34"/>
      <c r="W775" s="34"/>
      <c r="X775" s="34"/>
      <c r="Y775" s="34"/>
      <c r="Z775" s="34"/>
      <c r="AA775" s="34"/>
      <c r="AB775" s="34"/>
      <c r="AC775" s="34"/>
      <c r="AD775" s="34"/>
      <c r="AE775" s="34"/>
      <c r="AT775" s="19" t="s">
        <v>189</v>
      </c>
      <c r="AU775" s="19" t="s">
        <v>87</v>
      </c>
    </row>
    <row r="776" spans="1:65" s="2" customFormat="1" ht="39">
      <c r="A776" s="34"/>
      <c r="B776" s="35"/>
      <c r="C776" s="34"/>
      <c r="D776" s="153" t="s">
        <v>191</v>
      </c>
      <c r="E776" s="34"/>
      <c r="F776" s="160" t="s">
        <v>2969</v>
      </c>
      <c r="G776" s="34"/>
      <c r="H776" s="34"/>
      <c r="I776" s="155"/>
      <c r="J776" s="34"/>
      <c r="K776" s="34"/>
      <c r="L776" s="35"/>
      <c r="M776" s="156"/>
      <c r="N776" s="157"/>
      <c r="O776" s="55"/>
      <c r="P776" s="55"/>
      <c r="Q776" s="55"/>
      <c r="R776" s="55"/>
      <c r="S776" s="55"/>
      <c r="T776" s="56"/>
      <c r="U776" s="34"/>
      <c r="V776" s="34"/>
      <c r="W776" s="34"/>
      <c r="X776" s="34"/>
      <c r="Y776" s="34"/>
      <c r="Z776" s="34"/>
      <c r="AA776" s="34"/>
      <c r="AB776" s="34"/>
      <c r="AC776" s="34"/>
      <c r="AD776" s="34"/>
      <c r="AE776" s="34"/>
      <c r="AT776" s="19" t="s">
        <v>191</v>
      </c>
      <c r="AU776" s="19" t="s">
        <v>87</v>
      </c>
    </row>
    <row r="777" spans="1:65" s="2" customFormat="1" ht="16.5" customHeight="1">
      <c r="A777" s="34"/>
      <c r="B777" s="139"/>
      <c r="C777" s="195" t="s">
        <v>2970</v>
      </c>
      <c r="D777" s="195" t="s">
        <v>484</v>
      </c>
      <c r="E777" s="196" t="s">
        <v>2971</v>
      </c>
      <c r="F777" s="197" t="s">
        <v>2972</v>
      </c>
      <c r="G777" s="198" t="s">
        <v>236</v>
      </c>
      <c r="H777" s="199">
        <v>1</v>
      </c>
      <c r="I777" s="200"/>
      <c r="J777" s="201">
        <f>ROUND(I777*H777,2)</f>
        <v>0</v>
      </c>
      <c r="K777" s="197" t="s">
        <v>244</v>
      </c>
      <c r="L777" s="202"/>
      <c r="M777" s="203" t="s">
        <v>3</v>
      </c>
      <c r="N777" s="204" t="s">
        <v>48</v>
      </c>
      <c r="O777" s="55"/>
      <c r="P777" s="149">
        <f>O777*H777</f>
        <v>0</v>
      </c>
      <c r="Q777" s="149">
        <v>1.2999999999999999E-2</v>
      </c>
      <c r="R777" s="149">
        <f>Q777*H777</f>
        <v>1.2999999999999999E-2</v>
      </c>
      <c r="S777" s="149">
        <v>0</v>
      </c>
      <c r="T777" s="150">
        <f>S777*H777</f>
        <v>0</v>
      </c>
      <c r="U777" s="34"/>
      <c r="V777" s="34"/>
      <c r="W777" s="34"/>
      <c r="X777" s="34"/>
      <c r="Y777" s="34"/>
      <c r="Z777" s="34"/>
      <c r="AA777" s="34"/>
      <c r="AB777" s="34"/>
      <c r="AC777" s="34"/>
      <c r="AD777" s="34"/>
      <c r="AE777" s="34"/>
      <c r="AR777" s="151" t="s">
        <v>537</v>
      </c>
      <c r="AT777" s="151" t="s">
        <v>484</v>
      </c>
      <c r="AU777" s="151" t="s">
        <v>87</v>
      </c>
      <c r="AY777" s="19" t="s">
        <v>177</v>
      </c>
      <c r="BE777" s="152">
        <f>IF(N777="základní",J777,0)</f>
        <v>0</v>
      </c>
      <c r="BF777" s="152">
        <f>IF(N777="snížená",J777,0)</f>
        <v>0</v>
      </c>
      <c r="BG777" s="152">
        <f>IF(N777="zákl. přenesená",J777,0)</f>
        <v>0</v>
      </c>
      <c r="BH777" s="152">
        <f>IF(N777="sníž. přenesená",J777,0)</f>
        <v>0</v>
      </c>
      <c r="BI777" s="152">
        <f>IF(N777="nulová",J777,0)</f>
        <v>0</v>
      </c>
      <c r="BJ777" s="19" t="s">
        <v>85</v>
      </c>
      <c r="BK777" s="152">
        <f>ROUND(I777*H777,2)</f>
        <v>0</v>
      </c>
      <c r="BL777" s="19" t="s">
        <v>237</v>
      </c>
      <c r="BM777" s="151" t="s">
        <v>2973</v>
      </c>
    </row>
    <row r="778" spans="1:65" s="2" customFormat="1">
      <c r="A778" s="34"/>
      <c r="B778" s="35"/>
      <c r="C778" s="34"/>
      <c r="D778" s="153" t="s">
        <v>187</v>
      </c>
      <c r="E778" s="34"/>
      <c r="F778" s="154" t="s">
        <v>2974</v>
      </c>
      <c r="G778" s="34"/>
      <c r="H778" s="34"/>
      <c r="I778" s="155"/>
      <c r="J778" s="34"/>
      <c r="K778" s="34"/>
      <c r="L778" s="35"/>
      <c r="M778" s="156"/>
      <c r="N778" s="157"/>
      <c r="O778" s="55"/>
      <c r="P778" s="55"/>
      <c r="Q778" s="55"/>
      <c r="R778" s="55"/>
      <c r="S778" s="55"/>
      <c r="T778" s="56"/>
      <c r="U778" s="34"/>
      <c r="V778" s="34"/>
      <c r="W778" s="34"/>
      <c r="X778" s="34"/>
      <c r="Y778" s="34"/>
      <c r="Z778" s="34"/>
      <c r="AA778" s="34"/>
      <c r="AB778" s="34"/>
      <c r="AC778" s="34"/>
      <c r="AD778" s="34"/>
      <c r="AE778" s="34"/>
      <c r="AT778" s="19" t="s">
        <v>187</v>
      </c>
      <c r="AU778" s="19" t="s">
        <v>87</v>
      </c>
    </row>
    <row r="779" spans="1:65" s="14" customFormat="1">
      <c r="B779" s="169"/>
      <c r="D779" s="153" t="s">
        <v>193</v>
      </c>
      <c r="E779" s="170" t="s">
        <v>3</v>
      </c>
      <c r="F779" s="171" t="s">
        <v>2975</v>
      </c>
      <c r="H779" s="170" t="s">
        <v>3</v>
      </c>
      <c r="I779" s="172"/>
      <c r="L779" s="169"/>
      <c r="M779" s="173"/>
      <c r="N779" s="174"/>
      <c r="O779" s="174"/>
      <c r="P779" s="174"/>
      <c r="Q779" s="174"/>
      <c r="R779" s="174"/>
      <c r="S779" s="174"/>
      <c r="T779" s="175"/>
      <c r="AT779" s="170" t="s">
        <v>193</v>
      </c>
      <c r="AU779" s="170" t="s">
        <v>87</v>
      </c>
      <c r="AV779" s="14" t="s">
        <v>85</v>
      </c>
      <c r="AW779" s="14" t="s">
        <v>36</v>
      </c>
      <c r="AX779" s="14" t="s">
        <v>77</v>
      </c>
      <c r="AY779" s="170" t="s">
        <v>177</v>
      </c>
    </row>
    <row r="780" spans="1:65" s="14" customFormat="1">
      <c r="B780" s="169"/>
      <c r="D780" s="153" t="s">
        <v>193</v>
      </c>
      <c r="E780" s="170" t="s">
        <v>3</v>
      </c>
      <c r="F780" s="171" t="s">
        <v>2976</v>
      </c>
      <c r="H780" s="170" t="s">
        <v>3</v>
      </c>
      <c r="I780" s="172"/>
      <c r="L780" s="169"/>
      <c r="M780" s="173"/>
      <c r="N780" s="174"/>
      <c r="O780" s="174"/>
      <c r="P780" s="174"/>
      <c r="Q780" s="174"/>
      <c r="R780" s="174"/>
      <c r="S780" s="174"/>
      <c r="T780" s="175"/>
      <c r="AT780" s="170" t="s">
        <v>193</v>
      </c>
      <c r="AU780" s="170" t="s">
        <v>87</v>
      </c>
      <c r="AV780" s="14" t="s">
        <v>85</v>
      </c>
      <c r="AW780" s="14" t="s">
        <v>36</v>
      </c>
      <c r="AX780" s="14" t="s">
        <v>77</v>
      </c>
      <c r="AY780" s="170" t="s">
        <v>177</v>
      </c>
    </row>
    <row r="781" spans="1:65" s="14" customFormat="1">
      <c r="B781" s="169"/>
      <c r="D781" s="153" t="s">
        <v>193</v>
      </c>
      <c r="E781" s="170" t="s">
        <v>3</v>
      </c>
      <c r="F781" s="171" t="s">
        <v>2977</v>
      </c>
      <c r="H781" s="170" t="s">
        <v>3</v>
      </c>
      <c r="I781" s="172"/>
      <c r="L781" s="169"/>
      <c r="M781" s="173"/>
      <c r="N781" s="174"/>
      <c r="O781" s="174"/>
      <c r="P781" s="174"/>
      <c r="Q781" s="174"/>
      <c r="R781" s="174"/>
      <c r="S781" s="174"/>
      <c r="T781" s="175"/>
      <c r="AT781" s="170" t="s">
        <v>193</v>
      </c>
      <c r="AU781" s="170" t="s">
        <v>87</v>
      </c>
      <c r="AV781" s="14" t="s">
        <v>85</v>
      </c>
      <c r="AW781" s="14" t="s">
        <v>36</v>
      </c>
      <c r="AX781" s="14" t="s">
        <v>77</v>
      </c>
      <c r="AY781" s="170" t="s">
        <v>177</v>
      </c>
    </row>
    <row r="782" spans="1:65" s="14" customFormat="1">
      <c r="B782" s="169"/>
      <c r="D782" s="153" t="s">
        <v>193</v>
      </c>
      <c r="E782" s="170" t="s">
        <v>3</v>
      </c>
      <c r="F782" s="171" t="s">
        <v>2978</v>
      </c>
      <c r="H782" s="170" t="s">
        <v>3</v>
      </c>
      <c r="I782" s="172"/>
      <c r="L782" s="169"/>
      <c r="M782" s="173"/>
      <c r="N782" s="174"/>
      <c r="O782" s="174"/>
      <c r="P782" s="174"/>
      <c r="Q782" s="174"/>
      <c r="R782" s="174"/>
      <c r="S782" s="174"/>
      <c r="T782" s="175"/>
      <c r="AT782" s="170" t="s">
        <v>193</v>
      </c>
      <c r="AU782" s="170" t="s">
        <v>87</v>
      </c>
      <c r="AV782" s="14" t="s">
        <v>85</v>
      </c>
      <c r="AW782" s="14" t="s">
        <v>36</v>
      </c>
      <c r="AX782" s="14" t="s">
        <v>77</v>
      </c>
      <c r="AY782" s="170" t="s">
        <v>177</v>
      </c>
    </row>
    <row r="783" spans="1:65" s="13" customFormat="1">
      <c r="B783" s="161"/>
      <c r="D783" s="153" t="s">
        <v>193</v>
      </c>
      <c r="E783" s="162" t="s">
        <v>3</v>
      </c>
      <c r="F783" s="163" t="s">
        <v>85</v>
      </c>
      <c r="H783" s="164">
        <v>1</v>
      </c>
      <c r="I783" s="165"/>
      <c r="L783" s="161"/>
      <c r="M783" s="166"/>
      <c r="N783" s="167"/>
      <c r="O783" s="167"/>
      <c r="P783" s="167"/>
      <c r="Q783" s="167"/>
      <c r="R783" s="167"/>
      <c r="S783" s="167"/>
      <c r="T783" s="168"/>
      <c r="AT783" s="162" t="s">
        <v>193</v>
      </c>
      <c r="AU783" s="162" t="s">
        <v>87</v>
      </c>
      <c r="AV783" s="13" t="s">
        <v>87</v>
      </c>
      <c r="AW783" s="13" t="s">
        <v>36</v>
      </c>
      <c r="AX783" s="13" t="s">
        <v>85</v>
      </c>
      <c r="AY783" s="162" t="s">
        <v>177</v>
      </c>
    </row>
    <row r="784" spans="1:65" s="2" customFormat="1" ht="16.5" customHeight="1">
      <c r="A784" s="34"/>
      <c r="B784" s="139"/>
      <c r="C784" s="140" t="s">
        <v>2979</v>
      </c>
      <c r="D784" s="140" t="s">
        <v>180</v>
      </c>
      <c r="E784" s="141" t="s">
        <v>1648</v>
      </c>
      <c r="F784" s="142" t="s">
        <v>1649</v>
      </c>
      <c r="G784" s="143" t="s">
        <v>183</v>
      </c>
      <c r="H784" s="144">
        <v>0.222</v>
      </c>
      <c r="I784" s="145"/>
      <c r="J784" s="146">
        <f>ROUND(I784*H784,2)</f>
        <v>0</v>
      </c>
      <c r="K784" s="142" t="s">
        <v>184</v>
      </c>
      <c r="L784" s="35"/>
      <c r="M784" s="147" t="s">
        <v>3</v>
      </c>
      <c r="N784" s="148" t="s">
        <v>48</v>
      </c>
      <c r="O784" s="55"/>
      <c r="P784" s="149">
        <f>O784*H784</f>
        <v>0</v>
      </c>
      <c r="Q784" s="149">
        <v>0</v>
      </c>
      <c r="R784" s="149">
        <f>Q784*H784</f>
        <v>0</v>
      </c>
      <c r="S784" s="149">
        <v>0</v>
      </c>
      <c r="T784" s="150">
        <f>S784*H784</f>
        <v>0</v>
      </c>
      <c r="U784" s="34"/>
      <c r="V784" s="34"/>
      <c r="W784" s="34"/>
      <c r="X784" s="34"/>
      <c r="Y784" s="34"/>
      <c r="Z784" s="34"/>
      <c r="AA784" s="34"/>
      <c r="AB784" s="34"/>
      <c r="AC784" s="34"/>
      <c r="AD784" s="34"/>
      <c r="AE784" s="34"/>
      <c r="AR784" s="151" t="s">
        <v>237</v>
      </c>
      <c r="AT784" s="151" t="s">
        <v>180</v>
      </c>
      <c r="AU784" s="151" t="s">
        <v>87</v>
      </c>
      <c r="AY784" s="19" t="s">
        <v>177</v>
      </c>
      <c r="BE784" s="152">
        <f>IF(N784="základní",J784,0)</f>
        <v>0</v>
      </c>
      <c r="BF784" s="152">
        <f>IF(N784="snížená",J784,0)</f>
        <v>0</v>
      </c>
      <c r="BG784" s="152">
        <f>IF(N784="zákl. přenesená",J784,0)</f>
        <v>0</v>
      </c>
      <c r="BH784" s="152">
        <f>IF(N784="sníž. přenesená",J784,0)</f>
        <v>0</v>
      </c>
      <c r="BI784" s="152">
        <f>IF(N784="nulová",J784,0)</f>
        <v>0</v>
      </c>
      <c r="BJ784" s="19" t="s">
        <v>85</v>
      </c>
      <c r="BK784" s="152">
        <f>ROUND(I784*H784,2)</f>
        <v>0</v>
      </c>
      <c r="BL784" s="19" t="s">
        <v>237</v>
      </c>
      <c r="BM784" s="151" t="s">
        <v>2980</v>
      </c>
    </row>
    <row r="785" spans="1:65" s="2" customFormat="1" ht="19.5">
      <c r="A785" s="34"/>
      <c r="B785" s="35"/>
      <c r="C785" s="34"/>
      <c r="D785" s="153" t="s">
        <v>187</v>
      </c>
      <c r="E785" s="34"/>
      <c r="F785" s="154" t="s">
        <v>1651</v>
      </c>
      <c r="G785" s="34"/>
      <c r="H785" s="34"/>
      <c r="I785" s="155"/>
      <c r="J785" s="34"/>
      <c r="K785" s="34"/>
      <c r="L785" s="35"/>
      <c r="M785" s="156"/>
      <c r="N785" s="157"/>
      <c r="O785" s="55"/>
      <c r="P785" s="55"/>
      <c r="Q785" s="55"/>
      <c r="R785" s="55"/>
      <c r="S785" s="55"/>
      <c r="T785" s="56"/>
      <c r="U785" s="34"/>
      <c r="V785" s="34"/>
      <c r="W785" s="34"/>
      <c r="X785" s="34"/>
      <c r="Y785" s="34"/>
      <c r="Z785" s="34"/>
      <c r="AA785" s="34"/>
      <c r="AB785" s="34"/>
      <c r="AC785" s="34"/>
      <c r="AD785" s="34"/>
      <c r="AE785" s="34"/>
      <c r="AT785" s="19" t="s">
        <v>187</v>
      </c>
      <c r="AU785" s="19" t="s">
        <v>87</v>
      </c>
    </row>
    <row r="786" spans="1:65" s="2" customFormat="1">
      <c r="A786" s="34"/>
      <c r="B786" s="35"/>
      <c r="C786" s="34"/>
      <c r="D786" s="158" t="s">
        <v>189</v>
      </c>
      <c r="E786" s="34"/>
      <c r="F786" s="159" t="s">
        <v>1652</v>
      </c>
      <c r="G786" s="34"/>
      <c r="H786" s="34"/>
      <c r="I786" s="155"/>
      <c r="J786" s="34"/>
      <c r="K786" s="34"/>
      <c r="L786" s="35"/>
      <c r="M786" s="156"/>
      <c r="N786" s="157"/>
      <c r="O786" s="55"/>
      <c r="P786" s="55"/>
      <c r="Q786" s="55"/>
      <c r="R786" s="55"/>
      <c r="S786" s="55"/>
      <c r="T786" s="56"/>
      <c r="U786" s="34"/>
      <c r="V786" s="34"/>
      <c r="W786" s="34"/>
      <c r="X786" s="34"/>
      <c r="Y786" s="34"/>
      <c r="Z786" s="34"/>
      <c r="AA786" s="34"/>
      <c r="AB786" s="34"/>
      <c r="AC786" s="34"/>
      <c r="AD786" s="34"/>
      <c r="AE786" s="34"/>
      <c r="AT786" s="19" t="s">
        <v>189</v>
      </c>
      <c r="AU786" s="19" t="s">
        <v>87</v>
      </c>
    </row>
    <row r="787" spans="1:65" s="2" customFormat="1" ht="78">
      <c r="A787" s="34"/>
      <c r="B787" s="35"/>
      <c r="C787" s="34"/>
      <c r="D787" s="153" t="s">
        <v>191</v>
      </c>
      <c r="E787" s="34"/>
      <c r="F787" s="160" t="s">
        <v>1653</v>
      </c>
      <c r="G787" s="34"/>
      <c r="H787" s="34"/>
      <c r="I787" s="155"/>
      <c r="J787" s="34"/>
      <c r="K787" s="34"/>
      <c r="L787" s="35"/>
      <c r="M787" s="156"/>
      <c r="N787" s="157"/>
      <c r="O787" s="55"/>
      <c r="P787" s="55"/>
      <c r="Q787" s="55"/>
      <c r="R787" s="55"/>
      <c r="S787" s="55"/>
      <c r="T787" s="56"/>
      <c r="U787" s="34"/>
      <c r="V787" s="34"/>
      <c r="W787" s="34"/>
      <c r="X787" s="34"/>
      <c r="Y787" s="34"/>
      <c r="Z787" s="34"/>
      <c r="AA787" s="34"/>
      <c r="AB787" s="34"/>
      <c r="AC787" s="34"/>
      <c r="AD787" s="34"/>
      <c r="AE787" s="34"/>
      <c r="AT787" s="19" t="s">
        <v>191</v>
      </c>
      <c r="AU787" s="19" t="s">
        <v>87</v>
      </c>
    </row>
    <row r="788" spans="1:65" s="2" customFormat="1" ht="16.5" customHeight="1">
      <c r="A788" s="34"/>
      <c r="B788" s="139"/>
      <c r="C788" s="140" t="s">
        <v>2981</v>
      </c>
      <c r="D788" s="140" t="s">
        <v>180</v>
      </c>
      <c r="E788" s="141" t="s">
        <v>1654</v>
      </c>
      <c r="F788" s="142" t="s">
        <v>1655</v>
      </c>
      <c r="G788" s="143" t="s">
        <v>183</v>
      </c>
      <c r="H788" s="144">
        <v>0.222</v>
      </c>
      <c r="I788" s="145"/>
      <c r="J788" s="146">
        <f>ROUND(I788*H788,2)</f>
        <v>0</v>
      </c>
      <c r="K788" s="142" t="s">
        <v>184</v>
      </c>
      <c r="L788" s="35"/>
      <c r="M788" s="147" t="s">
        <v>3</v>
      </c>
      <c r="N788" s="148" t="s">
        <v>48</v>
      </c>
      <c r="O788" s="55"/>
      <c r="P788" s="149">
        <f>O788*H788</f>
        <v>0</v>
      </c>
      <c r="Q788" s="149">
        <v>0</v>
      </c>
      <c r="R788" s="149">
        <f>Q788*H788</f>
        <v>0</v>
      </c>
      <c r="S788" s="149">
        <v>0</v>
      </c>
      <c r="T788" s="150">
        <f>S788*H788</f>
        <v>0</v>
      </c>
      <c r="U788" s="34"/>
      <c r="V788" s="34"/>
      <c r="W788" s="34"/>
      <c r="X788" s="34"/>
      <c r="Y788" s="34"/>
      <c r="Z788" s="34"/>
      <c r="AA788" s="34"/>
      <c r="AB788" s="34"/>
      <c r="AC788" s="34"/>
      <c r="AD788" s="34"/>
      <c r="AE788" s="34"/>
      <c r="AR788" s="151" t="s">
        <v>237</v>
      </c>
      <c r="AT788" s="151" t="s">
        <v>180</v>
      </c>
      <c r="AU788" s="151" t="s">
        <v>87</v>
      </c>
      <c r="AY788" s="19" t="s">
        <v>177</v>
      </c>
      <c r="BE788" s="152">
        <f>IF(N788="základní",J788,0)</f>
        <v>0</v>
      </c>
      <c r="BF788" s="152">
        <f>IF(N788="snížená",J788,0)</f>
        <v>0</v>
      </c>
      <c r="BG788" s="152">
        <f>IF(N788="zákl. přenesená",J788,0)</f>
        <v>0</v>
      </c>
      <c r="BH788" s="152">
        <f>IF(N788="sníž. přenesená",J788,0)</f>
        <v>0</v>
      </c>
      <c r="BI788" s="152">
        <f>IF(N788="nulová",J788,0)</f>
        <v>0</v>
      </c>
      <c r="BJ788" s="19" t="s">
        <v>85</v>
      </c>
      <c r="BK788" s="152">
        <f>ROUND(I788*H788,2)</f>
        <v>0</v>
      </c>
      <c r="BL788" s="19" t="s">
        <v>237</v>
      </c>
      <c r="BM788" s="151" t="s">
        <v>2982</v>
      </c>
    </row>
    <row r="789" spans="1:65" s="2" customFormat="1" ht="19.5">
      <c r="A789" s="34"/>
      <c r="B789" s="35"/>
      <c r="C789" s="34"/>
      <c r="D789" s="153" t="s">
        <v>187</v>
      </c>
      <c r="E789" s="34"/>
      <c r="F789" s="154" t="s">
        <v>1657</v>
      </c>
      <c r="G789" s="34"/>
      <c r="H789" s="34"/>
      <c r="I789" s="155"/>
      <c r="J789" s="34"/>
      <c r="K789" s="34"/>
      <c r="L789" s="35"/>
      <c r="M789" s="156"/>
      <c r="N789" s="157"/>
      <c r="O789" s="55"/>
      <c r="P789" s="55"/>
      <c r="Q789" s="55"/>
      <c r="R789" s="55"/>
      <c r="S789" s="55"/>
      <c r="T789" s="56"/>
      <c r="U789" s="34"/>
      <c r="V789" s="34"/>
      <c r="W789" s="34"/>
      <c r="X789" s="34"/>
      <c r="Y789" s="34"/>
      <c r="Z789" s="34"/>
      <c r="AA789" s="34"/>
      <c r="AB789" s="34"/>
      <c r="AC789" s="34"/>
      <c r="AD789" s="34"/>
      <c r="AE789" s="34"/>
      <c r="AT789" s="19" t="s">
        <v>187</v>
      </c>
      <c r="AU789" s="19" t="s">
        <v>87</v>
      </c>
    </row>
    <row r="790" spans="1:65" s="2" customFormat="1">
      <c r="A790" s="34"/>
      <c r="B790" s="35"/>
      <c r="C790" s="34"/>
      <c r="D790" s="158" t="s">
        <v>189</v>
      </c>
      <c r="E790" s="34"/>
      <c r="F790" s="159" t="s">
        <v>1658</v>
      </c>
      <c r="G790" s="34"/>
      <c r="H790" s="34"/>
      <c r="I790" s="155"/>
      <c r="J790" s="34"/>
      <c r="K790" s="34"/>
      <c r="L790" s="35"/>
      <c r="M790" s="156"/>
      <c r="N790" s="157"/>
      <c r="O790" s="55"/>
      <c r="P790" s="55"/>
      <c r="Q790" s="55"/>
      <c r="R790" s="55"/>
      <c r="S790" s="55"/>
      <c r="T790" s="56"/>
      <c r="U790" s="34"/>
      <c r="V790" s="34"/>
      <c r="W790" s="34"/>
      <c r="X790" s="34"/>
      <c r="Y790" s="34"/>
      <c r="Z790" s="34"/>
      <c r="AA790" s="34"/>
      <c r="AB790" s="34"/>
      <c r="AC790" s="34"/>
      <c r="AD790" s="34"/>
      <c r="AE790" s="34"/>
      <c r="AT790" s="19" t="s">
        <v>189</v>
      </c>
      <c r="AU790" s="19" t="s">
        <v>87</v>
      </c>
    </row>
    <row r="791" spans="1:65" s="2" customFormat="1" ht="78">
      <c r="A791" s="34"/>
      <c r="B791" s="35"/>
      <c r="C791" s="34"/>
      <c r="D791" s="153" t="s">
        <v>191</v>
      </c>
      <c r="E791" s="34"/>
      <c r="F791" s="160" t="s">
        <v>1653</v>
      </c>
      <c r="G791" s="34"/>
      <c r="H791" s="34"/>
      <c r="I791" s="155"/>
      <c r="J791" s="34"/>
      <c r="K791" s="34"/>
      <c r="L791" s="35"/>
      <c r="M791" s="156"/>
      <c r="N791" s="157"/>
      <c r="O791" s="55"/>
      <c r="P791" s="55"/>
      <c r="Q791" s="55"/>
      <c r="R791" s="55"/>
      <c r="S791" s="55"/>
      <c r="T791" s="56"/>
      <c r="U791" s="34"/>
      <c r="V791" s="34"/>
      <c r="W791" s="34"/>
      <c r="X791" s="34"/>
      <c r="Y791" s="34"/>
      <c r="Z791" s="34"/>
      <c r="AA791" s="34"/>
      <c r="AB791" s="34"/>
      <c r="AC791" s="34"/>
      <c r="AD791" s="34"/>
      <c r="AE791" s="34"/>
      <c r="AT791" s="19" t="s">
        <v>191</v>
      </c>
      <c r="AU791" s="19" t="s">
        <v>87</v>
      </c>
    </row>
    <row r="792" spans="1:65" s="12" customFormat="1" ht="22.9" customHeight="1">
      <c r="B792" s="126"/>
      <c r="D792" s="127" t="s">
        <v>76</v>
      </c>
      <c r="E792" s="137" t="s">
        <v>2983</v>
      </c>
      <c r="F792" s="137" t="s">
        <v>2984</v>
      </c>
      <c r="I792" s="129"/>
      <c r="J792" s="138">
        <f>BK792</f>
        <v>0</v>
      </c>
      <c r="L792" s="126"/>
      <c r="M792" s="131"/>
      <c r="N792" s="132"/>
      <c r="O792" s="132"/>
      <c r="P792" s="133">
        <f>SUM(P793:P861)</f>
        <v>0</v>
      </c>
      <c r="Q792" s="132"/>
      <c r="R792" s="133">
        <f>SUM(R793:R861)</f>
        <v>0.68247437999999994</v>
      </c>
      <c r="S792" s="132"/>
      <c r="T792" s="134">
        <f>SUM(T793:T861)</f>
        <v>0</v>
      </c>
      <c r="AR792" s="127" t="s">
        <v>87</v>
      </c>
      <c r="AT792" s="135" t="s">
        <v>76</v>
      </c>
      <c r="AU792" s="135" t="s">
        <v>85</v>
      </c>
      <c r="AY792" s="127" t="s">
        <v>177</v>
      </c>
      <c r="BK792" s="136">
        <f>SUM(BK793:BK861)</f>
        <v>0</v>
      </c>
    </row>
    <row r="793" spans="1:65" s="2" customFormat="1" ht="16.5" customHeight="1">
      <c r="A793" s="34"/>
      <c r="B793" s="139"/>
      <c r="C793" s="140" t="s">
        <v>2985</v>
      </c>
      <c r="D793" s="140" t="s">
        <v>180</v>
      </c>
      <c r="E793" s="141" t="s">
        <v>2986</v>
      </c>
      <c r="F793" s="142" t="s">
        <v>2987</v>
      </c>
      <c r="G793" s="143" t="s">
        <v>332</v>
      </c>
      <c r="H793" s="144">
        <v>15.1</v>
      </c>
      <c r="I793" s="145"/>
      <c r="J793" s="146">
        <f>ROUND(I793*H793,2)</f>
        <v>0</v>
      </c>
      <c r="K793" s="142" t="s">
        <v>184</v>
      </c>
      <c r="L793" s="35"/>
      <c r="M793" s="147" t="s">
        <v>3</v>
      </c>
      <c r="N793" s="148" t="s">
        <v>48</v>
      </c>
      <c r="O793" s="55"/>
      <c r="P793" s="149">
        <f>O793*H793</f>
        <v>0</v>
      </c>
      <c r="Q793" s="149">
        <v>0</v>
      </c>
      <c r="R793" s="149">
        <f>Q793*H793</f>
        <v>0</v>
      </c>
      <c r="S793" s="149">
        <v>0</v>
      </c>
      <c r="T793" s="150">
        <f>S793*H793</f>
        <v>0</v>
      </c>
      <c r="U793" s="34"/>
      <c r="V793" s="34"/>
      <c r="W793" s="34"/>
      <c r="X793" s="34"/>
      <c r="Y793" s="34"/>
      <c r="Z793" s="34"/>
      <c r="AA793" s="34"/>
      <c r="AB793" s="34"/>
      <c r="AC793" s="34"/>
      <c r="AD793" s="34"/>
      <c r="AE793" s="34"/>
      <c r="AR793" s="151" t="s">
        <v>237</v>
      </c>
      <c r="AT793" s="151" t="s">
        <v>180</v>
      </c>
      <c r="AU793" s="151" t="s">
        <v>87</v>
      </c>
      <c r="AY793" s="19" t="s">
        <v>177</v>
      </c>
      <c r="BE793" s="152">
        <f>IF(N793="základní",J793,0)</f>
        <v>0</v>
      </c>
      <c r="BF793" s="152">
        <f>IF(N793="snížená",J793,0)</f>
        <v>0</v>
      </c>
      <c r="BG793" s="152">
        <f>IF(N793="zákl. přenesená",J793,0)</f>
        <v>0</v>
      </c>
      <c r="BH793" s="152">
        <f>IF(N793="sníž. přenesená",J793,0)</f>
        <v>0</v>
      </c>
      <c r="BI793" s="152">
        <f>IF(N793="nulová",J793,0)</f>
        <v>0</v>
      </c>
      <c r="BJ793" s="19" t="s">
        <v>85</v>
      </c>
      <c r="BK793" s="152">
        <f>ROUND(I793*H793,2)</f>
        <v>0</v>
      </c>
      <c r="BL793" s="19" t="s">
        <v>237</v>
      </c>
      <c r="BM793" s="151" t="s">
        <v>2988</v>
      </c>
    </row>
    <row r="794" spans="1:65" s="2" customFormat="1">
      <c r="A794" s="34"/>
      <c r="B794" s="35"/>
      <c r="C794" s="34"/>
      <c r="D794" s="153" t="s">
        <v>187</v>
      </c>
      <c r="E794" s="34"/>
      <c r="F794" s="154" t="s">
        <v>2989</v>
      </c>
      <c r="G794" s="34"/>
      <c r="H794" s="34"/>
      <c r="I794" s="155"/>
      <c r="J794" s="34"/>
      <c r="K794" s="34"/>
      <c r="L794" s="35"/>
      <c r="M794" s="156"/>
      <c r="N794" s="157"/>
      <c r="O794" s="55"/>
      <c r="P794" s="55"/>
      <c r="Q794" s="55"/>
      <c r="R794" s="55"/>
      <c r="S794" s="55"/>
      <c r="T794" s="56"/>
      <c r="U794" s="34"/>
      <c r="V794" s="34"/>
      <c r="W794" s="34"/>
      <c r="X794" s="34"/>
      <c r="Y794" s="34"/>
      <c r="Z794" s="34"/>
      <c r="AA794" s="34"/>
      <c r="AB794" s="34"/>
      <c r="AC794" s="34"/>
      <c r="AD794" s="34"/>
      <c r="AE794" s="34"/>
      <c r="AT794" s="19" t="s">
        <v>187</v>
      </c>
      <c r="AU794" s="19" t="s">
        <v>87</v>
      </c>
    </row>
    <row r="795" spans="1:65" s="2" customFormat="1">
      <c r="A795" s="34"/>
      <c r="B795" s="35"/>
      <c r="C795" s="34"/>
      <c r="D795" s="158" t="s">
        <v>189</v>
      </c>
      <c r="E795" s="34"/>
      <c r="F795" s="159" t="s">
        <v>2990</v>
      </c>
      <c r="G795" s="34"/>
      <c r="H795" s="34"/>
      <c r="I795" s="155"/>
      <c r="J795" s="34"/>
      <c r="K795" s="34"/>
      <c r="L795" s="35"/>
      <c r="M795" s="156"/>
      <c r="N795" s="157"/>
      <c r="O795" s="55"/>
      <c r="P795" s="55"/>
      <c r="Q795" s="55"/>
      <c r="R795" s="55"/>
      <c r="S795" s="55"/>
      <c r="T795" s="56"/>
      <c r="U795" s="34"/>
      <c r="V795" s="34"/>
      <c r="W795" s="34"/>
      <c r="X795" s="34"/>
      <c r="Y795" s="34"/>
      <c r="Z795" s="34"/>
      <c r="AA795" s="34"/>
      <c r="AB795" s="34"/>
      <c r="AC795" s="34"/>
      <c r="AD795" s="34"/>
      <c r="AE795" s="34"/>
      <c r="AT795" s="19" t="s">
        <v>189</v>
      </c>
      <c r="AU795" s="19" t="s">
        <v>87</v>
      </c>
    </row>
    <row r="796" spans="1:65" s="2" customFormat="1" ht="48.75">
      <c r="A796" s="34"/>
      <c r="B796" s="35"/>
      <c r="C796" s="34"/>
      <c r="D796" s="153" t="s">
        <v>191</v>
      </c>
      <c r="E796" s="34"/>
      <c r="F796" s="160" t="s">
        <v>2991</v>
      </c>
      <c r="G796" s="34"/>
      <c r="H796" s="34"/>
      <c r="I796" s="155"/>
      <c r="J796" s="34"/>
      <c r="K796" s="34"/>
      <c r="L796" s="35"/>
      <c r="M796" s="156"/>
      <c r="N796" s="157"/>
      <c r="O796" s="55"/>
      <c r="P796" s="55"/>
      <c r="Q796" s="55"/>
      <c r="R796" s="55"/>
      <c r="S796" s="55"/>
      <c r="T796" s="56"/>
      <c r="U796" s="34"/>
      <c r="V796" s="34"/>
      <c r="W796" s="34"/>
      <c r="X796" s="34"/>
      <c r="Y796" s="34"/>
      <c r="Z796" s="34"/>
      <c r="AA796" s="34"/>
      <c r="AB796" s="34"/>
      <c r="AC796" s="34"/>
      <c r="AD796" s="34"/>
      <c r="AE796" s="34"/>
      <c r="AT796" s="19" t="s">
        <v>191</v>
      </c>
      <c r="AU796" s="19" t="s">
        <v>87</v>
      </c>
    </row>
    <row r="797" spans="1:65" s="2" customFormat="1" ht="16.5" customHeight="1">
      <c r="A797" s="34"/>
      <c r="B797" s="139"/>
      <c r="C797" s="140" t="s">
        <v>2992</v>
      </c>
      <c r="D797" s="140" t="s">
        <v>180</v>
      </c>
      <c r="E797" s="141" t="s">
        <v>2993</v>
      </c>
      <c r="F797" s="142" t="s">
        <v>2994</v>
      </c>
      <c r="G797" s="143" t="s">
        <v>332</v>
      </c>
      <c r="H797" s="144">
        <v>25.18</v>
      </c>
      <c r="I797" s="145"/>
      <c r="J797" s="146">
        <f>ROUND(I797*H797,2)</f>
        <v>0</v>
      </c>
      <c r="K797" s="142" t="s">
        <v>184</v>
      </c>
      <c r="L797" s="35"/>
      <c r="M797" s="147" t="s">
        <v>3</v>
      </c>
      <c r="N797" s="148" t="s">
        <v>48</v>
      </c>
      <c r="O797" s="55"/>
      <c r="P797" s="149">
        <f>O797*H797</f>
        <v>0</v>
      </c>
      <c r="Q797" s="149">
        <v>2.9999999999999997E-4</v>
      </c>
      <c r="R797" s="149">
        <f>Q797*H797</f>
        <v>7.5539999999999991E-3</v>
      </c>
      <c r="S797" s="149">
        <v>0</v>
      </c>
      <c r="T797" s="150">
        <f>S797*H797</f>
        <v>0</v>
      </c>
      <c r="U797" s="34"/>
      <c r="V797" s="34"/>
      <c r="W797" s="34"/>
      <c r="X797" s="34"/>
      <c r="Y797" s="34"/>
      <c r="Z797" s="34"/>
      <c r="AA797" s="34"/>
      <c r="AB797" s="34"/>
      <c r="AC797" s="34"/>
      <c r="AD797" s="34"/>
      <c r="AE797" s="34"/>
      <c r="AR797" s="151" t="s">
        <v>237</v>
      </c>
      <c r="AT797" s="151" t="s">
        <v>180</v>
      </c>
      <c r="AU797" s="151" t="s">
        <v>87</v>
      </c>
      <c r="AY797" s="19" t="s">
        <v>177</v>
      </c>
      <c r="BE797" s="152">
        <f>IF(N797="základní",J797,0)</f>
        <v>0</v>
      </c>
      <c r="BF797" s="152">
        <f>IF(N797="snížená",J797,0)</f>
        <v>0</v>
      </c>
      <c r="BG797" s="152">
        <f>IF(N797="zákl. přenesená",J797,0)</f>
        <v>0</v>
      </c>
      <c r="BH797" s="152">
        <f>IF(N797="sníž. přenesená",J797,0)</f>
        <v>0</v>
      </c>
      <c r="BI797" s="152">
        <f>IF(N797="nulová",J797,0)</f>
        <v>0</v>
      </c>
      <c r="BJ797" s="19" t="s">
        <v>85</v>
      </c>
      <c r="BK797" s="152">
        <f>ROUND(I797*H797,2)</f>
        <v>0</v>
      </c>
      <c r="BL797" s="19" t="s">
        <v>237</v>
      </c>
      <c r="BM797" s="151" t="s">
        <v>2995</v>
      </c>
    </row>
    <row r="798" spans="1:65" s="2" customFormat="1">
      <c r="A798" s="34"/>
      <c r="B798" s="35"/>
      <c r="C798" s="34"/>
      <c r="D798" s="153" t="s">
        <v>187</v>
      </c>
      <c r="E798" s="34"/>
      <c r="F798" s="154" t="s">
        <v>2996</v>
      </c>
      <c r="G798" s="34"/>
      <c r="H798" s="34"/>
      <c r="I798" s="155"/>
      <c r="J798" s="34"/>
      <c r="K798" s="34"/>
      <c r="L798" s="35"/>
      <c r="M798" s="156"/>
      <c r="N798" s="157"/>
      <c r="O798" s="55"/>
      <c r="P798" s="55"/>
      <c r="Q798" s="55"/>
      <c r="R798" s="55"/>
      <c r="S798" s="55"/>
      <c r="T798" s="56"/>
      <c r="U798" s="34"/>
      <c r="V798" s="34"/>
      <c r="W798" s="34"/>
      <c r="X798" s="34"/>
      <c r="Y798" s="34"/>
      <c r="Z798" s="34"/>
      <c r="AA798" s="34"/>
      <c r="AB798" s="34"/>
      <c r="AC798" s="34"/>
      <c r="AD798" s="34"/>
      <c r="AE798" s="34"/>
      <c r="AT798" s="19" t="s">
        <v>187</v>
      </c>
      <c r="AU798" s="19" t="s">
        <v>87</v>
      </c>
    </row>
    <row r="799" spans="1:65" s="2" customFormat="1">
      <c r="A799" s="34"/>
      <c r="B799" s="35"/>
      <c r="C799" s="34"/>
      <c r="D799" s="158" t="s">
        <v>189</v>
      </c>
      <c r="E799" s="34"/>
      <c r="F799" s="159" t="s">
        <v>2997</v>
      </c>
      <c r="G799" s="34"/>
      <c r="H799" s="34"/>
      <c r="I799" s="155"/>
      <c r="J799" s="34"/>
      <c r="K799" s="34"/>
      <c r="L799" s="35"/>
      <c r="M799" s="156"/>
      <c r="N799" s="157"/>
      <c r="O799" s="55"/>
      <c r="P799" s="55"/>
      <c r="Q799" s="55"/>
      <c r="R799" s="55"/>
      <c r="S799" s="55"/>
      <c r="T799" s="56"/>
      <c r="U799" s="34"/>
      <c r="V799" s="34"/>
      <c r="W799" s="34"/>
      <c r="X799" s="34"/>
      <c r="Y799" s="34"/>
      <c r="Z799" s="34"/>
      <c r="AA799" s="34"/>
      <c r="AB799" s="34"/>
      <c r="AC799" s="34"/>
      <c r="AD799" s="34"/>
      <c r="AE799" s="34"/>
      <c r="AT799" s="19" t="s">
        <v>189</v>
      </c>
      <c r="AU799" s="19" t="s">
        <v>87</v>
      </c>
    </row>
    <row r="800" spans="1:65" s="2" customFormat="1" ht="48.75">
      <c r="A800" s="34"/>
      <c r="B800" s="35"/>
      <c r="C800" s="34"/>
      <c r="D800" s="153" t="s">
        <v>191</v>
      </c>
      <c r="E800" s="34"/>
      <c r="F800" s="160" t="s">
        <v>2991</v>
      </c>
      <c r="G800" s="34"/>
      <c r="H800" s="34"/>
      <c r="I800" s="155"/>
      <c r="J800" s="34"/>
      <c r="K800" s="34"/>
      <c r="L800" s="35"/>
      <c r="M800" s="156"/>
      <c r="N800" s="157"/>
      <c r="O800" s="55"/>
      <c r="P800" s="55"/>
      <c r="Q800" s="55"/>
      <c r="R800" s="55"/>
      <c r="S800" s="55"/>
      <c r="T800" s="56"/>
      <c r="U800" s="34"/>
      <c r="V800" s="34"/>
      <c r="W800" s="34"/>
      <c r="X800" s="34"/>
      <c r="Y800" s="34"/>
      <c r="Z800" s="34"/>
      <c r="AA800" s="34"/>
      <c r="AB800" s="34"/>
      <c r="AC800" s="34"/>
      <c r="AD800" s="34"/>
      <c r="AE800" s="34"/>
      <c r="AT800" s="19" t="s">
        <v>191</v>
      </c>
      <c r="AU800" s="19" t="s">
        <v>87</v>
      </c>
    </row>
    <row r="801" spans="1:65" s="13" customFormat="1">
      <c r="B801" s="161"/>
      <c r="D801" s="153" t="s">
        <v>193</v>
      </c>
      <c r="E801" s="162" t="s">
        <v>3</v>
      </c>
      <c r="F801" s="163" t="s">
        <v>2577</v>
      </c>
      <c r="H801" s="164">
        <v>15.1</v>
      </c>
      <c r="I801" s="165"/>
      <c r="L801" s="161"/>
      <c r="M801" s="166"/>
      <c r="N801" s="167"/>
      <c r="O801" s="167"/>
      <c r="P801" s="167"/>
      <c r="Q801" s="167"/>
      <c r="R801" s="167"/>
      <c r="S801" s="167"/>
      <c r="T801" s="168"/>
      <c r="AT801" s="162" t="s">
        <v>193</v>
      </c>
      <c r="AU801" s="162" t="s">
        <v>87</v>
      </c>
      <c r="AV801" s="13" t="s">
        <v>87</v>
      </c>
      <c r="AW801" s="13" t="s">
        <v>36</v>
      </c>
      <c r="AX801" s="13" t="s">
        <v>77</v>
      </c>
      <c r="AY801" s="162" t="s">
        <v>177</v>
      </c>
    </row>
    <row r="802" spans="1:65" s="13" customFormat="1">
      <c r="B802" s="161"/>
      <c r="D802" s="153" t="s">
        <v>193</v>
      </c>
      <c r="E802" s="162" t="s">
        <v>3</v>
      </c>
      <c r="F802" s="163" t="s">
        <v>2998</v>
      </c>
      <c r="H802" s="164">
        <v>10.08</v>
      </c>
      <c r="I802" s="165"/>
      <c r="L802" s="161"/>
      <c r="M802" s="166"/>
      <c r="N802" s="167"/>
      <c r="O802" s="167"/>
      <c r="P802" s="167"/>
      <c r="Q802" s="167"/>
      <c r="R802" s="167"/>
      <c r="S802" s="167"/>
      <c r="T802" s="168"/>
      <c r="AT802" s="162" t="s">
        <v>193</v>
      </c>
      <c r="AU802" s="162" t="s">
        <v>87</v>
      </c>
      <c r="AV802" s="13" t="s">
        <v>87</v>
      </c>
      <c r="AW802" s="13" t="s">
        <v>36</v>
      </c>
      <c r="AX802" s="13" t="s">
        <v>77</v>
      </c>
      <c r="AY802" s="162" t="s">
        <v>177</v>
      </c>
    </row>
    <row r="803" spans="1:65" s="16" customFormat="1">
      <c r="B803" s="184"/>
      <c r="D803" s="153" t="s">
        <v>193</v>
      </c>
      <c r="E803" s="185" t="s">
        <v>3</v>
      </c>
      <c r="F803" s="186" t="s">
        <v>201</v>
      </c>
      <c r="H803" s="187">
        <v>25.18</v>
      </c>
      <c r="I803" s="188"/>
      <c r="L803" s="184"/>
      <c r="M803" s="189"/>
      <c r="N803" s="190"/>
      <c r="O803" s="190"/>
      <c r="P803" s="190"/>
      <c r="Q803" s="190"/>
      <c r="R803" s="190"/>
      <c r="S803" s="190"/>
      <c r="T803" s="191"/>
      <c r="AT803" s="185" t="s">
        <v>193</v>
      </c>
      <c r="AU803" s="185" t="s">
        <v>87</v>
      </c>
      <c r="AV803" s="16" t="s">
        <v>185</v>
      </c>
      <c r="AW803" s="16" t="s">
        <v>36</v>
      </c>
      <c r="AX803" s="16" t="s">
        <v>85</v>
      </c>
      <c r="AY803" s="185" t="s">
        <v>177</v>
      </c>
    </row>
    <row r="804" spans="1:65" s="2" customFormat="1" ht="16.5" customHeight="1">
      <c r="A804" s="34"/>
      <c r="B804" s="139"/>
      <c r="C804" s="140" t="s">
        <v>2999</v>
      </c>
      <c r="D804" s="140" t="s">
        <v>180</v>
      </c>
      <c r="E804" s="141" t="s">
        <v>3000</v>
      </c>
      <c r="F804" s="142" t="s">
        <v>3001</v>
      </c>
      <c r="G804" s="143" t="s">
        <v>476</v>
      </c>
      <c r="H804" s="144">
        <v>4.51</v>
      </c>
      <c r="I804" s="145"/>
      <c r="J804" s="146">
        <f>ROUND(I804*H804,2)</f>
        <v>0</v>
      </c>
      <c r="K804" s="142" t="s">
        <v>184</v>
      </c>
      <c r="L804" s="35"/>
      <c r="M804" s="147" t="s">
        <v>3</v>
      </c>
      <c r="N804" s="148" t="s">
        <v>48</v>
      </c>
      <c r="O804" s="55"/>
      <c r="P804" s="149">
        <f>O804*H804</f>
        <v>0</v>
      </c>
      <c r="Q804" s="149">
        <v>3.3500000000000001E-4</v>
      </c>
      <c r="R804" s="149">
        <f>Q804*H804</f>
        <v>1.51085E-3</v>
      </c>
      <c r="S804" s="149">
        <v>0</v>
      </c>
      <c r="T804" s="150">
        <f>S804*H804</f>
        <v>0</v>
      </c>
      <c r="U804" s="34"/>
      <c r="V804" s="34"/>
      <c r="W804" s="34"/>
      <c r="X804" s="34"/>
      <c r="Y804" s="34"/>
      <c r="Z804" s="34"/>
      <c r="AA804" s="34"/>
      <c r="AB804" s="34"/>
      <c r="AC804" s="34"/>
      <c r="AD804" s="34"/>
      <c r="AE804" s="34"/>
      <c r="AR804" s="151" t="s">
        <v>237</v>
      </c>
      <c r="AT804" s="151" t="s">
        <v>180</v>
      </c>
      <c r="AU804" s="151" t="s">
        <v>87</v>
      </c>
      <c r="AY804" s="19" t="s">
        <v>177</v>
      </c>
      <c r="BE804" s="152">
        <f>IF(N804="základní",J804,0)</f>
        <v>0</v>
      </c>
      <c r="BF804" s="152">
        <f>IF(N804="snížená",J804,0)</f>
        <v>0</v>
      </c>
      <c r="BG804" s="152">
        <f>IF(N804="zákl. přenesená",J804,0)</f>
        <v>0</v>
      </c>
      <c r="BH804" s="152">
        <f>IF(N804="sníž. přenesená",J804,0)</f>
        <v>0</v>
      </c>
      <c r="BI804" s="152">
        <f>IF(N804="nulová",J804,0)</f>
        <v>0</v>
      </c>
      <c r="BJ804" s="19" t="s">
        <v>85</v>
      </c>
      <c r="BK804" s="152">
        <f>ROUND(I804*H804,2)</f>
        <v>0</v>
      </c>
      <c r="BL804" s="19" t="s">
        <v>237</v>
      </c>
      <c r="BM804" s="151" t="s">
        <v>3002</v>
      </c>
    </row>
    <row r="805" spans="1:65" s="2" customFormat="1">
      <c r="A805" s="34"/>
      <c r="B805" s="35"/>
      <c r="C805" s="34"/>
      <c r="D805" s="153" t="s">
        <v>187</v>
      </c>
      <c r="E805" s="34"/>
      <c r="F805" s="154" t="s">
        <v>3003</v>
      </c>
      <c r="G805" s="34"/>
      <c r="H805" s="34"/>
      <c r="I805" s="155"/>
      <c r="J805" s="34"/>
      <c r="K805" s="34"/>
      <c r="L805" s="35"/>
      <c r="M805" s="156"/>
      <c r="N805" s="157"/>
      <c r="O805" s="55"/>
      <c r="P805" s="55"/>
      <c r="Q805" s="55"/>
      <c r="R805" s="55"/>
      <c r="S805" s="55"/>
      <c r="T805" s="56"/>
      <c r="U805" s="34"/>
      <c r="V805" s="34"/>
      <c r="W805" s="34"/>
      <c r="X805" s="34"/>
      <c r="Y805" s="34"/>
      <c r="Z805" s="34"/>
      <c r="AA805" s="34"/>
      <c r="AB805" s="34"/>
      <c r="AC805" s="34"/>
      <c r="AD805" s="34"/>
      <c r="AE805" s="34"/>
      <c r="AT805" s="19" t="s">
        <v>187</v>
      </c>
      <c r="AU805" s="19" t="s">
        <v>87</v>
      </c>
    </row>
    <row r="806" spans="1:65" s="2" customFormat="1">
      <c r="A806" s="34"/>
      <c r="B806" s="35"/>
      <c r="C806" s="34"/>
      <c r="D806" s="158" t="s">
        <v>189</v>
      </c>
      <c r="E806" s="34"/>
      <c r="F806" s="159" t="s">
        <v>3004</v>
      </c>
      <c r="G806" s="34"/>
      <c r="H806" s="34"/>
      <c r="I806" s="155"/>
      <c r="J806" s="34"/>
      <c r="K806" s="34"/>
      <c r="L806" s="35"/>
      <c r="M806" s="156"/>
      <c r="N806" s="157"/>
      <c r="O806" s="55"/>
      <c r="P806" s="55"/>
      <c r="Q806" s="55"/>
      <c r="R806" s="55"/>
      <c r="S806" s="55"/>
      <c r="T806" s="56"/>
      <c r="U806" s="34"/>
      <c r="V806" s="34"/>
      <c r="W806" s="34"/>
      <c r="X806" s="34"/>
      <c r="Y806" s="34"/>
      <c r="Z806" s="34"/>
      <c r="AA806" s="34"/>
      <c r="AB806" s="34"/>
      <c r="AC806" s="34"/>
      <c r="AD806" s="34"/>
      <c r="AE806" s="34"/>
      <c r="AT806" s="19" t="s">
        <v>189</v>
      </c>
      <c r="AU806" s="19" t="s">
        <v>87</v>
      </c>
    </row>
    <row r="807" spans="1:65" s="2" customFormat="1" ht="48.75">
      <c r="A807" s="34"/>
      <c r="B807" s="35"/>
      <c r="C807" s="34"/>
      <c r="D807" s="153" t="s">
        <v>191</v>
      </c>
      <c r="E807" s="34"/>
      <c r="F807" s="160" t="s">
        <v>2991</v>
      </c>
      <c r="G807" s="34"/>
      <c r="H807" s="34"/>
      <c r="I807" s="155"/>
      <c r="J807" s="34"/>
      <c r="K807" s="34"/>
      <c r="L807" s="35"/>
      <c r="M807" s="156"/>
      <c r="N807" s="157"/>
      <c r="O807" s="55"/>
      <c r="P807" s="55"/>
      <c r="Q807" s="55"/>
      <c r="R807" s="55"/>
      <c r="S807" s="55"/>
      <c r="T807" s="56"/>
      <c r="U807" s="34"/>
      <c r="V807" s="34"/>
      <c r="W807" s="34"/>
      <c r="X807" s="34"/>
      <c r="Y807" s="34"/>
      <c r="Z807" s="34"/>
      <c r="AA807" s="34"/>
      <c r="AB807" s="34"/>
      <c r="AC807" s="34"/>
      <c r="AD807" s="34"/>
      <c r="AE807" s="34"/>
      <c r="AT807" s="19" t="s">
        <v>191</v>
      </c>
      <c r="AU807" s="19" t="s">
        <v>87</v>
      </c>
    </row>
    <row r="808" spans="1:65" s="13" customFormat="1">
      <c r="B808" s="161"/>
      <c r="D808" s="153" t="s">
        <v>193</v>
      </c>
      <c r="E808" s="162" t="s">
        <v>3</v>
      </c>
      <c r="F808" s="163" t="s">
        <v>3005</v>
      </c>
      <c r="H808" s="164">
        <v>4.51</v>
      </c>
      <c r="I808" s="165"/>
      <c r="L808" s="161"/>
      <c r="M808" s="166"/>
      <c r="N808" s="167"/>
      <c r="O808" s="167"/>
      <c r="P808" s="167"/>
      <c r="Q808" s="167"/>
      <c r="R808" s="167"/>
      <c r="S808" s="167"/>
      <c r="T808" s="168"/>
      <c r="AT808" s="162" t="s">
        <v>193</v>
      </c>
      <c r="AU808" s="162" t="s">
        <v>87</v>
      </c>
      <c r="AV808" s="13" t="s">
        <v>87</v>
      </c>
      <c r="AW808" s="13" t="s">
        <v>36</v>
      </c>
      <c r="AX808" s="13" t="s">
        <v>85</v>
      </c>
      <c r="AY808" s="162" t="s">
        <v>177</v>
      </c>
    </row>
    <row r="809" spans="1:65" s="2" customFormat="1" ht="16.5" customHeight="1">
      <c r="A809" s="34"/>
      <c r="B809" s="139"/>
      <c r="C809" s="195" t="s">
        <v>3006</v>
      </c>
      <c r="D809" s="195" t="s">
        <v>484</v>
      </c>
      <c r="E809" s="196" t="s">
        <v>3007</v>
      </c>
      <c r="F809" s="197" t="s">
        <v>3008</v>
      </c>
      <c r="G809" s="198" t="s">
        <v>476</v>
      </c>
      <c r="H809" s="199">
        <v>4.9610000000000003</v>
      </c>
      <c r="I809" s="200"/>
      <c r="J809" s="201">
        <f>ROUND(I809*H809,2)</f>
        <v>0</v>
      </c>
      <c r="K809" s="197" t="s">
        <v>184</v>
      </c>
      <c r="L809" s="202"/>
      <c r="M809" s="203" t="s">
        <v>3</v>
      </c>
      <c r="N809" s="204" t="s">
        <v>48</v>
      </c>
      <c r="O809" s="55"/>
      <c r="P809" s="149">
        <f>O809*H809</f>
        <v>0</v>
      </c>
      <c r="Q809" s="149">
        <v>1.0200000000000001E-3</v>
      </c>
      <c r="R809" s="149">
        <f>Q809*H809</f>
        <v>5.0602200000000007E-3</v>
      </c>
      <c r="S809" s="149">
        <v>0</v>
      </c>
      <c r="T809" s="150">
        <f>S809*H809</f>
        <v>0</v>
      </c>
      <c r="U809" s="34"/>
      <c r="V809" s="34"/>
      <c r="W809" s="34"/>
      <c r="X809" s="34"/>
      <c r="Y809" s="34"/>
      <c r="Z809" s="34"/>
      <c r="AA809" s="34"/>
      <c r="AB809" s="34"/>
      <c r="AC809" s="34"/>
      <c r="AD809" s="34"/>
      <c r="AE809" s="34"/>
      <c r="AR809" s="151" t="s">
        <v>537</v>
      </c>
      <c r="AT809" s="151" t="s">
        <v>484</v>
      </c>
      <c r="AU809" s="151" t="s">
        <v>87</v>
      </c>
      <c r="AY809" s="19" t="s">
        <v>177</v>
      </c>
      <c r="BE809" s="152">
        <f>IF(N809="základní",J809,0)</f>
        <v>0</v>
      </c>
      <c r="BF809" s="152">
        <f>IF(N809="snížená",J809,0)</f>
        <v>0</v>
      </c>
      <c r="BG809" s="152">
        <f>IF(N809="zákl. přenesená",J809,0)</f>
        <v>0</v>
      </c>
      <c r="BH809" s="152">
        <f>IF(N809="sníž. přenesená",J809,0)</f>
        <v>0</v>
      </c>
      <c r="BI809" s="152">
        <f>IF(N809="nulová",J809,0)</f>
        <v>0</v>
      </c>
      <c r="BJ809" s="19" t="s">
        <v>85</v>
      </c>
      <c r="BK809" s="152">
        <f>ROUND(I809*H809,2)</f>
        <v>0</v>
      </c>
      <c r="BL809" s="19" t="s">
        <v>237</v>
      </c>
      <c r="BM809" s="151" t="s">
        <v>3009</v>
      </c>
    </row>
    <row r="810" spans="1:65" s="2" customFormat="1">
      <c r="A810" s="34"/>
      <c r="B810" s="35"/>
      <c r="C810" s="34"/>
      <c r="D810" s="153" t="s">
        <v>187</v>
      </c>
      <c r="E810" s="34"/>
      <c r="F810" s="154" t="s">
        <v>3008</v>
      </c>
      <c r="G810" s="34"/>
      <c r="H810" s="34"/>
      <c r="I810" s="155"/>
      <c r="J810" s="34"/>
      <c r="K810" s="34"/>
      <c r="L810" s="35"/>
      <c r="M810" s="156"/>
      <c r="N810" s="157"/>
      <c r="O810" s="55"/>
      <c r="P810" s="55"/>
      <c r="Q810" s="55"/>
      <c r="R810" s="55"/>
      <c r="S810" s="55"/>
      <c r="T810" s="56"/>
      <c r="U810" s="34"/>
      <c r="V810" s="34"/>
      <c r="W810" s="34"/>
      <c r="X810" s="34"/>
      <c r="Y810" s="34"/>
      <c r="Z810" s="34"/>
      <c r="AA810" s="34"/>
      <c r="AB810" s="34"/>
      <c r="AC810" s="34"/>
      <c r="AD810" s="34"/>
      <c r="AE810" s="34"/>
      <c r="AT810" s="19" t="s">
        <v>187</v>
      </c>
      <c r="AU810" s="19" t="s">
        <v>87</v>
      </c>
    </row>
    <row r="811" spans="1:65" s="13" customFormat="1">
      <c r="B811" s="161"/>
      <c r="D811" s="153" t="s">
        <v>193</v>
      </c>
      <c r="F811" s="163" t="s">
        <v>3010</v>
      </c>
      <c r="H811" s="164">
        <v>4.9610000000000003</v>
      </c>
      <c r="I811" s="165"/>
      <c r="L811" s="161"/>
      <c r="M811" s="166"/>
      <c r="N811" s="167"/>
      <c r="O811" s="167"/>
      <c r="P811" s="167"/>
      <c r="Q811" s="167"/>
      <c r="R811" s="167"/>
      <c r="S811" s="167"/>
      <c r="T811" s="168"/>
      <c r="AT811" s="162" t="s">
        <v>193</v>
      </c>
      <c r="AU811" s="162" t="s">
        <v>87</v>
      </c>
      <c r="AV811" s="13" t="s">
        <v>87</v>
      </c>
      <c r="AW811" s="13" t="s">
        <v>4</v>
      </c>
      <c r="AX811" s="13" t="s">
        <v>85</v>
      </c>
      <c r="AY811" s="162" t="s">
        <v>177</v>
      </c>
    </row>
    <row r="812" spans="1:65" s="2" customFormat="1" ht="21.75" customHeight="1">
      <c r="A812" s="34"/>
      <c r="B812" s="139"/>
      <c r="C812" s="140" t="s">
        <v>3011</v>
      </c>
      <c r="D812" s="140" t="s">
        <v>180</v>
      </c>
      <c r="E812" s="141" t="s">
        <v>3012</v>
      </c>
      <c r="F812" s="142" t="s">
        <v>3013</v>
      </c>
      <c r="G812" s="143" t="s">
        <v>476</v>
      </c>
      <c r="H812" s="144">
        <v>22.4</v>
      </c>
      <c r="I812" s="145"/>
      <c r="J812" s="146">
        <f>ROUND(I812*H812,2)</f>
        <v>0</v>
      </c>
      <c r="K812" s="142" t="s">
        <v>184</v>
      </c>
      <c r="L812" s="35"/>
      <c r="M812" s="147" t="s">
        <v>3</v>
      </c>
      <c r="N812" s="148" t="s">
        <v>48</v>
      </c>
      <c r="O812" s="55"/>
      <c r="P812" s="149">
        <f>O812*H812</f>
        <v>0</v>
      </c>
      <c r="Q812" s="149">
        <v>1.5299999999999999E-3</v>
      </c>
      <c r="R812" s="149">
        <f>Q812*H812</f>
        <v>3.4271999999999997E-2</v>
      </c>
      <c r="S812" s="149">
        <v>0</v>
      </c>
      <c r="T812" s="150">
        <f>S812*H812</f>
        <v>0</v>
      </c>
      <c r="U812" s="34"/>
      <c r="V812" s="34"/>
      <c r="W812" s="34"/>
      <c r="X812" s="34"/>
      <c r="Y812" s="34"/>
      <c r="Z812" s="34"/>
      <c r="AA812" s="34"/>
      <c r="AB812" s="34"/>
      <c r="AC812" s="34"/>
      <c r="AD812" s="34"/>
      <c r="AE812" s="34"/>
      <c r="AR812" s="151" t="s">
        <v>237</v>
      </c>
      <c r="AT812" s="151" t="s">
        <v>180</v>
      </c>
      <c r="AU812" s="151" t="s">
        <v>87</v>
      </c>
      <c r="AY812" s="19" t="s">
        <v>177</v>
      </c>
      <c r="BE812" s="152">
        <f>IF(N812="základní",J812,0)</f>
        <v>0</v>
      </c>
      <c r="BF812" s="152">
        <f>IF(N812="snížená",J812,0)</f>
        <v>0</v>
      </c>
      <c r="BG812" s="152">
        <f>IF(N812="zákl. přenesená",J812,0)</f>
        <v>0</v>
      </c>
      <c r="BH812" s="152">
        <f>IF(N812="sníž. přenesená",J812,0)</f>
        <v>0</v>
      </c>
      <c r="BI812" s="152">
        <f>IF(N812="nulová",J812,0)</f>
        <v>0</v>
      </c>
      <c r="BJ812" s="19" t="s">
        <v>85</v>
      </c>
      <c r="BK812" s="152">
        <f>ROUND(I812*H812,2)</f>
        <v>0</v>
      </c>
      <c r="BL812" s="19" t="s">
        <v>237</v>
      </c>
      <c r="BM812" s="151" t="s">
        <v>3014</v>
      </c>
    </row>
    <row r="813" spans="1:65" s="2" customFormat="1" ht="19.5">
      <c r="A813" s="34"/>
      <c r="B813" s="35"/>
      <c r="C813" s="34"/>
      <c r="D813" s="153" t="s">
        <v>187</v>
      </c>
      <c r="E813" s="34"/>
      <c r="F813" s="154" t="s">
        <v>3015</v>
      </c>
      <c r="G813" s="34"/>
      <c r="H813" s="34"/>
      <c r="I813" s="155"/>
      <c r="J813" s="34"/>
      <c r="K813" s="34"/>
      <c r="L813" s="35"/>
      <c r="M813" s="156"/>
      <c r="N813" s="157"/>
      <c r="O813" s="55"/>
      <c r="P813" s="55"/>
      <c r="Q813" s="55"/>
      <c r="R813" s="55"/>
      <c r="S813" s="55"/>
      <c r="T813" s="56"/>
      <c r="U813" s="34"/>
      <c r="V813" s="34"/>
      <c r="W813" s="34"/>
      <c r="X813" s="34"/>
      <c r="Y813" s="34"/>
      <c r="Z813" s="34"/>
      <c r="AA813" s="34"/>
      <c r="AB813" s="34"/>
      <c r="AC813" s="34"/>
      <c r="AD813" s="34"/>
      <c r="AE813" s="34"/>
      <c r="AT813" s="19" t="s">
        <v>187</v>
      </c>
      <c r="AU813" s="19" t="s">
        <v>87</v>
      </c>
    </row>
    <row r="814" spans="1:65" s="2" customFormat="1">
      <c r="A814" s="34"/>
      <c r="B814" s="35"/>
      <c r="C814" s="34"/>
      <c r="D814" s="158" t="s">
        <v>189</v>
      </c>
      <c r="E814" s="34"/>
      <c r="F814" s="159" t="s">
        <v>3016</v>
      </c>
      <c r="G814" s="34"/>
      <c r="H814" s="34"/>
      <c r="I814" s="155"/>
      <c r="J814" s="34"/>
      <c r="K814" s="34"/>
      <c r="L814" s="35"/>
      <c r="M814" s="156"/>
      <c r="N814" s="157"/>
      <c r="O814" s="55"/>
      <c r="P814" s="55"/>
      <c r="Q814" s="55"/>
      <c r="R814" s="55"/>
      <c r="S814" s="55"/>
      <c r="T814" s="56"/>
      <c r="U814" s="34"/>
      <c r="V814" s="34"/>
      <c r="W814" s="34"/>
      <c r="X814" s="34"/>
      <c r="Y814" s="34"/>
      <c r="Z814" s="34"/>
      <c r="AA814" s="34"/>
      <c r="AB814" s="34"/>
      <c r="AC814" s="34"/>
      <c r="AD814" s="34"/>
      <c r="AE814" s="34"/>
      <c r="AT814" s="19" t="s">
        <v>189</v>
      </c>
      <c r="AU814" s="19" t="s">
        <v>87</v>
      </c>
    </row>
    <row r="815" spans="1:65" s="2" customFormat="1" ht="39">
      <c r="A815" s="34"/>
      <c r="B815" s="35"/>
      <c r="C815" s="34"/>
      <c r="D815" s="153" t="s">
        <v>191</v>
      </c>
      <c r="E815" s="34"/>
      <c r="F815" s="160" t="s">
        <v>3017</v>
      </c>
      <c r="G815" s="34"/>
      <c r="H815" s="34"/>
      <c r="I815" s="155"/>
      <c r="J815" s="34"/>
      <c r="K815" s="34"/>
      <c r="L815" s="35"/>
      <c r="M815" s="156"/>
      <c r="N815" s="157"/>
      <c r="O815" s="55"/>
      <c r="P815" s="55"/>
      <c r="Q815" s="55"/>
      <c r="R815" s="55"/>
      <c r="S815" s="55"/>
      <c r="T815" s="56"/>
      <c r="U815" s="34"/>
      <c r="V815" s="34"/>
      <c r="W815" s="34"/>
      <c r="X815" s="34"/>
      <c r="Y815" s="34"/>
      <c r="Z815" s="34"/>
      <c r="AA815" s="34"/>
      <c r="AB815" s="34"/>
      <c r="AC815" s="34"/>
      <c r="AD815" s="34"/>
      <c r="AE815" s="34"/>
      <c r="AT815" s="19" t="s">
        <v>191</v>
      </c>
      <c r="AU815" s="19" t="s">
        <v>87</v>
      </c>
    </row>
    <row r="816" spans="1:65" s="13" customFormat="1">
      <c r="B816" s="161"/>
      <c r="D816" s="153" t="s">
        <v>193</v>
      </c>
      <c r="E816" s="162" t="s">
        <v>3</v>
      </c>
      <c r="F816" s="163" t="s">
        <v>3018</v>
      </c>
      <c r="H816" s="164">
        <v>22.4</v>
      </c>
      <c r="I816" s="165"/>
      <c r="L816" s="161"/>
      <c r="M816" s="166"/>
      <c r="N816" s="167"/>
      <c r="O816" s="167"/>
      <c r="P816" s="167"/>
      <c r="Q816" s="167"/>
      <c r="R816" s="167"/>
      <c r="S816" s="167"/>
      <c r="T816" s="168"/>
      <c r="AT816" s="162" t="s">
        <v>193</v>
      </c>
      <c r="AU816" s="162" t="s">
        <v>87</v>
      </c>
      <c r="AV816" s="13" t="s">
        <v>87</v>
      </c>
      <c r="AW816" s="13" t="s">
        <v>36</v>
      </c>
      <c r="AX816" s="13" t="s">
        <v>85</v>
      </c>
      <c r="AY816" s="162" t="s">
        <v>177</v>
      </c>
    </row>
    <row r="817" spans="1:65" s="2" customFormat="1" ht="16.5" customHeight="1">
      <c r="A817" s="34"/>
      <c r="B817" s="139"/>
      <c r="C817" s="140" t="s">
        <v>3019</v>
      </c>
      <c r="D817" s="140" t="s">
        <v>180</v>
      </c>
      <c r="E817" s="141" t="s">
        <v>3020</v>
      </c>
      <c r="F817" s="142" t="s">
        <v>3021</v>
      </c>
      <c r="G817" s="143" t="s">
        <v>476</v>
      </c>
      <c r="H817" s="144">
        <v>22.4</v>
      </c>
      <c r="I817" s="145"/>
      <c r="J817" s="146">
        <f>ROUND(I817*H817,2)</f>
        <v>0</v>
      </c>
      <c r="K817" s="142" t="s">
        <v>184</v>
      </c>
      <c r="L817" s="35"/>
      <c r="M817" s="147" t="s">
        <v>3</v>
      </c>
      <c r="N817" s="148" t="s">
        <v>48</v>
      </c>
      <c r="O817" s="55"/>
      <c r="P817" s="149">
        <f>O817*H817</f>
        <v>0</v>
      </c>
      <c r="Q817" s="149">
        <v>7.5000000000000002E-4</v>
      </c>
      <c r="R817" s="149">
        <f>Q817*H817</f>
        <v>1.6799999999999999E-2</v>
      </c>
      <c r="S817" s="149">
        <v>0</v>
      </c>
      <c r="T817" s="150">
        <f>S817*H817</f>
        <v>0</v>
      </c>
      <c r="U817" s="34"/>
      <c r="V817" s="34"/>
      <c r="W817" s="34"/>
      <c r="X817" s="34"/>
      <c r="Y817" s="34"/>
      <c r="Z817" s="34"/>
      <c r="AA817" s="34"/>
      <c r="AB817" s="34"/>
      <c r="AC817" s="34"/>
      <c r="AD817" s="34"/>
      <c r="AE817" s="34"/>
      <c r="AR817" s="151" t="s">
        <v>237</v>
      </c>
      <c r="AT817" s="151" t="s">
        <v>180</v>
      </c>
      <c r="AU817" s="151" t="s">
        <v>87</v>
      </c>
      <c r="AY817" s="19" t="s">
        <v>177</v>
      </c>
      <c r="BE817" s="152">
        <f>IF(N817="základní",J817,0)</f>
        <v>0</v>
      </c>
      <c r="BF817" s="152">
        <f>IF(N817="snížená",J817,0)</f>
        <v>0</v>
      </c>
      <c r="BG817" s="152">
        <f>IF(N817="zákl. přenesená",J817,0)</f>
        <v>0</v>
      </c>
      <c r="BH817" s="152">
        <f>IF(N817="sníž. přenesená",J817,0)</f>
        <v>0</v>
      </c>
      <c r="BI817" s="152">
        <f>IF(N817="nulová",J817,0)</f>
        <v>0</v>
      </c>
      <c r="BJ817" s="19" t="s">
        <v>85</v>
      </c>
      <c r="BK817" s="152">
        <f>ROUND(I817*H817,2)</f>
        <v>0</v>
      </c>
      <c r="BL817" s="19" t="s">
        <v>237</v>
      </c>
      <c r="BM817" s="151" t="s">
        <v>3022</v>
      </c>
    </row>
    <row r="818" spans="1:65" s="2" customFormat="1">
      <c r="A818" s="34"/>
      <c r="B818" s="35"/>
      <c r="C818" s="34"/>
      <c r="D818" s="153" t="s">
        <v>187</v>
      </c>
      <c r="E818" s="34"/>
      <c r="F818" s="154" t="s">
        <v>3023</v>
      </c>
      <c r="G818" s="34"/>
      <c r="H818" s="34"/>
      <c r="I818" s="155"/>
      <c r="J818" s="34"/>
      <c r="K818" s="34"/>
      <c r="L818" s="35"/>
      <c r="M818" s="156"/>
      <c r="N818" s="157"/>
      <c r="O818" s="55"/>
      <c r="P818" s="55"/>
      <c r="Q818" s="55"/>
      <c r="R818" s="55"/>
      <c r="S818" s="55"/>
      <c r="T818" s="56"/>
      <c r="U818" s="34"/>
      <c r="V818" s="34"/>
      <c r="W818" s="34"/>
      <c r="X818" s="34"/>
      <c r="Y818" s="34"/>
      <c r="Z818" s="34"/>
      <c r="AA818" s="34"/>
      <c r="AB818" s="34"/>
      <c r="AC818" s="34"/>
      <c r="AD818" s="34"/>
      <c r="AE818" s="34"/>
      <c r="AT818" s="19" t="s">
        <v>187</v>
      </c>
      <c r="AU818" s="19" t="s">
        <v>87</v>
      </c>
    </row>
    <row r="819" spans="1:65" s="2" customFormat="1">
      <c r="A819" s="34"/>
      <c r="B819" s="35"/>
      <c r="C819" s="34"/>
      <c r="D819" s="158" t="s">
        <v>189</v>
      </c>
      <c r="E819" s="34"/>
      <c r="F819" s="159" t="s">
        <v>3024</v>
      </c>
      <c r="G819" s="34"/>
      <c r="H819" s="34"/>
      <c r="I819" s="155"/>
      <c r="J819" s="34"/>
      <c r="K819" s="34"/>
      <c r="L819" s="35"/>
      <c r="M819" s="156"/>
      <c r="N819" s="157"/>
      <c r="O819" s="55"/>
      <c r="P819" s="55"/>
      <c r="Q819" s="55"/>
      <c r="R819" s="55"/>
      <c r="S819" s="55"/>
      <c r="T819" s="56"/>
      <c r="U819" s="34"/>
      <c r="V819" s="34"/>
      <c r="W819" s="34"/>
      <c r="X819" s="34"/>
      <c r="Y819" s="34"/>
      <c r="Z819" s="34"/>
      <c r="AA819" s="34"/>
      <c r="AB819" s="34"/>
      <c r="AC819" s="34"/>
      <c r="AD819" s="34"/>
      <c r="AE819" s="34"/>
      <c r="AT819" s="19" t="s">
        <v>189</v>
      </c>
      <c r="AU819" s="19" t="s">
        <v>87</v>
      </c>
    </row>
    <row r="820" spans="1:65" s="2" customFormat="1" ht="39">
      <c r="A820" s="34"/>
      <c r="B820" s="35"/>
      <c r="C820" s="34"/>
      <c r="D820" s="153" t="s">
        <v>191</v>
      </c>
      <c r="E820" s="34"/>
      <c r="F820" s="160" t="s">
        <v>3017</v>
      </c>
      <c r="G820" s="34"/>
      <c r="H820" s="34"/>
      <c r="I820" s="155"/>
      <c r="J820" s="34"/>
      <c r="K820" s="34"/>
      <c r="L820" s="35"/>
      <c r="M820" s="156"/>
      <c r="N820" s="157"/>
      <c r="O820" s="55"/>
      <c r="P820" s="55"/>
      <c r="Q820" s="55"/>
      <c r="R820" s="55"/>
      <c r="S820" s="55"/>
      <c r="T820" s="56"/>
      <c r="U820" s="34"/>
      <c r="V820" s="34"/>
      <c r="W820" s="34"/>
      <c r="X820" s="34"/>
      <c r="Y820" s="34"/>
      <c r="Z820" s="34"/>
      <c r="AA820" s="34"/>
      <c r="AB820" s="34"/>
      <c r="AC820" s="34"/>
      <c r="AD820" s="34"/>
      <c r="AE820" s="34"/>
      <c r="AT820" s="19" t="s">
        <v>191</v>
      </c>
      <c r="AU820" s="19" t="s">
        <v>87</v>
      </c>
    </row>
    <row r="821" spans="1:65" s="2" customFormat="1" ht="16.5" customHeight="1">
      <c r="A821" s="34"/>
      <c r="B821" s="139"/>
      <c r="C821" s="140" t="s">
        <v>3025</v>
      </c>
      <c r="D821" s="140" t="s">
        <v>180</v>
      </c>
      <c r="E821" s="141" t="s">
        <v>3026</v>
      </c>
      <c r="F821" s="142" t="s">
        <v>3027</v>
      </c>
      <c r="G821" s="143" t="s">
        <v>476</v>
      </c>
      <c r="H821" s="144">
        <v>10</v>
      </c>
      <c r="I821" s="145"/>
      <c r="J821" s="146">
        <f>ROUND(I821*H821,2)</f>
        <v>0</v>
      </c>
      <c r="K821" s="142" t="s">
        <v>184</v>
      </c>
      <c r="L821" s="35"/>
      <c r="M821" s="147" t="s">
        <v>3</v>
      </c>
      <c r="N821" s="148" t="s">
        <v>48</v>
      </c>
      <c r="O821" s="55"/>
      <c r="P821" s="149">
        <f>O821*H821</f>
        <v>0</v>
      </c>
      <c r="Q821" s="149">
        <v>5.8399999999999999E-4</v>
      </c>
      <c r="R821" s="149">
        <f>Q821*H821</f>
        <v>5.8399999999999997E-3</v>
      </c>
      <c r="S821" s="149">
        <v>0</v>
      </c>
      <c r="T821" s="150">
        <f>S821*H821</f>
        <v>0</v>
      </c>
      <c r="U821" s="34"/>
      <c r="V821" s="34"/>
      <c r="W821" s="34"/>
      <c r="X821" s="34"/>
      <c r="Y821" s="34"/>
      <c r="Z821" s="34"/>
      <c r="AA821" s="34"/>
      <c r="AB821" s="34"/>
      <c r="AC821" s="34"/>
      <c r="AD821" s="34"/>
      <c r="AE821" s="34"/>
      <c r="AR821" s="151" t="s">
        <v>237</v>
      </c>
      <c r="AT821" s="151" t="s">
        <v>180</v>
      </c>
      <c r="AU821" s="151" t="s">
        <v>87</v>
      </c>
      <c r="AY821" s="19" t="s">
        <v>177</v>
      </c>
      <c r="BE821" s="152">
        <f>IF(N821="základní",J821,0)</f>
        <v>0</v>
      </c>
      <c r="BF821" s="152">
        <f>IF(N821="snížená",J821,0)</f>
        <v>0</v>
      </c>
      <c r="BG821" s="152">
        <f>IF(N821="zákl. přenesená",J821,0)</f>
        <v>0</v>
      </c>
      <c r="BH821" s="152">
        <f>IF(N821="sníž. přenesená",J821,0)</f>
        <v>0</v>
      </c>
      <c r="BI821" s="152">
        <f>IF(N821="nulová",J821,0)</f>
        <v>0</v>
      </c>
      <c r="BJ821" s="19" t="s">
        <v>85</v>
      </c>
      <c r="BK821" s="152">
        <f>ROUND(I821*H821,2)</f>
        <v>0</v>
      </c>
      <c r="BL821" s="19" t="s">
        <v>237</v>
      </c>
      <c r="BM821" s="151" t="s">
        <v>3028</v>
      </c>
    </row>
    <row r="822" spans="1:65" s="2" customFormat="1">
      <c r="A822" s="34"/>
      <c r="B822" s="35"/>
      <c r="C822" s="34"/>
      <c r="D822" s="153" t="s">
        <v>187</v>
      </c>
      <c r="E822" s="34"/>
      <c r="F822" s="154" t="s">
        <v>3029</v>
      </c>
      <c r="G822" s="34"/>
      <c r="H822" s="34"/>
      <c r="I822" s="155"/>
      <c r="J822" s="34"/>
      <c r="K822" s="34"/>
      <c r="L822" s="35"/>
      <c r="M822" s="156"/>
      <c r="N822" s="157"/>
      <c r="O822" s="55"/>
      <c r="P822" s="55"/>
      <c r="Q822" s="55"/>
      <c r="R822" s="55"/>
      <c r="S822" s="55"/>
      <c r="T822" s="56"/>
      <c r="U822" s="34"/>
      <c r="V822" s="34"/>
      <c r="W822" s="34"/>
      <c r="X822" s="34"/>
      <c r="Y822" s="34"/>
      <c r="Z822" s="34"/>
      <c r="AA822" s="34"/>
      <c r="AB822" s="34"/>
      <c r="AC822" s="34"/>
      <c r="AD822" s="34"/>
      <c r="AE822" s="34"/>
      <c r="AT822" s="19" t="s">
        <v>187</v>
      </c>
      <c r="AU822" s="19" t="s">
        <v>87</v>
      </c>
    </row>
    <row r="823" spans="1:65" s="2" customFormat="1">
      <c r="A823" s="34"/>
      <c r="B823" s="35"/>
      <c r="C823" s="34"/>
      <c r="D823" s="158" t="s">
        <v>189</v>
      </c>
      <c r="E823" s="34"/>
      <c r="F823" s="159" t="s">
        <v>3030</v>
      </c>
      <c r="G823" s="34"/>
      <c r="H823" s="34"/>
      <c r="I823" s="155"/>
      <c r="J823" s="34"/>
      <c r="K823" s="34"/>
      <c r="L823" s="35"/>
      <c r="M823" s="156"/>
      <c r="N823" s="157"/>
      <c r="O823" s="55"/>
      <c r="P823" s="55"/>
      <c r="Q823" s="55"/>
      <c r="R823" s="55"/>
      <c r="S823" s="55"/>
      <c r="T823" s="56"/>
      <c r="U823" s="34"/>
      <c r="V823" s="34"/>
      <c r="W823" s="34"/>
      <c r="X823" s="34"/>
      <c r="Y823" s="34"/>
      <c r="Z823" s="34"/>
      <c r="AA823" s="34"/>
      <c r="AB823" s="34"/>
      <c r="AC823" s="34"/>
      <c r="AD823" s="34"/>
      <c r="AE823" s="34"/>
      <c r="AT823" s="19" t="s">
        <v>189</v>
      </c>
      <c r="AU823" s="19" t="s">
        <v>87</v>
      </c>
    </row>
    <row r="824" spans="1:65" s="2" customFormat="1" ht="16.5" customHeight="1">
      <c r="A824" s="34"/>
      <c r="B824" s="139"/>
      <c r="C824" s="195" t="s">
        <v>3031</v>
      </c>
      <c r="D824" s="195" t="s">
        <v>484</v>
      </c>
      <c r="E824" s="196" t="s">
        <v>3032</v>
      </c>
      <c r="F824" s="197" t="s">
        <v>3033</v>
      </c>
      <c r="G824" s="198" t="s">
        <v>236</v>
      </c>
      <c r="H824" s="199">
        <v>33.332999999999998</v>
      </c>
      <c r="I824" s="200"/>
      <c r="J824" s="201">
        <f>ROUND(I824*H824,2)</f>
        <v>0</v>
      </c>
      <c r="K824" s="197" t="s">
        <v>184</v>
      </c>
      <c r="L824" s="202"/>
      <c r="M824" s="203" t="s">
        <v>3</v>
      </c>
      <c r="N824" s="204" t="s">
        <v>48</v>
      </c>
      <c r="O824" s="55"/>
      <c r="P824" s="149">
        <f>O824*H824</f>
        <v>0</v>
      </c>
      <c r="Q824" s="149">
        <v>4.6999999999999999E-4</v>
      </c>
      <c r="R824" s="149">
        <f>Q824*H824</f>
        <v>1.5666509999999998E-2</v>
      </c>
      <c r="S824" s="149">
        <v>0</v>
      </c>
      <c r="T824" s="150">
        <f>S824*H824</f>
        <v>0</v>
      </c>
      <c r="U824" s="34"/>
      <c r="V824" s="34"/>
      <c r="W824" s="34"/>
      <c r="X824" s="34"/>
      <c r="Y824" s="34"/>
      <c r="Z824" s="34"/>
      <c r="AA824" s="34"/>
      <c r="AB824" s="34"/>
      <c r="AC824" s="34"/>
      <c r="AD824" s="34"/>
      <c r="AE824" s="34"/>
      <c r="AR824" s="151" t="s">
        <v>537</v>
      </c>
      <c r="AT824" s="151" t="s">
        <v>484</v>
      </c>
      <c r="AU824" s="151" t="s">
        <v>87</v>
      </c>
      <c r="AY824" s="19" t="s">
        <v>177</v>
      </c>
      <c r="BE824" s="152">
        <f>IF(N824="základní",J824,0)</f>
        <v>0</v>
      </c>
      <c r="BF824" s="152">
        <f>IF(N824="snížená",J824,0)</f>
        <v>0</v>
      </c>
      <c r="BG824" s="152">
        <f>IF(N824="zákl. přenesená",J824,0)</f>
        <v>0</v>
      </c>
      <c r="BH824" s="152">
        <f>IF(N824="sníž. přenesená",J824,0)</f>
        <v>0</v>
      </c>
      <c r="BI824" s="152">
        <f>IF(N824="nulová",J824,0)</f>
        <v>0</v>
      </c>
      <c r="BJ824" s="19" t="s">
        <v>85</v>
      </c>
      <c r="BK824" s="152">
        <f>ROUND(I824*H824,2)</f>
        <v>0</v>
      </c>
      <c r="BL824" s="19" t="s">
        <v>237</v>
      </c>
      <c r="BM824" s="151" t="s">
        <v>3034</v>
      </c>
    </row>
    <row r="825" spans="1:65" s="2" customFormat="1">
      <c r="A825" s="34"/>
      <c r="B825" s="35"/>
      <c r="C825" s="34"/>
      <c r="D825" s="153" t="s">
        <v>187</v>
      </c>
      <c r="E825" s="34"/>
      <c r="F825" s="154" t="s">
        <v>3033</v>
      </c>
      <c r="G825" s="34"/>
      <c r="H825" s="34"/>
      <c r="I825" s="155"/>
      <c r="J825" s="34"/>
      <c r="K825" s="34"/>
      <c r="L825" s="35"/>
      <c r="M825" s="156"/>
      <c r="N825" s="157"/>
      <c r="O825" s="55"/>
      <c r="P825" s="55"/>
      <c r="Q825" s="55"/>
      <c r="R825" s="55"/>
      <c r="S825" s="55"/>
      <c r="T825" s="56"/>
      <c r="U825" s="34"/>
      <c r="V825" s="34"/>
      <c r="W825" s="34"/>
      <c r="X825" s="34"/>
      <c r="Y825" s="34"/>
      <c r="Z825" s="34"/>
      <c r="AA825" s="34"/>
      <c r="AB825" s="34"/>
      <c r="AC825" s="34"/>
      <c r="AD825" s="34"/>
      <c r="AE825" s="34"/>
      <c r="AT825" s="19" t="s">
        <v>187</v>
      </c>
      <c r="AU825" s="19" t="s">
        <v>87</v>
      </c>
    </row>
    <row r="826" spans="1:65" s="13" customFormat="1">
      <c r="B826" s="161"/>
      <c r="D826" s="153" t="s">
        <v>193</v>
      </c>
      <c r="E826" s="162" t="s">
        <v>3</v>
      </c>
      <c r="F826" s="163" t="s">
        <v>3035</v>
      </c>
      <c r="H826" s="164">
        <v>30.303000000000001</v>
      </c>
      <c r="I826" s="165"/>
      <c r="L826" s="161"/>
      <c r="M826" s="166"/>
      <c r="N826" s="167"/>
      <c r="O826" s="167"/>
      <c r="P826" s="167"/>
      <c r="Q826" s="167"/>
      <c r="R826" s="167"/>
      <c r="S826" s="167"/>
      <c r="T826" s="168"/>
      <c r="AT826" s="162" t="s">
        <v>193</v>
      </c>
      <c r="AU826" s="162" t="s">
        <v>87</v>
      </c>
      <c r="AV826" s="13" t="s">
        <v>87</v>
      </c>
      <c r="AW826" s="13" t="s">
        <v>36</v>
      </c>
      <c r="AX826" s="13" t="s">
        <v>85</v>
      </c>
      <c r="AY826" s="162" t="s">
        <v>177</v>
      </c>
    </row>
    <row r="827" spans="1:65" s="13" customFormat="1">
      <c r="B827" s="161"/>
      <c r="D827" s="153" t="s">
        <v>193</v>
      </c>
      <c r="F827" s="163" t="s">
        <v>3036</v>
      </c>
      <c r="H827" s="164">
        <v>33.332999999999998</v>
      </c>
      <c r="I827" s="165"/>
      <c r="L827" s="161"/>
      <c r="M827" s="166"/>
      <c r="N827" s="167"/>
      <c r="O827" s="167"/>
      <c r="P827" s="167"/>
      <c r="Q827" s="167"/>
      <c r="R827" s="167"/>
      <c r="S827" s="167"/>
      <c r="T827" s="168"/>
      <c r="AT827" s="162" t="s">
        <v>193</v>
      </c>
      <c r="AU827" s="162" t="s">
        <v>87</v>
      </c>
      <c r="AV827" s="13" t="s">
        <v>87</v>
      </c>
      <c r="AW827" s="13" t="s">
        <v>4</v>
      </c>
      <c r="AX827" s="13" t="s">
        <v>85</v>
      </c>
      <c r="AY827" s="162" t="s">
        <v>177</v>
      </c>
    </row>
    <row r="828" spans="1:65" s="2" customFormat="1" ht="24.2" customHeight="1">
      <c r="A828" s="34"/>
      <c r="B828" s="139"/>
      <c r="C828" s="140" t="s">
        <v>3037</v>
      </c>
      <c r="D828" s="140" t="s">
        <v>180</v>
      </c>
      <c r="E828" s="141" t="s">
        <v>3038</v>
      </c>
      <c r="F828" s="142" t="s">
        <v>3039</v>
      </c>
      <c r="G828" s="143" t="s">
        <v>332</v>
      </c>
      <c r="H828" s="144">
        <v>15.1</v>
      </c>
      <c r="I828" s="145"/>
      <c r="J828" s="146">
        <f>ROUND(I828*H828,2)</f>
        <v>0</v>
      </c>
      <c r="K828" s="142" t="s">
        <v>184</v>
      </c>
      <c r="L828" s="35"/>
      <c r="M828" s="147" t="s">
        <v>3</v>
      </c>
      <c r="N828" s="148" t="s">
        <v>48</v>
      </c>
      <c r="O828" s="55"/>
      <c r="P828" s="149">
        <f>O828*H828</f>
        <v>0</v>
      </c>
      <c r="Q828" s="149">
        <v>5.8799999999999998E-3</v>
      </c>
      <c r="R828" s="149">
        <f>Q828*H828</f>
        <v>8.8787999999999992E-2</v>
      </c>
      <c r="S828" s="149">
        <v>0</v>
      </c>
      <c r="T828" s="150">
        <f>S828*H828</f>
        <v>0</v>
      </c>
      <c r="U828" s="34"/>
      <c r="V828" s="34"/>
      <c r="W828" s="34"/>
      <c r="X828" s="34"/>
      <c r="Y828" s="34"/>
      <c r="Z828" s="34"/>
      <c r="AA828" s="34"/>
      <c r="AB828" s="34"/>
      <c r="AC828" s="34"/>
      <c r="AD828" s="34"/>
      <c r="AE828" s="34"/>
      <c r="AR828" s="151" t="s">
        <v>237</v>
      </c>
      <c r="AT828" s="151" t="s">
        <v>180</v>
      </c>
      <c r="AU828" s="151" t="s">
        <v>87</v>
      </c>
      <c r="AY828" s="19" t="s">
        <v>177</v>
      </c>
      <c r="BE828" s="152">
        <f>IF(N828="základní",J828,0)</f>
        <v>0</v>
      </c>
      <c r="BF828" s="152">
        <f>IF(N828="snížená",J828,0)</f>
        <v>0</v>
      </c>
      <c r="BG828" s="152">
        <f>IF(N828="zákl. přenesená",J828,0)</f>
        <v>0</v>
      </c>
      <c r="BH828" s="152">
        <f>IF(N828="sníž. přenesená",J828,0)</f>
        <v>0</v>
      </c>
      <c r="BI828" s="152">
        <f>IF(N828="nulová",J828,0)</f>
        <v>0</v>
      </c>
      <c r="BJ828" s="19" t="s">
        <v>85</v>
      </c>
      <c r="BK828" s="152">
        <f>ROUND(I828*H828,2)</f>
        <v>0</v>
      </c>
      <c r="BL828" s="19" t="s">
        <v>237</v>
      </c>
      <c r="BM828" s="151" t="s">
        <v>3040</v>
      </c>
    </row>
    <row r="829" spans="1:65" s="2" customFormat="1" ht="19.5">
      <c r="A829" s="34"/>
      <c r="B829" s="35"/>
      <c r="C829" s="34"/>
      <c r="D829" s="153" t="s">
        <v>187</v>
      </c>
      <c r="E829" s="34"/>
      <c r="F829" s="154" t="s">
        <v>3041</v>
      </c>
      <c r="G829" s="34"/>
      <c r="H829" s="34"/>
      <c r="I829" s="155"/>
      <c r="J829" s="34"/>
      <c r="K829" s="34"/>
      <c r="L829" s="35"/>
      <c r="M829" s="156"/>
      <c r="N829" s="157"/>
      <c r="O829" s="55"/>
      <c r="P829" s="55"/>
      <c r="Q829" s="55"/>
      <c r="R829" s="55"/>
      <c r="S829" s="55"/>
      <c r="T829" s="56"/>
      <c r="U829" s="34"/>
      <c r="V829" s="34"/>
      <c r="W829" s="34"/>
      <c r="X829" s="34"/>
      <c r="Y829" s="34"/>
      <c r="Z829" s="34"/>
      <c r="AA829" s="34"/>
      <c r="AB829" s="34"/>
      <c r="AC829" s="34"/>
      <c r="AD829" s="34"/>
      <c r="AE829" s="34"/>
      <c r="AT829" s="19" t="s">
        <v>187</v>
      </c>
      <c r="AU829" s="19" t="s">
        <v>87</v>
      </c>
    </row>
    <row r="830" spans="1:65" s="2" customFormat="1">
      <c r="A830" s="34"/>
      <c r="B830" s="35"/>
      <c r="C830" s="34"/>
      <c r="D830" s="158" t="s">
        <v>189</v>
      </c>
      <c r="E830" s="34"/>
      <c r="F830" s="159" t="s">
        <v>3042</v>
      </c>
      <c r="G830" s="34"/>
      <c r="H830" s="34"/>
      <c r="I830" s="155"/>
      <c r="J830" s="34"/>
      <c r="K830" s="34"/>
      <c r="L830" s="35"/>
      <c r="M830" s="156"/>
      <c r="N830" s="157"/>
      <c r="O830" s="55"/>
      <c r="P830" s="55"/>
      <c r="Q830" s="55"/>
      <c r="R830" s="55"/>
      <c r="S830" s="55"/>
      <c r="T830" s="56"/>
      <c r="U830" s="34"/>
      <c r="V830" s="34"/>
      <c r="W830" s="34"/>
      <c r="X830" s="34"/>
      <c r="Y830" s="34"/>
      <c r="Z830" s="34"/>
      <c r="AA830" s="34"/>
      <c r="AB830" s="34"/>
      <c r="AC830" s="34"/>
      <c r="AD830" s="34"/>
      <c r="AE830" s="34"/>
      <c r="AT830" s="19" t="s">
        <v>189</v>
      </c>
      <c r="AU830" s="19" t="s">
        <v>87</v>
      </c>
    </row>
    <row r="831" spans="1:65" s="2" customFormat="1" ht="29.25">
      <c r="A831" s="34"/>
      <c r="B831" s="35"/>
      <c r="C831" s="34"/>
      <c r="D831" s="153" t="s">
        <v>191</v>
      </c>
      <c r="E831" s="34"/>
      <c r="F831" s="160" t="s">
        <v>3043</v>
      </c>
      <c r="G831" s="34"/>
      <c r="H831" s="34"/>
      <c r="I831" s="155"/>
      <c r="J831" s="34"/>
      <c r="K831" s="34"/>
      <c r="L831" s="35"/>
      <c r="M831" s="156"/>
      <c r="N831" s="157"/>
      <c r="O831" s="55"/>
      <c r="P831" s="55"/>
      <c r="Q831" s="55"/>
      <c r="R831" s="55"/>
      <c r="S831" s="55"/>
      <c r="T831" s="56"/>
      <c r="U831" s="34"/>
      <c r="V831" s="34"/>
      <c r="W831" s="34"/>
      <c r="X831" s="34"/>
      <c r="Y831" s="34"/>
      <c r="Z831" s="34"/>
      <c r="AA831" s="34"/>
      <c r="AB831" s="34"/>
      <c r="AC831" s="34"/>
      <c r="AD831" s="34"/>
      <c r="AE831" s="34"/>
      <c r="AT831" s="19" t="s">
        <v>191</v>
      </c>
      <c r="AU831" s="19" t="s">
        <v>87</v>
      </c>
    </row>
    <row r="832" spans="1:65" s="2" customFormat="1" ht="24.2" customHeight="1">
      <c r="A832" s="34"/>
      <c r="B832" s="139"/>
      <c r="C832" s="195" t="s">
        <v>3044</v>
      </c>
      <c r="D832" s="195" t="s">
        <v>484</v>
      </c>
      <c r="E832" s="196" t="s">
        <v>3045</v>
      </c>
      <c r="F832" s="197" t="s">
        <v>3046</v>
      </c>
      <c r="G832" s="198" t="s">
        <v>332</v>
      </c>
      <c r="H832" s="199">
        <v>26.184000000000001</v>
      </c>
      <c r="I832" s="200"/>
      <c r="J832" s="201">
        <f>ROUND(I832*H832,2)</f>
        <v>0</v>
      </c>
      <c r="K832" s="197" t="s">
        <v>244</v>
      </c>
      <c r="L832" s="202"/>
      <c r="M832" s="203" t="s">
        <v>3</v>
      </c>
      <c r="N832" s="204" t="s">
        <v>48</v>
      </c>
      <c r="O832" s="55"/>
      <c r="P832" s="149">
        <f>O832*H832</f>
        <v>0</v>
      </c>
      <c r="Q832" s="149">
        <v>1.9199999999999998E-2</v>
      </c>
      <c r="R832" s="149">
        <f>Q832*H832</f>
        <v>0.50273279999999998</v>
      </c>
      <c r="S832" s="149">
        <v>0</v>
      </c>
      <c r="T832" s="150">
        <f>S832*H832</f>
        <v>0</v>
      </c>
      <c r="U832" s="34"/>
      <c r="V832" s="34"/>
      <c r="W832" s="34"/>
      <c r="X832" s="34"/>
      <c r="Y832" s="34"/>
      <c r="Z832" s="34"/>
      <c r="AA832" s="34"/>
      <c r="AB832" s="34"/>
      <c r="AC832" s="34"/>
      <c r="AD832" s="34"/>
      <c r="AE832" s="34"/>
      <c r="AR832" s="151" t="s">
        <v>537</v>
      </c>
      <c r="AT832" s="151" t="s">
        <v>484</v>
      </c>
      <c r="AU832" s="151" t="s">
        <v>87</v>
      </c>
      <c r="AY832" s="19" t="s">
        <v>177</v>
      </c>
      <c r="BE832" s="152">
        <f>IF(N832="základní",J832,0)</f>
        <v>0</v>
      </c>
      <c r="BF832" s="152">
        <f>IF(N832="snížená",J832,0)</f>
        <v>0</v>
      </c>
      <c r="BG832" s="152">
        <f>IF(N832="zákl. přenesená",J832,0)</f>
        <v>0</v>
      </c>
      <c r="BH832" s="152">
        <f>IF(N832="sníž. přenesená",J832,0)</f>
        <v>0</v>
      </c>
      <c r="BI832" s="152">
        <f>IF(N832="nulová",J832,0)</f>
        <v>0</v>
      </c>
      <c r="BJ832" s="19" t="s">
        <v>85</v>
      </c>
      <c r="BK832" s="152">
        <f>ROUND(I832*H832,2)</f>
        <v>0</v>
      </c>
      <c r="BL832" s="19" t="s">
        <v>237</v>
      </c>
      <c r="BM832" s="151" t="s">
        <v>3047</v>
      </c>
    </row>
    <row r="833" spans="1:65" s="2" customFormat="1">
      <c r="A833" s="34"/>
      <c r="B833" s="35"/>
      <c r="C833" s="34"/>
      <c r="D833" s="153" t="s">
        <v>187</v>
      </c>
      <c r="E833" s="34"/>
      <c r="F833" s="154" t="s">
        <v>3046</v>
      </c>
      <c r="G833" s="34"/>
      <c r="H833" s="34"/>
      <c r="I833" s="155"/>
      <c r="J833" s="34"/>
      <c r="K833" s="34"/>
      <c r="L833" s="35"/>
      <c r="M833" s="156"/>
      <c r="N833" s="157"/>
      <c r="O833" s="55"/>
      <c r="P833" s="55"/>
      <c r="Q833" s="55"/>
      <c r="R833" s="55"/>
      <c r="S833" s="55"/>
      <c r="T833" s="56"/>
      <c r="U833" s="34"/>
      <c r="V833" s="34"/>
      <c r="W833" s="34"/>
      <c r="X833" s="34"/>
      <c r="Y833" s="34"/>
      <c r="Z833" s="34"/>
      <c r="AA833" s="34"/>
      <c r="AB833" s="34"/>
      <c r="AC833" s="34"/>
      <c r="AD833" s="34"/>
      <c r="AE833" s="34"/>
      <c r="AT833" s="19" t="s">
        <v>187</v>
      </c>
      <c r="AU833" s="19" t="s">
        <v>87</v>
      </c>
    </row>
    <row r="834" spans="1:65" s="13" customFormat="1">
      <c r="B834" s="161"/>
      <c r="D834" s="153" t="s">
        <v>193</v>
      </c>
      <c r="E834" s="162" t="s">
        <v>3</v>
      </c>
      <c r="F834" s="163" t="s">
        <v>2577</v>
      </c>
      <c r="H834" s="164">
        <v>15.1</v>
      </c>
      <c r="I834" s="165"/>
      <c r="L834" s="161"/>
      <c r="M834" s="166"/>
      <c r="N834" s="167"/>
      <c r="O834" s="167"/>
      <c r="P834" s="167"/>
      <c r="Q834" s="167"/>
      <c r="R834" s="167"/>
      <c r="S834" s="167"/>
      <c r="T834" s="168"/>
      <c r="AT834" s="162" t="s">
        <v>193</v>
      </c>
      <c r="AU834" s="162" t="s">
        <v>87</v>
      </c>
      <c r="AV834" s="13" t="s">
        <v>87</v>
      </c>
      <c r="AW834" s="13" t="s">
        <v>36</v>
      </c>
      <c r="AX834" s="13" t="s">
        <v>77</v>
      </c>
      <c r="AY834" s="162" t="s">
        <v>177</v>
      </c>
    </row>
    <row r="835" spans="1:65" s="13" customFormat="1">
      <c r="B835" s="161"/>
      <c r="D835" s="153" t="s">
        <v>193</v>
      </c>
      <c r="E835" s="162" t="s">
        <v>3</v>
      </c>
      <c r="F835" s="163" t="s">
        <v>3048</v>
      </c>
      <c r="H835" s="164">
        <v>6.72</v>
      </c>
      <c r="I835" s="165"/>
      <c r="L835" s="161"/>
      <c r="M835" s="166"/>
      <c r="N835" s="167"/>
      <c r="O835" s="167"/>
      <c r="P835" s="167"/>
      <c r="Q835" s="167"/>
      <c r="R835" s="167"/>
      <c r="S835" s="167"/>
      <c r="T835" s="168"/>
      <c r="AT835" s="162" t="s">
        <v>193</v>
      </c>
      <c r="AU835" s="162" t="s">
        <v>87</v>
      </c>
      <c r="AV835" s="13" t="s">
        <v>87</v>
      </c>
      <c r="AW835" s="13" t="s">
        <v>36</v>
      </c>
      <c r="AX835" s="13" t="s">
        <v>77</v>
      </c>
      <c r="AY835" s="162" t="s">
        <v>177</v>
      </c>
    </row>
    <row r="836" spans="1:65" s="16" customFormat="1">
      <c r="B836" s="184"/>
      <c r="D836" s="153" t="s">
        <v>193</v>
      </c>
      <c r="E836" s="185" t="s">
        <v>3</v>
      </c>
      <c r="F836" s="186" t="s">
        <v>201</v>
      </c>
      <c r="H836" s="187">
        <v>21.82</v>
      </c>
      <c r="I836" s="188"/>
      <c r="L836" s="184"/>
      <c r="M836" s="189"/>
      <c r="N836" s="190"/>
      <c r="O836" s="190"/>
      <c r="P836" s="190"/>
      <c r="Q836" s="190"/>
      <c r="R836" s="190"/>
      <c r="S836" s="190"/>
      <c r="T836" s="191"/>
      <c r="AT836" s="185" t="s">
        <v>193</v>
      </c>
      <c r="AU836" s="185" t="s">
        <v>87</v>
      </c>
      <c r="AV836" s="16" t="s">
        <v>185</v>
      </c>
      <c r="AW836" s="16" t="s">
        <v>36</v>
      </c>
      <c r="AX836" s="16" t="s">
        <v>85</v>
      </c>
      <c r="AY836" s="185" t="s">
        <v>177</v>
      </c>
    </row>
    <row r="837" spans="1:65" s="13" customFormat="1">
      <c r="B837" s="161"/>
      <c r="D837" s="153" t="s">
        <v>193</v>
      </c>
      <c r="F837" s="163" t="s">
        <v>3049</v>
      </c>
      <c r="H837" s="164">
        <v>26.184000000000001</v>
      </c>
      <c r="I837" s="165"/>
      <c r="L837" s="161"/>
      <c r="M837" s="166"/>
      <c r="N837" s="167"/>
      <c r="O837" s="167"/>
      <c r="P837" s="167"/>
      <c r="Q837" s="167"/>
      <c r="R837" s="167"/>
      <c r="S837" s="167"/>
      <c r="T837" s="168"/>
      <c r="AT837" s="162" t="s">
        <v>193</v>
      </c>
      <c r="AU837" s="162" t="s">
        <v>87</v>
      </c>
      <c r="AV837" s="13" t="s">
        <v>87</v>
      </c>
      <c r="AW837" s="13" t="s">
        <v>4</v>
      </c>
      <c r="AX837" s="13" t="s">
        <v>85</v>
      </c>
      <c r="AY837" s="162" t="s">
        <v>177</v>
      </c>
    </row>
    <row r="838" spans="1:65" s="2" customFormat="1" ht="21.75" customHeight="1">
      <c r="A838" s="34"/>
      <c r="B838" s="139"/>
      <c r="C838" s="140" t="s">
        <v>3050</v>
      </c>
      <c r="D838" s="140" t="s">
        <v>180</v>
      </c>
      <c r="E838" s="141" t="s">
        <v>3051</v>
      </c>
      <c r="F838" s="142" t="s">
        <v>3052</v>
      </c>
      <c r="G838" s="143" t="s">
        <v>332</v>
      </c>
      <c r="H838" s="144">
        <v>15.1</v>
      </c>
      <c r="I838" s="145"/>
      <c r="J838" s="146">
        <f>ROUND(I838*H838,2)</f>
        <v>0</v>
      </c>
      <c r="K838" s="142" t="s">
        <v>184</v>
      </c>
      <c r="L838" s="35"/>
      <c r="M838" s="147" t="s">
        <v>3</v>
      </c>
      <c r="N838" s="148" t="s">
        <v>48</v>
      </c>
      <c r="O838" s="55"/>
      <c r="P838" s="149">
        <f>O838*H838</f>
        <v>0</v>
      </c>
      <c r="Q838" s="149">
        <v>0</v>
      </c>
      <c r="R838" s="149">
        <f>Q838*H838</f>
        <v>0</v>
      </c>
      <c r="S838" s="149">
        <v>0</v>
      </c>
      <c r="T838" s="150">
        <f>S838*H838</f>
        <v>0</v>
      </c>
      <c r="U838" s="34"/>
      <c r="V838" s="34"/>
      <c r="W838" s="34"/>
      <c r="X838" s="34"/>
      <c r="Y838" s="34"/>
      <c r="Z838" s="34"/>
      <c r="AA838" s="34"/>
      <c r="AB838" s="34"/>
      <c r="AC838" s="34"/>
      <c r="AD838" s="34"/>
      <c r="AE838" s="34"/>
      <c r="AR838" s="151" t="s">
        <v>237</v>
      </c>
      <c r="AT838" s="151" t="s">
        <v>180</v>
      </c>
      <c r="AU838" s="151" t="s">
        <v>87</v>
      </c>
      <c r="AY838" s="19" t="s">
        <v>177</v>
      </c>
      <c r="BE838" s="152">
        <f>IF(N838="základní",J838,0)</f>
        <v>0</v>
      </c>
      <c r="BF838" s="152">
        <f>IF(N838="snížená",J838,0)</f>
        <v>0</v>
      </c>
      <c r="BG838" s="152">
        <f>IF(N838="zákl. přenesená",J838,0)</f>
        <v>0</v>
      </c>
      <c r="BH838" s="152">
        <f>IF(N838="sníž. přenesená",J838,0)</f>
        <v>0</v>
      </c>
      <c r="BI838" s="152">
        <f>IF(N838="nulová",J838,0)</f>
        <v>0</v>
      </c>
      <c r="BJ838" s="19" t="s">
        <v>85</v>
      </c>
      <c r="BK838" s="152">
        <f>ROUND(I838*H838,2)</f>
        <v>0</v>
      </c>
      <c r="BL838" s="19" t="s">
        <v>237</v>
      </c>
      <c r="BM838" s="151" t="s">
        <v>3053</v>
      </c>
    </row>
    <row r="839" spans="1:65" s="2" customFormat="1">
      <c r="A839" s="34"/>
      <c r="B839" s="35"/>
      <c r="C839" s="34"/>
      <c r="D839" s="153" t="s">
        <v>187</v>
      </c>
      <c r="E839" s="34"/>
      <c r="F839" s="154" t="s">
        <v>3054</v>
      </c>
      <c r="G839" s="34"/>
      <c r="H839" s="34"/>
      <c r="I839" s="155"/>
      <c r="J839" s="34"/>
      <c r="K839" s="34"/>
      <c r="L839" s="35"/>
      <c r="M839" s="156"/>
      <c r="N839" s="157"/>
      <c r="O839" s="55"/>
      <c r="P839" s="55"/>
      <c r="Q839" s="55"/>
      <c r="R839" s="55"/>
      <c r="S839" s="55"/>
      <c r="T839" s="56"/>
      <c r="U839" s="34"/>
      <c r="V839" s="34"/>
      <c r="W839" s="34"/>
      <c r="X839" s="34"/>
      <c r="Y839" s="34"/>
      <c r="Z839" s="34"/>
      <c r="AA839" s="34"/>
      <c r="AB839" s="34"/>
      <c r="AC839" s="34"/>
      <c r="AD839" s="34"/>
      <c r="AE839" s="34"/>
      <c r="AT839" s="19" t="s">
        <v>187</v>
      </c>
      <c r="AU839" s="19" t="s">
        <v>87</v>
      </c>
    </row>
    <row r="840" spans="1:65" s="2" customFormat="1">
      <c r="A840" s="34"/>
      <c r="B840" s="35"/>
      <c r="C840" s="34"/>
      <c r="D840" s="158" t="s">
        <v>189</v>
      </c>
      <c r="E840" s="34"/>
      <c r="F840" s="159" t="s">
        <v>3055</v>
      </c>
      <c r="G840" s="34"/>
      <c r="H840" s="34"/>
      <c r="I840" s="155"/>
      <c r="J840" s="34"/>
      <c r="K840" s="34"/>
      <c r="L840" s="35"/>
      <c r="M840" s="156"/>
      <c r="N840" s="157"/>
      <c r="O840" s="55"/>
      <c r="P840" s="55"/>
      <c r="Q840" s="55"/>
      <c r="R840" s="55"/>
      <c r="S840" s="55"/>
      <c r="T840" s="56"/>
      <c r="U840" s="34"/>
      <c r="V840" s="34"/>
      <c r="W840" s="34"/>
      <c r="X840" s="34"/>
      <c r="Y840" s="34"/>
      <c r="Z840" s="34"/>
      <c r="AA840" s="34"/>
      <c r="AB840" s="34"/>
      <c r="AC840" s="34"/>
      <c r="AD840" s="34"/>
      <c r="AE840" s="34"/>
      <c r="AT840" s="19" t="s">
        <v>189</v>
      </c>
      <c r="AU840" s="19" t="s">
        <v>87</v>
      </c>
    </row>
    <row r="841" spans="1:65" s="2" customFormat="1" ht="29.25">
      <c r="A841" s="34"/>
      <c r="B841" s="35"/>
      <c r="C841" s="34"/>
      <c r="D841" s="153" t="s">
        <v>191</v>
      </c>
      <c r="E841" s="34"/>
      <c r="F841" s="160" t="s">
        <v>3043</v>
      </c>
      <c r="G841" s="34"/>
      <c r="H841" s="34"/>
      <c r="I841" s="155"/>
      <c r="J841" s="34"/>
      <c r="K841" s="34"/>
      <c r="L841" s="35"/>
      <c r="M841" s="156"/>
      <c r="N841" s="157"/>
      <c r="O841" s="55"/>
      <c r="P841" s="55"/>
      <c r="Q841" s="55"/>
      <c r="R841" s="55"/>
      <c r="S841" s="55"/>
      <c r="T841" s="56"/>
      <c r="U841" s="34"/>
      <c r="V841" s="34"/>
      <c r="W841" s="34"/>
      <c r="X841" s="34"/>
      <c r="Y841" s="34"/>
      <c r="Z841" s="34"/>
      <c r="AA841" s="34"/>
      <c r="AB841" s="34"/>
      <c r="AC841" s="34"/>
      <c r="AD841" s="34"/>
      <c r="AE841" s="34"/>
      <c r="AT841" s="19" t="s">
        <v>191</v>
      </c>
      <c r="AU841" s="19" t="s">
        <v>87</v>
      </c>
    </row>
    <row r="842" spans="1:65" s="2" customFormat="1" ht="16.5" customHeight="1">
      <c r="A842" s="34"/>
      <c r="B842" s="139"/>
      <c r="C842" s="140" t="s">
        <v>3056</v>
      </c>
      <c r="D842" s="140" t="s">
        <v>180</v>
      </c>
      <c r="E842" s="141" t="s">
        <v>3057</v>
      </c>
      <c r="F842" s="142" t="s">
        <v>3058</v>
      </c>
      <c r="G842" s="143" t="s">
        <v>236</v>
      </c>
      <c r="H842" s="144">
        <v>3</v>
      </c>
      <c r="I842" s="145"/>
      <c r="J842" s="146">
        <f>ROUND(I842*H842,2)</f>
        <v>0</v>
      </c>
      <c r="K842" s="142" t="s">
        <v>184</v>
      </c>
      <c r="L842" s="35"/>
      <c r="M842" s="147" t="s">
        <v>3</v>
      </c>
      <c r="N842" s="148" t="s">
        <v>48</v>
      </c>
      <c r="O842" s="55"/>
      <c r="P842" s="149">
        <f>O842*H842</f>
        <v>0</v>
      </c>
      <c r="Q842" s="149">
        <v>2.1000000000000001E-4</v>
      </c>
      <c r="R842" s="149">
        <f>Q842*H842</f>
        <v>6.3000000000000003E-4</v>
      </c>
      <c r="S842" s="149">
        <v>0</v>
      </c>
      <c r="T842" s="150">
        <f>S842*H842</f>
        <v>0</v>
      </c>
      <c r="U842" s="34"/>
      <c r="V842" s="34"/>
      <c r="W842" s="34"/>
      <c r="X842" s="34"/>
      <c r="Y842" s="34"/>
      <c r="Z842" s="34"/>
      <c r="AA842" s="34"/>
      <c r="AB842" s="34"/>
      <c r="AC842" s="34"/>
      <c r="AD842" s="34"/>
      <c r="AE842" s="34"/>
      <c r="AR842" s="151" t="s">
        <v>237</v>
      </c>
      <c r="AT842" s="151" t="s">
        <v>180</v>
      </c>
      <c r="AU842" s="151" t="s">
        <v>87</v>
      </c>
      <c r="AY842" s="19" t="s">
        <v>177</v>
      </c>
      <c r="BE842" s="152">
        <f>IF(N842="základní",J842,0)</f>
        <v>0</v>
      </c>
      <c r="BF842" s="152">
        <f>IF(N842="snížená",J842,0)</f>
        <v>0</v>
      </c>
      <c r="BG842" s="152">
        <f>IF(N842="zákl. přenesená",J842,0)</f>
        <v>0</v>
      </c>
      <c r="BH842" s="152">
        <f>IF(N842="sníž. přenesená",J842,0)</f>
        <v>0</v>
      </c>
      <c r="BI842" s="152">
        <f>IF(N842="nulová",J842,0)</f>
        <v>0</v>
      </c>
      <c r="BJ842" s="19" t="s">
        <v>85</v>
      </c>
      <c r="BK842" s="152">
        <f>ROUND(I842*H842,2)</f>
        <v>0</v>
      </c>
      <c r="BL842" s="19" t="s">
        <v>237</v>
      </c>
      <c r="BM842" s="151" t="s">
        <v>3059</v>
      </c>
    </row>
    <row r="843" spans="1:65" s="2" customFormat="1">
      <c r="A843" s="34"/>
      <c r="B843" s="35"/>
      <c r="C843" s="34"/>
      <c r="D843" s="153" t="s">
        <v>187</v>
      </c>
      <c r="E843" s="34"/>
      <c r="F843" s="154" t="s">
        <v>3060</v>
      </c>
      <c r="G843" s="34"/>
      <c r="H843" s="34"/>
      <c r="I843" s="155"/>
      <c r="J843" s="34"/>
      <c r="K843" s="34"/>
      <c r="L843" s="35"/>
      <c r="M843" s="156"/>
      <c r="N843" s="157"/>
      <c r="O843" s="55"/>
      <c r="P843" s="55"/>
      <c r="Q843" s="55"/>
      <c r="R843" s="55"/>
      <c r="S843" s="55"/>
      <c r="T843" s="56"/>
      <c r="U843" s="34"/>
      <c r="V843" s="34"/>
      <c r="W843" s="34"/>
      <c r="X843" s="34"/>
      <c r="Y843" s="34"/>
      <c r="Z843" s="34"/>
      <c r="AA843" s="34"/>
      <c r="AB843" s="34"/>
      <c r="AC843" s="34"/>
      <c r="AD843" s="34"/>
      <c r="AE843" s="34"/>
      <c r="AT843" s="19" t="s">
        <v>187</v>
      </c>
      <c r="AU843" s="19" t="s">
        <v>87</v>
      </c>
    </row>
    <row r="844" spans="1:65" s="2" customFormat="1">
      <c r="A844" s="34"/>
      <c r="B844" s="35"/>
      <c r="C844" s="34"/>
      <c r="D844" s="158" t="s">
        <v>189</v>
      </c>
      <c r="E844" s="34"/>
      <c r="F844" s="159" t="s">
        <v>3061</v>
      </c>
      <c r="G844" s="34"/>
      <c r="H844" s="34"/>
      <c r="I844" s="155"/>
      <c r="J844" s="34"/>
      <c r="K844" s="34"/>
      <c r="L844" s="35"/>
      <c r="M844" s="156"/>
      <c r="N844" s="157"/>
      <c r="O844" s="55"/>
      <c r="P844" s="55"/>
      <c r="Q844" s="55"/>
      <c r="R844" s="55"/>
      <c r="S844" s="55"/>
      <c r="T844" s="56"/>
      <c r="U844" s="34"/>
      <c r="V844" s="34"/>
      <c r="W844" s="34"/>
      <c r="X844" s="34"/>
      <c r="Y844" s="34"/>
      <c r="Z844" s="34"/>
      <c r="AA844" s="34"/>
      <c r="AB844" s="34"/>
      <c r="AC844" s="34"/>
      <c r="AD844" s="34"/>
      <c r="AE844" s="34"/>
      <c r="AT844" s="19" t="s">
        <v>189</v>
      </c>
      <c r="AU844" s="19" t="s">
        <v>87</v>
      </c>
    </row>
    <row r="845" spans="1:65" s="2" customFormat="1" ht="68.25">
      <c r="A845" s="34"/>
      <c r="B845" s="35"/>
      <c r="C845" s="34"/>
      <c r="D845" s="153" t="s">
        <v>191</v>
      </c>
      <c r="E845" s="34"/>
      <c r="F845" s="160" t="s">
        <v>3062</v>
      </c>
      <c r="G845" s="34"/>
      <c r="H845" s="34"/>
      <c r="I845" s="155"/>
      <c r="J845" s="34"/>
      <c r="K845" s="34"/>
      <c r="L845" s="35"/>
      <c r="M845" s="156"/>
      <c r="N845" s="157"/>
      <c r="O845" s="55"/>
      <c r="P845" s="55"/>
      <c r="Q845" s="55"/>
      <c r="R845" s="55"/>
      <c r="S845" s="55"/>
      <c r="T845" s="56"/>
      <c r="U845" s="34"/>
      <c r="V845" s="34"/>
      <c r="W845" s="34"/>
      <c r="X845" s="34"/>
      <c r="Y845" s="34"/>
      <c r="Z845" s="34"/>
      <c r="AA845" s="34"/>
      <c r="AB845" s="34"/>
      <c r="AC845" s="34"/>
      <c r="AD845" s="34"/>
      <c r="AE845" s="34"/>
      <c r="AT845" s="19" t="s">
        <v>191</v>
      </c>
      <c r="AU845" s="19" t="s">
        <v>87</v>
      </c>
    </row>
    <row r="846" spans="1:65" s="2" customFormat="1" ht="16.5" customHeight="1">
      <c r="A846" s="34"/>
      <c r="B846" s="139"/>
      <c r="C846" s="140" t="s">
        <v>3063</v>
      </c>
      <c r="D846" s="140" t="s">
        <v>180</v>
      </c>
      <c r="E846" s="141" t="s">
        <v>3064</v>
      </c>
      <c r="F846" s="142" t="s">
        <v>3065</v>
      </c>
      <c r="G846" s="143" t="s">
        <v>236</v>
      </c>
      <c r="H846" s="144">
        <v>2</v>
      </c>
      <c r="I846" s="145"/>
      <c r="J846" s="146">
        <f>ROUND(I846*H846,2)</f>
        <v>0</v>
      </c>
      <c r="K846" s="142" t="s">
        <v>184</v>
      </c>
      <c r="L846" s="35"/>
      <c r="M846" s="147" t="s">
        <v>3</v>
      </c>
      <c r="N846" s="148" t="s">
        <v>48</v>
      </c>
      <c r="O846" s="55"/>
      <c r="P846" s="149">
        <f>O846*H846</f>
        <v>0</v>
      </c>
      <c r="Q846" s="149">
        <v>2.0000000000000001E-4</v>
      </c>
      <c r="R846" s="149">
        <f>Q846*H846</f>
        <v>4.0000000000000002E-4</v>
      </c>
      <c r="S846" s="149">
        <v>0</v>
      </c>
      <c r="T846" s="150">
        <f>S846*H846</f>
        <v>0</v>
      </c>
      <c r="U846" s="34"/>
      <c r="V846" s="34"/>
      <c r="W846" s="34"/>
      <c r="X846" s="34"/>
      <c r="Y846" s="34"/>
      <c r="Z846" s="34"/>
      <c r="AA846" s="34"/>
      <c r="AB846" s="34"/>
      <c r="AC846" s="34"/>
      <c r="AD846" s="34"/>
      <c r="AE846" s="34"/>
      <c r="AR846" s="151" t="s">
        <v>237</v>
      </c>
      <c r="AT846" s="151" t="s">
        <v>180</v>
      </c>
      <c r="AU846" s="151" t="s">
        <v>87</v>
      </c>
      <c r="AY846" s="19" t="s">
        <v>177</v>
      </c>
      <c r="BE846" s="152">
        <f>IF(N846="základní",J846,0)</f>
        <v>0</v>
      </c>
      <c r="BF846" s="152">
        <f>IF(N846="snížená",J846,0)</f>
        <v>0</v>
      </c>
      <c r="BG846" s="152">
        <f>IF(N846="zákl. přenesená",J846,0)</f>
        <v>0</v>
      </c>
      <c r="BH846" s="152">
        <f>IF(N846="sníž. přenesená",J846,0)</f>
        <v>0</v>
      </c>
      <c r="BI846" s="152">
        <f>IF(N846="nulová",J846,0)</f>
        <v>0</v>
      </c>
      <c r="BJ846" s="19" t="s">
        <v>85</v>
      </c>
      <c r="BK846" s="152">
        <f>ROUND(I846*H846,2)</f>
        <v>0</v>
      </c>
      <c r="BL846" s="19" t="s">
        <v>237</v>
      </c>
      <c r="BM846" s="151" t="s">
        <v>3066</v>
      </c>
    </row>
    <row r="847" spans="1:65" s="2" customFormat="1">
      <c r="A847" s="34"/>
      <c r="B847" s="35"/>
      <c r="C847" s="34"/>
      <c r="D847" s="153" t="s">
        <v>187</v>
      </c>
      <c r="E847" s="34"/>
      <c r="F847" s="154" t="s">
        <v>3067</v>
      </c>
      <c r="G847" s="34"/>
      <c r="H847" s="34"/>
      <c r="I847" s="155"/>
      <c r="J847" s="34"/>
      <c r="K847" s="34"/>
      <c r="L847" s="35"/>
      <c r="M847" s="156"/>
      <c r="N847" s="157"/>
      <c r="O847" s="55"/>
      <c r="P847" s="55"/>
      <c r="Q847" s="55"/>
      <c r="R847" s="55"/>
      <c r="S847" s="55"/>
      <c r="T847" s="56"/>
      <c r="U847" s="34"/>
      <c r="V847" s="34"/>
      <c r="W847" s="34"/>
      <c r="X847" s="34"/>
      <c r="Y847" s="34"/>
      <c r="Z847" s="34"/>
      <c r="AA847" s="34"/>
      <c r="AB847" s="34"/>
      <c r="AC847" s="34"/>
      <c r="AD847" s="34"/>
      <c r="AE847" s="34"/>
      <c r="AT847" s="19" t="s">
        <v>187</v>
      </c>
      <c r="AU847" s="19" t="s">
        <v>87</v>
      </c>
    </row>
    <row r="848" spans="1:65" s="2" customFormat="1">
      <c r="A848" s="34"/>
      <c r="B848" s="35"/>
      <c r="C848" s="34"/>
      <c r="D848" s="158" t="s">
        <v>189</v>
      </c>
      <c r="E848" s="34"/>
      <c r="F848" s="159" t="s">
        <v>3068</v>
      </c>
      <c r="G848" s="34"/>
      <c r="H848" s="34"/>
      <c r="I848" s="155"/>
      <c r="J848" s="34"/>
      <c r="K848" s="34"/>
      <c r="L848" s="35"/>
      <c r="M848" s="156"/>
      <c r="N848" s="157"/>
      <c r="O848" s="55"/>
      <c r="P848" s="55"/>
      <c r="Q848" s="55"/>
      <c r="R848" s="55"/>
      <c r="S848" s="55"/>
      <c r="T848" s="56"/>
      <c r="U848" s="34"/>
      <c r="V848" s="34"/>
      <c r="W848" s="34"/>
      <c r="X848" s="34"/>
      <c r="Y848" s="34"/>
      <c r="Z848" s="34"/>
      <c r="AA848" s="34"/>
      <c r="AB848" s="34"/>
      <c r="AC848" s="34"/>
      <c r="AD848" s="34"/>
      <c r="AE848" s="34"/>
      <c r="AT848" s="19" t="s">
        <v>189</v>
      </c>
      <c r="AU848" s="19" t="s">
        <v>87</v>
      </c>
    </row>
    <row r="849" spans="1:65" s="2" customFormat="1" ht="68.25">
      <c r="A849" s="34"/>
      <c r="B849" s="35"/>
      <c r="C849" s="34"/>
      <c r="D849" s="153" t="s">
        <v>191</v>
      </c>
      <c r="E849" s="34"/>
      <c r="F849" s="160" t="s">
        <v>3062</v>
      </c>
      <c r="G849" s="34"/>
      <c r="H849" s="34"/>
      <c r="I849" s="155"/>
      <c r="J849" s="34"/>
      <c r="K849" s="34"/>
      <c r="L849" s="35"/>
      <c r="M849" s="156"/>
      <c r="N849" s="157"/>
      <c r="O849" s="55"/>
      <c r="P849" s="55"/>
      <c r="Q849" s="55"/>
      <c r="R849" s="55"/>
      <c r="S849" s="55"/>
      <c r="T849" s="56"/>
      <c r="U849" s="34"/>
      <c r="V849" s="34"/>
      <c r="W849" s="34"/>
      <c r="X849" s="34"/>
      <c r="Y849" s="34"/>
      <c r="Z849" s="34"/>
      <c r="AA849" s="34"/>
      <c r="AB849" s="34"/>
      <c r="AC849" s="34"/>
      <c r="AD849" s="34"/>
      <c r="AE849" s="34"/>
      <c r="AT849" s="19" t="s">
        <v>191</v>
      </c>
      <c r="AU849" s="19" t="s">
        <v>87</v>
      </c>
    </row>
    <row r="850" spans="1:65" s="2" customFormat="1" ht="16.5" customHeight="1">
      <c r="A850" s="34"/>
      <c r="B850" s="139"/>
      <c r="C850" s="140" t="s">
        <v>3069</v>
      </c>
      <c r="D850" s="140" t="s">
        <v>180</v>
      </c>
      <c r="E850" s="141" t="s">
        <v>3070</v>
      </c>
      <c r="F850" s="142" t="s">
        <v>3071</v>
      </c>
      <c r="G850" s="143" t="s">
        <v>476</v>
      </c>
      <c r="H850" s="144">
        <v>10</v>
      </c>
      <c r="I850" s="145"/>
      <c r="J850" s="146">
        <f>ROUND(I850*H850,2)</f>
        <v>0</v>
      </c>
      <c r="K850" s="142" t="s">
        <v>184</v>
      </c>
      <c r="L850" s="35"/>
      <c r="M850" s="147" t="s">
        <v>3</v>
      </c>
      <c r="N850" s="148" t="s">
        <v>48</v>
      </c>
      <c r="O850" s="55"/>
      <c r="P850" s="149">
        <f>O850*H850</f>
        <v>0</v>
      </c>
      <c r="Q850" s="149">
        <v>3.2200000000000002E-4</v>
      </c>
      <c r="R850" s="149">
        <f>Q850*H850</f>
        <v>3.2200000000000002E-3</v>
      </c>
      <c r="S850" s="149">
        <v>0</v>
      </c>
      <c r="T850" s="150">
        <f>S850*H850</f>
        <v>0</v>
      </c>
      <c r="U850" s="34"/>
      <c r="V850" s="34"/>
      <c r="W850" s="34"/>
      <c r="X850" s="34"/>
      <c r="Y850" s="34"/>
      <c r="Z850" s="34"/>
      <c r="AA850" s="34"/>
      <c r="AB850" s="34"/>
      <c r="AC850" s="34"/>
      <c r="AD850" s="34"/>
      <c r="AE850" s="34"/>
      <c r="AR850" s="151" t="s">
        <v>237</v>
      </c>
      <c r="AT850" s="151" t="s">
        <v>180</v>
      </c>
      <c r="AU850" s="151" t="s">
        <v>87</v>
      </c>
      <c r="AY850" s="19" t="s">
        <v>177</v>
      </c>
      <c r="BE850" s="152">
        <f>IF(N850="základní",J850,0)</f>
        <v>0</v>
      </c>
      <c r="BF850" s="152">
        <f>IF(N850="snížená",J850,0)</f>
        <v>0</v>
      </c>
      <c r="BG850" s="152">
        <f>IF(N850="zákl. přenesená",J850,0)</f>
        <v>0</v>
      </c>
      <c r="BH850" s="152">
        <f>IF(N850="sníž. přenesená",J850,0)</f>
        <v>0</v>
      </c>
      <c r="BI850" s="152">
        <f>IF(N850="nulová",J850,0)</f>
        <v>0</v>
      </c>
      <c r="BJ850" s="19" t="s">
        <v>85</v>
      </c>
      <c r="BK850" s="152">
        <f>ROUND(I850*H850,2)</f>
        <v>0</v>
      </c>
      <c r="BL850" s="19" t="s">
        <v>237</v>
      </c>
      <c r="BM850" s="151" t="s">
        <v>3072</v>
      </c>
    </row>
    <row r="851" spans="1:65" s="2" customFormat="1">
      <c r="A851" s="34"/>
      <c r="B851" s="35"/>
      <c r="C851" s="34"/>
      <c r="D851" s="153" t="s">
        <v>187</v>
      </c>
      <c r="E851" s="34"/>
      <c r="F851" s="154" t="s">
        <v>3073</v>
      </c>
      <c r="G851" s="34"/>
      <c r="H851" s="34"/>
      <c r="I851" s="155"/>
      <c r="J851" s="34"/>
      <c r="K851" s="34"/>
      <c r="L851" s="35"/>
      <c r="M851" s="156"/>
      <c r="N851" s="157"/>
      <c r="O851" s="55"/>
      <c r="P851" s="55"/>
      <c r="Q851" s="55"/>
      <c r="R851" s="55"/>
      <c r="S851" s="55"/>
      <c r="T851" s="56"/>
      <c r="U851" s="34"/>
      <c r="V851" s="34"/>
      <c r="W851" s="34"/>
      <c r="X851" s="34"/>
      <c r="Y851" s="34"/>
      <c r="Z851" s="34"/>
      <c r="AA851" s="34"/>
      <c r="AB851" s="34"/>
      <c r="AC851" s="34"/>
      <c r="AD851" s="34"/>
      <c r="AE851" s="34"/>
      <c r="AT851" s="19" t="s">
        <v>187</v>
      </c>
      <c r="AU851" s="19" t="s">
        <v>87</v>
      </c>
    </row>
    <row r="852" spans="1:65" s="2" customFormat="1">
      <c r="A852" s="34"/>
      <c r="B852" s="35"/>
      <c r="C852" s="34"/>
      <c r="D852" s="158" t="s">
        <v>189</v>
      </c>
      <c r="E852" s="34"/>
      <c r="F852" s="159" t="s">
        <v>3074</v>
      </c>
      <c r="G852" s="34"/>
      <c r="H852" s="34"/>
      <c r="I852" s="155"/>
      <c r="J852" s="34"/>
      <c r="K852" s="34"/>
      <c r="L852" s="35"/>
      <c r="M852" s="156"/>
      <c r="N852" s="157"/>
      <c r="O852" s="55"/>
      <c r="P852" s="55"/>
      <c r="Q852" s="55"/>
      <c r="R852" s="55"/>
      <c r="S852" s="55"/>
      <c r="T852" s="56"/>
      <c r="U852" s="34"/>
      <c r="V852" s="34"/>
      <c r="W852" s="34"/>
      <c r="X852" s="34"/>
      <c r="Y852" s="34"/>
      <c r="Z852" s="34"/>
      <c r="AA852" s="34"/>
      <c r="AB852" s="34"/>
      <c r="AC852" s="34"/>
      <c r="AD852" s="34"/>
      <c r="AE852" s="34"/>
      <c r="AT852" s="19" t="s">
        <v>189</v>
      </c>
      <c r="AU852" s="19" t="s">
        <v>87</v>
      </c>
    </row>
    <row r="853" spans="1:65" s="2" customFormat="1" ht="68.25">
      <c r="A853" s="34"/>
      <c r="B853" s="35"/>
      <c r="C853" s="34"/>
      <c r="D853" s="153" t="s">
        <v>191</v>
      </c>
      <c r="E853" s="34"/>
      <c r="F853" s="160" t="s">
        <v>3062</v>
      </c>
      <c r="G853" s="34"/>
      <c r="H853" s="34"/>
      <c r="I853" s="155"/>
      <c r="J853" s="34"/>
      <c r="K853" s="34"/>
      <c r="L853" s="35"/>
      <c r="M853" s="156"/>
      <c r="N853" s="157"/>
      <c r="O853" s="55"/>
      <c r="P853" s="55"/>
      <c r="Q853" s="55"/>
      <c r="R853" s="55"/>
      <c r="S853" s="55"/>
      <c r="T853" s="56"/>
      <c r="U853" s="34"/>
      <c r="V853" s="34"/>
      <c r="W853" s="34"/>
      <c r="X853" s="34"/>
      <c r="Y853" s="34"/>
      <c r="Z853" s="34"/>
      <c r="AA853" s="34"/>
      <c r="AB853" s="34"/>
      <c r="AC853" s="34"/>
      <c r="AD853" s="34"/>
      <c r="AE853" s="34"/>
      <c r="AT853" s="19" t="s">
        <v>191</v>
      </c>
      <c r="AU853" s="19" t="s">
        <v>87</v>
      </c>
    </row>
    <row r="854" spans="1:65" s="2" customFormat="1" ht="16.5" customHeight="1">
      <c r="A854" s="34"/>
      <c r="B854" s="139"/>
      <c r="C854" s="140" t="s">
        <v>3075</v>
      </c>
      <c r="D854" s="140" t="s">
        <v>180</v>
      </c>
      <c r="E854" s="141" t="s">
        <v>3076</v>
      </c>
      <c r="F854" s="142" t="s">
        <v>3077</v>
      </c>
      <c r="G854" s="143" t="s">
        <v>183</v>
      </c>
      <c r="H854" s="144">
        <v>0.68200000000000005</v>
      </c>
      <c r="I854" s="145"/>
      <c r="J854" s="146">
        <f>ROUND(I854*H854,2)</f>
        <v>0</v>
      </c>
      <c r="K854" s="142" t="s">
        <v>184</v>
      </c>
      <c r="L854" s="35"/>
      <c r="M854" s="147" t="s">
        <v>3</v>
      </c>
      <c r="N854" s="148" t="s">
        <v>48</v>
      </c>
      <c r="O854" s="55"/>
      <c r="P854" s="149">
        <f>O854*H854</f>
        <v>0</v>
      </c>
      <c r="Q854" s="149">
        <v>0</v>
      </c>
      <c r="R854" s="149">
        <f>Q854*H854</f>
        <v>0</v>
      </c>
      <c r="S854" s="149">
        <v>0</v>
      </c>
      <c r="T854" s="150">
        <f>S854*H854</f>
        <v>0</v>
      </c>
      <c r="U854" s="34"/>
      <c r="V854" s="34"/>
      <c r="W854" s="34"/>
      <c r="X854" s="34"/>
      <c r="Y854" s="34"/>
      <c r="Z854" s="34"/>
      <c r="AA854" s="34"/>
      <c r="AB854" s="34"/>
      <c r="AC854" s="34"/>
      <c r="AD854" s="34"/>
      <c r="AE854" s="34"/>
      <c r="AR854" s="151" t="s">
        <v>237</v>
      </c>
      <c r="AT854" s="151" t="s">
        <v>180</v>
      </c>
      <c r="AU854" s="151" t="s">
        <v>87</v>
      </c>
      <c r="AY854" s="19" t="s">
        <v>177</v>
      </c>
      <c r="BE854" s="152">
        <f>IF(N854="základní",J854,0)</f>
        <v>0</v>
      </c>
      <c r="BF854" s="152">
        <f>IF(N854="snížená",J854,0)</f>
        <v>0</v>
      </c>
      <c r="BG854" s="152">
        <f>IF(N854="zákl. přenesená",J854,0)</f>
        <v>0</v>
      </c>
      <c r="BH854" s="152">
        <f>IF(N854="sníž. přenesená",J854,0)</f>
        <v>0</v>
      </c>
      <c r="BI854" s="152">
        <f>IF(N854="nulová",J854,0)</f>
        <v>0</v>
      </c>
      <c r="BJ854" s="19" t="s">
        <v>85</v>
      </c>
      <c r="BK854" s="152">
        <f>ROUND(I854*H854,2)</f>
        <v>0</v>
      </c>
      <c r="BL854" s="19" t="s">
        <v>237</v>
      </c>
      <c r="BM854" s="151" t="s">
        <v>3078</v>
      </c>
    </row>
    <row r="855" spans="1:65" s="2" customFormat="1" ht="19.5">
      <c r="A855" s="34"/>
      <c r="B855" s="35"/>
      <c r="C855" s="34"/>
      <c r="D855" s="153" t="s">
        <v>187</v>
      </c>
      <c r="E855" s="34"/>
      <c r="F855" s="154" t="s">
        <v>3079</v>
      </c>
      <c r="G855" s="34"/>
      <c r="H855" s="34"/>
      <c r="I855" s="155"/>
      <c r="J855" s="34"/>
      <c r="K855" s="34"/>
      <c r="L855" s="35"/>
      <c r="M855" s="156"/>
      <c r="N855" s="157"/>
      <c r="O855" s="55"/>
      <c r="P855" s="55"/>
      <c r="Q855" s="55"/>
      <c r="R855" s="55"/>
      <c r="S855" s="55"/>
      <c r="T855" s="56"/>
      <c r="U855" s="34"/>
      <c r="V855" s="34"/>
      <c r="W855" s="34"/>
      <c r="X855" s="34"/>
      <c r="Y855" s="34"/>
      <c r="Z855" s="34"/>
      <c r="AA855" s="34"/>
      <c r="AB855" s="34"/>
      <c r="AC855" s="34"/>
      <c r="AD855" s="34"/>
      <c r="AE855" s="34"/>
      <c r="AT855" s="19" t="s">
        <v>187</v>
      </c>
      <c r="AU855" s="19" t="s">
        <v>87</v>
      </c>
    </row>
    <row r="856" spans="1:65" s="2" customFormat="1">
      <c r="A856" s="34"/>
      <c r="B856" s="35"/>
      <c r="C856" s="34"/>
      <c r="D856" s="158" t="s">
        <v>189</v>
      </c>
      <c r="E856" s="34"/>
      <c r="F856" s="159" t="s">
        <v>3080</v>
      </c>
      <c r="G856" s="34"/>
      <c r="H856" s="34"/>
      <c r="I856" s="155"/>
      <c r="J856" s="34"/>
      <c r="K856" s="34"/>
      <c r="L856" s="35"/>
      <c r="M856" s="156"/>
      <c r="N856" s="157"/>
      <c r="O856" s="55"/>
      <c r="P856" s="55"/>
      <c r="Q856" s="55"/>
      <c r="R856" s="55"/>
      <c r="S856" s="55"/>
      <c r="T856" s="56"/>
      <c r="U856" s="34"/>
      <c r="V856" s="34"/>
      <c r="W856" s="34"/>
      <c r="X856" s="34"/>
      <c r="Y856" s="34"/>
      <c r="Z856" s="34"/>
      <c r="AA856" s="34"/>
      <c r="AB856" s="34"/>
      <c r="AC856" s="34"/>
      <c r="AD856" s="34"/>
      <c r="AE856" s="34"/>
      <c r="AT856" s="19" t="s">
        <v>189</v>
      </c>
      <c r="AU856" s="19" t="s">
        <v>87</v>
      </c>
    </row>
    <row r="857" spans="1:65" s="2" customFormat="1" ht="78">
      <c r="A857" s="34"/>
      <c r="B857" s="35"/>
      <c r="C857" s="34"/>
      <c r="D857" s="153" t="s">
        <v>191</v>
      </c>
      <c r="E857" s="34"/>
      <c r="F857" s="160" t="s">
        <v>763</v>
      </c>
      <c r="G857" s="34"/>
      <c r="H857" s="34"/>
      <c r="I857" s="155"/>
      <c r="J857" s="34"/>
      <c r="K857" s="34"/>
      <c r="L857" s="35"/>
      <c r="M857" s="156"/>
      <c r="N857" s="157"/>
      <c r="O857" s="55"/>
      <c r="P857" s="55"/>
      <c r="Q857" s="55"/>
      <c r="R857" s="55"/>
      <c r="S857" s="55"/>
      <c r="T857" s="56"/>
      <c r="U857" s="34"/>
      <c r="V857" s="34"/>
      <c r="W857" s="34"/>
      <c r="X857" s="34"/>
      <c r="Y857" s="34"/>
      <c r="Z857" s="34"/>
      <c r="AA857" s="34"/>
      <c r="AB857" s="34"/>
      <c r="AC857" s="34"/>
      <c r="AD857" s="34"/>
      <c r="AE857" s="34"/>
      <c r="AT857" s="19" t="s">
        <v>191</v>
      </c>
      <c r="AU857" s="19" t="s">
        <v>87</v>
      </c>
    </row>
    <row r="858" spans="1:65" s="2" customFormat="1" ht="16.5" customHeight="1">
      <c r="A858" s="34"/>
      <c r="B858" s="139"/>
      <c r="C858" s="140" t="s">
        <v>3081</v>
      </c>
      <c r="D858" s="140" t="s">
        <v>180</v>
      </c>
      <c r="E858" s="141" t="s">
        <v>3082</v>
      </c>
      <c r="F858" s="142" t="s">
        <v>3083</v>
      </c>
      <c r="G858" s="143" t="s">
        <v>183</v>
      </c>
      <c r="H858" s="144">
        <v>0.68200000000000005</v>
      </c>
      <c r="I858" s="145"/>
      <c r="J858" s="146">
        <f>ROUND(I858*H858,2)</f>
        <v>0</v>
      </c>
      <c r="K858" s="142" t="s">
        <v>184</v>
      </c>
      <c r="L858" s="35"/>
      <c r="M858" s="147" t="s">
        <v>3</v>
      </c>
      <c r="N858" s="148" t="s">
        <v>48</v>
      </c>
      <c r="O858" s="55"/>
      <c r="P858" s="149">
        <f>O858*H858</f>
        <v>0</v>
      </c>
      <c r="Q858" s="149">
        <v>0</v>
      </c>
      <c r="R858" s="149">
        <f>Q858*H858</f>
        <v>0</v>
      </c>
      <c r="S858" s="149">
        <v>0</v>
      </c>
      <c r="T858" s="150">
        <f>S858*H858</f>
        <v>0</v>
      </c>
      <c r="U858" s="34"/>
      <c r="V858" s="34"/>
      <c r="W858" s="34"/>
      <c r="X858" s="34"/>
      <c r="Y858" s="34"/>
      <c r="Z858" s="34"/>
      <c r="AA858" s="34"/>
      <c r="AB858" s="34"/>
      <c r="AC858" s="34"/>
      <c r="AD858" s="34"/>
      <c r="AE858" s="34"/>
      <c r="AR858" s="151" t="s">
        <v>237</v>
      </c>
      <c r="AT858" s="151" t="s">
        <v>180</v>
      </c>
      <c r="AU858" s="151" t="s">
        <v>87</v>
      </c>
      <c r="AY858" s="19" t="s">
        <v>177</v>
      </c>
      <c r="BE858" s="152">
        <f>IF(N858="základní",J858,0)</f>
        <v>0</v>
      </c>
      <c r="BF858" s="152">
        <f>IF(N858="snížená",J858,0)</f>
        <v>0</v>
      </c>
      <c r="BG858" s="152">
        <f>IF(N858="zákl. přenesená",J858,0)</f>
        <v>0</v>
      </c>
      <c r="BH858" s="152">
        <f>IF(N858="sníž. přenesená",J858,0)</f>
        <v>0</v>
      </c>
      <c r="BI858" s="152">
        <f>IF(N858="nulová",J858,0)</f>
        <v>0</v>
      </c>
      <c r="BJ858" s="19" t="s">
        <v>85</v>
      </c>
      <c r="BK858" s="152">
        <f>ROUND(I858*H858,2)</f>
        <v>0</v>
      </c>
      <c r="BL858" s="19" t="s">
        <v>237</v>
      </c>
      <c r="BM858" s="151" t="s">
        <v>3084</v>
      </c>
    </row>
    <row r="859" spans="1:65" s="2" customFormat="1" ht="19.5">
      <c r="A859" s="34"/>
      <c r="B859" s="35"/>
      <c r="C859" s="34"/>
      <c r="D859" s="153" t="s">
        <v>187</v>
      </c>
      <c r="E859" s="34"/>
      <c r="F859" s="154" t="s">
        <v>3085</v>
      </c>
      <c r="G859" s="34"/>
      <c r="H859" s="34"/>
      <c r="I859" s="155"/>
      <c r="J859" s="34"/>
      <c r="K859" s="34"/>
      <c r="L859" s="35"/>
      <c r="M859" s="156"/>
      <c r="N859" s="157"/>
      <c r="O859" s="55"/>
      <c r="P859" s="55"/>
      <c r="Q859" s="55"/>
      <c r="R859" s="55"/>
      <c r="S859" s="55"/>
      <c r="T859" s="56"/>
      <c r="U859" s="34"/>
      <c r="V859" s="34"/>
      <c r="W859" s="34"/>
      <c r="X859" s="34"/>
      <c r="Y859" s="34"/>
      <c r="Z859" s="34"/>
      <c r="AA859" s="34"/>
      <c r="AB859" s="34"/>
      <c r="AC859" s="34"/>
      <c r="AD859" s="34"/>
      <c r="AE859" s="34"/>
      <c r="AT859" s="19" t="s">
        <v>187</v>
      </c>
      <c r="AU859" s="19" t="s">
        <v>87</v>
      </c>
    </row>
    <row r="860" spans="1:65" s="2" customFormat="1">
      <c r="A860" s="34"/>
      <c r="B860" s="35"/>
      <c r="C860" s="34"/>
      <c r="D860" s="158" t="s">
        <v>189</v>
      </c>
      <c r="E860" s="34"/>
      <c r="F860" s="159" t="s">
        <v>3086</v>
      </c>
      <c r="G860" s="34"/>
      <c r="H860" s="34"/>
      <c r="I860" s="155"/>
      <c r="J860" s="34"/>
      <c r="K860" s="34"/>
      <c r="L860" s="35"/>
      <c r="M860" s="156"/>
      <c r="N860" s="157"/>
      <c r="O860" s="55"/>
      <c r="P860" s="55"/>
      <c r="Q860" s="55"/>
      <c r="R860" s="55"/>
      <c r="S860" s="55"/>
      <c r="T860" s="56"/>
      <c r="U860" s="34"/>
      <c r="V860" s="34"/>
      <c r="W860" s="34"/>
      <c r="X860" s="34"/>
      <c r="Y860" s="34"/>
      <c r="Z860" s="34"/>
      <c r="AA860" s="34"/>
      <c r="AB860" s="34"/>
      <c r="AC860" s="34"/>
      <c r="AD860" s="34"/>
      <c r="AE860" s="34"/>
      <c r="AT860" s="19" t="s">
        <v>189</v>
      </c>
      <c r="AU860" s="19" t="s">
        <v>87</v>
      </c>
    </row>
    <row r="861" spans="1:65" s="2" customFormat="1" ht="78">
      <c r="A861" s="34"/>
      <c r="B861" s="35"/>
      <c r="C861" s="34"/>
      <c r="D861" s="153" t="s">
        <v>191</v>
      </c>
      <c r="E861" s="34"/>
      <c r="F861" s="160" t="s">
        <v>763</v>
      </c>
      <c r="G861" s="34"/>
      <c r="H861" s="34"/>
      <c r="I861" s="155"/>
      <c r="J861" s="34"/>
      <c r="K861" s="34"/>
      <c r="L861" s="35"/>
      <c r="M861" s="156"/>
      <c r="N861" s="157"/>
      <c r="O861" s="55"/>
      <c r="P861" s="55"/>
      <c r="Q861" s="55"/>
      <c r="R861" s="55"/>
      <c r="S861" s="55"/>
      <c r="T861" s="56"/>
      <c r="U861" s="34"/>
      <c r="V861" s="34"/>
      <c r="W861" s="34"/>
      <c r="X861" s="34"/>
      <c r="Y861" s="34"/>
      <c r="Z861" s="34"/>
      <c r="AA861" s="34"/>
      <c r="AB861" s="34"/>
      <c r="AC861" s="34"/>
      <c r="AD861" s="34"/>
      <c r="AE861" s="34"/>
      <c r="AT861" s="19" t="s">
        <v>191</v>
      </c>
      <c r="AU861" s="19" t="s">
        <v>87</v>
      </c>
    </row>
    <row r="862" spans="1:65" s="12" customFormat="1" ht="25.9" customHeight="1">
      <c r="B862" s="126"/>
      <c r="D862" s="127" t="s">
        <v>76</v>
      </c>
      <c r="E862" s="128" t="s">
        <v>313</v>
      </c>
      <c r="F862" s="128" t="s">
        <v>314</v>
      </c>
      <c r="I862" s="129"/>
      <c r="J862" s="130">
        <f>BK862</f>
        <v>0</v>
      </c>
      <c r="L862" s="126"/>
      <c r="M862" s="131"/>
      <c r="N862" s="132"/>
      <c r="O862" s="132"/>
      <c r="P862" s="133">
        <f>SUM(P863:P865)</f>
        <v>0</v>
      </c>
      <c r="Q862" s="132"/>
      <c r="R862" s="133">
        <f>SUM(R863:R865)</f>
        <v>0</v>
      </c>
      <c r="S862" s="132"/>
      <c r="T862" s="134">
        <f>SUM(T863:T865)</f>
        <v>0</v>
      </c>
      <c r="AR862" s="127" t="s">
        <v>185</v>
      </c>
      <c r="AT862" s="135" t="s">
        <v>76</v>
      </c>
      <c r="AU862" s="135" t="s">
        <v>77</v>
      </c>
      <c r="AY862" s="127" t="s">
        <v>177</v>
      </c>
      <c r="BK862" s="136">
        <f>SUM(BK863:BK865)</f>
        <v>0</v>
      </c>
    </row>
    <row r="863" spans="1:65" s="2" customFormat="1" ht="16.5" customHeight="1">
      <c r="A863" s="34"/>
      <c r="B863" s="139"/>
      <c r="C863" s="140" t="s">
        <v>3087</v>
      </c>
      <c r="D863" s="140" t="s">
        <v>180</v>
      </c>
      <c r="E863" s="141" t="s">
        <v>528</v>
      </c>
      <c r="F863" s="142" t="s">
        <v>529</v>
      </c>
      <c r="G863" s="143" t="s">
        <v>305</v>
      </c>
      <c r="H863" s="144">
        <v>100</v>
      </c>
      <c r="I863" s="145"/>
      <c r="J863" s="146">
        <f>ROUND(I863*H863,2)</f>
        <v>0</v>
      </c>
      <c r="K863" s="142" t="s">
        <v>184</v>
      </c>
      <c r="L863" s="35"/>
      <c r="M863" s="147" t="s">
        <v>3</v>
      </c>
      <c r="N863" s="148" t="s">
        <v>48</v>
      </c>
      <c r="O863" s="55"/>
      <c r="P863" s="149">
        <f>O863*H863</f>
        <v>0</v>
      </c>
      <c r="Q863" s="149">
        <v>0</v>
      </c>
      <c r="R863" s="149">
        <f>Q863*H863</f>
        <v>0</v>
      </c>
      <c r="S863" s="149">
        <v>0</v>
      </c>
      <c r="T863" s="150">
        <f>S863*H863</f>
        <v>0</v>
      </c>
      <c r="U863" s="34"/>
      <c r="V863" s="34"/>
      <c r="W863" s="34"/>
      <c r="X863" s="34"/>
      <c r="Y863" s="34"/>
      <c r="Z863" s="34"/>
      <c r="AA863" s="34"/>
      <c r="AB863" s="34"/>
      <c r="AC863" s="34"/>
      <c r="AD863" s="34"/>
      <c r="AE863" s="34"/>
      <c r="AR863" s="151" t="s">
        <v>318</v>
      </c>
      <c r="AT863" s="151" t="s">
        <v>180</v>
      </c>
      <c r="AU863" s="151" t="s">
        <v>85</v>
      </c>
      <c r="AY863" s="19" t="s">
        <v>177</v>
      </c>
      <c r="BE863" s="152">
        <f>IF(N863="základní",J863,0)</f>
        <v>0</v>
      </c>
      <c r="BF863" s="152">
        <f>IF(N863="snížená",J863,0)</f>
        <v>0</v>
      </c>
      <c r="BG863" s="152">
        <f>IF(N863="zákl. přenesená",J863,0)</f>
        <v>0</v>
      </c>
      <c r="BH863" s="152">
        <f>IF(N863="sníž. přenesená",J863,0)</f>
        <v>0</v>
      </c>
      <c r="BI863" s="152">
        <f>IF(N863="nulová",J863,0)</f>
        <v>0</v>
      </c>
      <c r="BJ863" s="19" t="s">
        <v>85</v>
      </c>
      <c r="BK863" s="152">
        <f>ROUND(I863*H863,2)</f>
        <v>0</v>
      </c>
      <c r="BL863" s="19" t="s">
        <v>318</v>
      </c>
      <c r="BM863" s="151" t="s">
        <v>3088</v>
      </c>
    </row>
    <row r="864" spans="1:65" s="2" customFormat="1">
      <c r="A864" s="34"/>
      <c r="B864" s="35"/>
      <c r="C864" s="34"/>
      <c r="D864" s="153" t="s">
        <v>187</v>
      </c>
      <c r="E864" s="34"/>
      <c r="F864" s="154" t="s">
        <v>531</v>
      </c>
      <c r="G864" s="34"/>
      <c r="H864" s="34"/>
      <c r="I864" s="155"/>
      <c r="J864" s="34"/>
      <c r="K864" s="34"/>
      <c r="L864" s="35"/>
      <c r="M864" s="156"/>
      <c r="N864" s="157"/>
      <c r="O864" s="55"/>
      <c r="P864" s="55"/>
      <c r="Q864" s="55"/>
      <c r="R864" s="55"/>
      <c r="S864" s="55"/>
      <c r="T864" s="56"/>
      <c r="U864" s="34"/>
      <c r="V864" s="34"/>
      <c r="W864" s="34"/>
      <c r="X864" s="34"/>
      <c r="Y864" s="34"/>
      <c r="Z864" s="34"/>
      <c r="AA864" s="34"/>
      <c r="AB864" s="34"/>
      <c r="AC864" s="34"/>
      <c r="AD864" s="34"/>
      <c r="AE864" s="34"/>
      <c r="AT864" s="19" t="s">
        <v>187</v>
      </c>
      <c r="AU864" s="19" t="s">
        <v>85</v>
      </c>
    </row>
    <row r="865" spans="1:47" s="2" customFormat="1">
      <c r="A865" s="34"/>
      <c r="B865" s="35"/>
      <c r="C865" s="34"/>
      <c r="D865" s="158" t="s">
        <v>189</v>
      </c>
      <c r="E865" s="34"/>
      <c r="F865" s="159" t="s">
        <v>532</v>
      </c>
      <c r="G865" s="34"/>
      <c r="H865" s="34"/>
      <c r="I865" s="155"/>
      <c r="J865" s="34"/>
      <c r="K865" s="34"/>
      <c r="L865" s="35"/>
      <c r="M865" s="205"/>
      <c r="N865" s="206"/>
      <c r="O865" s="207"/>
      <c r="P865" s="207"/>
      <c r="Q865" s="207"/>
      <c r="R865" s="207"/>
      <c r="S865" s="207"/>
      <c r="T865" s="208"/>
      <c r="U865" s="34"/>
      <c r="V865" s="34"/>
      <c r="W865" s="34"/>
      <c r="X865" s="34"/>
      <c r="Y865" s="34"/>
      <c r="Z865" s="34"/>
      <c r="AA865" s="34"/>
      <c r="AB865" s="34"/>
      <c r="AC865" s="34"/>
      <c r="AD865" s="34"/>
      <c r="AE865" s="34"/>
      <c r="AT865" s="19" t="s">
        <v>189</v>
      </c>
      <c r="AU865" s="19" t="s">
        <v>85</v>
      </c>
    </row>
    <row r="866" spans="1:47" s="2" customFormat="1" ht="6.95" customHeight="1">
      <c r="A866" s="34"/>
      <c r="B866" s="44"/>
      <c r="C866" s="45"/>
      <c r="D866" s="45"/>
      <c r="E866" s="45"/>
      <c r="F866" s="45"/>
      <c r="G866" s="45"/>
      <c r="H866" s="45"/>
      <c r="I866" s="45"/>
      <c r="J866" s="45"/>
      <c r="K866" s="45"/>
      <c r="L866" s="35"/>
      <c r="M866" s="34"/>
      <c r="O866" s="34"/>
      <c r="P866" s="34"/>
      <c r="Q866" s="34"/>
      <c r="R866" s="34"/>
      <c r="S866" s="34"/>
      <c r="T866" s="34"/>
      <c r="U866" s="34"/>
      <c r="V866" s="34"/>
      <c r="W866" s="34"/>
      <c r="X866" s="34"/>
      <c r="Y866" s="34"/>
      <c r="Z866" s="34"/>
      <c r="AA866" s="34"/>
      <c r="AB866" s="34"/>
      <c r="AC866" s="34"/>
      <c r="AD866" s="34"/>
      <c r="AE866" s="34"/>
    </row>
  </sheetData>
  <autoFilter ref="C98:K865"/>
  <mergeCells count="9">
    <mergeCell ref="E50:H50"/>
    <mergeCell ref="E89:H89"/>
    <mergeCell ref="E91:H91"/>
    <mergeCell ref="L2:V2"/>
    <mergeCell ref="E7:H7"/>
    <mergeCell ref="E9:H9"/>
    <mergeCell ref="E18:H18"/>
    <mergeCell ref="E27:H27"/>
    <mergeCell ref="E48:H48"/>
  </mergeCells>
  <hyperlinks>
    <hyperlink ref="F104" r:id="rId1"/>
    <hyperlink ref="F109" r:id="rId2"/>
    <hyperlink ref="F114" r:id="rId3"/>
    <hyperlink ref="F121" r:id="rId4"/>
    <hyperlink ref="F125" r:id="rId5"/>
    <hyperlink ref="F130" r:id="rId6"/>
    <hyperlink ref="F135" r:id="rId7"/>
    <hyperlink ref="F140" r:id="rId8"/>
    <hyperlink ref="F146" r:id="rId9"/>
    <hyperlink ref="F151" r:id="rId10"/>
    <hyperlink ref="F158" r:id="rId11"/>
    <hyperlink ref="F165" r:id="rId12"/>
    <hyperlink ref="F170" r:id="rId13"/>
    <hyperlink ref="F173" r:id="rId14"/>
    <hyperlink ref="F176" r:id="rId15"/>
    <hyperlink ref="F181" r:id="rId16"/>
    <hyperlink ref="F186" r:id="rId17"/>
    <hyperlink ref="F197" r:id="rId18"/>
    <hyperlink ref="F201" r:id="rId19"/>
    <hyperlink ref="F207" r:id="rId20"/>
    <hyperlink ref="F216" r:id="rId21"/>
    <hyperlink ref="F228" r:id="rId22"/>
    <hyperlink ref="F237" r:id="rId23"/>
    <hyperlink ref="F253" r:id="rId24"/>
    <hyperlink ref="F271" r:id="rId25"/>
    <hyperlink ref="F275" r:id="rId26"/>
    <hyperlink ref="F280" r:id="rId27"/>
    <hyperlink ref="F292" r:id="rId28"/>
    <hyperlink ref="F333" r:id="rId29"/>
    <hyperlink ref="F342" r:id="rId30"/>
    <hyperlink ref="F347" r:id="rId31"/>
    <hyperlink ref="F353" r:id="rId32"/>
    <hyperlink ref="F356" r:id="rId33"/>
    <hyperlink ref="F362" r:id="rId34"/>
    <hyperlink ref="F366" r:id="rId35"/>
    <hyperlink ref="F377" r:id="rId36"/>
    <hyperlink ref="F385" r:id="rId37"/>
    <hyperlink ref="F390" r:id="rId38"/>
    <hyperlink ref="F394" r:id="rId39"/>
    <hyperlink ref="F398" r:id="rId40"/>
    <hyperlink ref="F402" r:id="rId41"/>
    <hyperlink ref="F405" r:id="rId42"/>
    <hyperlink ref="F409" r:id="rId43"/>
    <hyperlink ref="F414" r:id="rId44"/>
    <hyperlink ref="F420" r:id="rId45"/>
    <hyperlink ref="F424" r:id="rId46"/>
    <hyperlink ref="F432" r:id="rId47"/>
    <hyperlink ref="F438" r:id="rId48"/>
    <hyperlink ref="F446" r:id="rId49"/>
    <hyperlink ref="F452" r:id="rId50"/>
    <hyperlink ref="F463" r:id="rId51"/>
    <hyperlink ref="F468" r:id="rId52"/>
    <hyperlink ref="F472" r:id="rId53"/>
    <hyperlink ref="F476" r:id="rId54"/>
    <hyperlink ref="F480" r:id="rId55"/>
    <hyperlink ref="F484" r:id="rId56"/>
    <hyperlink ref="F490" r:id="rId57"/>
    <hyperlink ref="F496" r:id="rId58"/>
    <hyperlink ref="F500" r:id="rId59"/>
    <hyperlink ref="F504" r:id="rId60"/>
    <hyperlink ref="F518" r:id="rId61"/>
    <hyperlink ref="F522" r:id="rId62"/>
    <hyperlink ref="F527" r:id="rId63"/>
    <hyperlink ref="F531" r:id="rId64"/>
    <hyperlink ref="F536" r:id="rId65"/>
    <hyperlink ref="F541" r:id="rId66"/>
    <hyperlink ref="F547" r:id="rId67"/>
    <hyperlink ref="F556" r:id="rId68"/>
    <hyperlink ref="F560" r:id="rId69"/>
    <hyperlink ref="F565" r:id="rId70"/>
    <hyperlink ref="F575" r:id="rId71"/>
    <hyperlink ref="F593" r:id="rId72"/>
    <hyperlink ref="F597" r:id="rId73"/>
    <hyperlink ref="F601" r:id="rId74"/>
    <hyperlink ref="F609" r:id="rId75"/>
    <hyperlink ref="F617" r:id="rId76"/>
    <hyperlink ref="F626" r:id="rId77"/>
    <hyperlink ref="F630" r:id="rId78"/>
    <hyperlink ref="F635" r:id="rId79"/>
    <hyperlink ref="F644" r:id="rId80"/>
    <hyperlink ref="F654" r:id="rId81"/>
    <hyperlink ref="F658" r:id="rId82"/>
    <hyperlink ref="F670" r:id="rId83"/>
    <hyperlink ref="F674" r:id="rId84"/>
    <hyperlink ref="F679" r:id="rId85"/>
    <hyperlink ref="F682" r:id="rId86"/>
    <hyperlink ref="F686" r:id="rId87"/>
    <hyperlink ref="F691" r:id="rId88"/>
    <hyperlink ref="F696" r:id="rId89"/>
    <hyperlink ref="F700" r:id="rId90"/>
    <hyperlink ref="F710" r:id="rId91"/>
    <hyperlink ref="F716" r:id="rId92"/>
    <hyperlink ref="F719" r:id="rId93"/>
    <hyperlink ref="F725" r:id="rId94"/>
    <hyperlink ref="F730" r:id="rId95"/>
    <hyperlink ref="F734" r:id="rId96"/>
    <hyperlink ref="F739" r:id="rId97"/>
    <hyperlink ref="F744" r:id="rId98"/>
    <hyperlink ref="F755" r:id="rId99"/>
    <hyperlink ref="F775" r:id="rId100"/>
    <hyperlink ref="F786" r:id="rId101"/>
    <hyperlink ref="F790" r:id="rId102"/>
    <hyperlink ref="F795" r:id="rId103"/>
    <hyperlink ref="F799" r:id="rId104"/>
    <hyperlink ref="F806" r:id="rId105"/>
    <hyperlink ref="F814" r:id="rId106"/>
    <hyperlink ref="F819" r:id="rId107"/>
    <hyperlink ref="F823" r:id="rId108"/>
    <hyperlink ref="F830" r:id="rId109"/>
    <hyperlink ref="F840" r:id="rId110"/>
    <hyperlink ref="F844" r:id="rId111"/>
    <hyperlink ref="F848" r:id="rId112"/>
    <hyperlink ref="F852" r:id="rId113"/>
    <hyperlink ref="F856" r:id="rId114"/>
    <hyperlink ref="F860" r:id="rId115"/>
    <hyperlink ref="F865" r:id="rId116"/>
  </hyperlinks>
  <pageMargins left="0.39374999999999999" right="0.39374999999999999" top="0.39374999999999999" bottom="0.39374999999999999" header="0" footer="0"/>
  <pageSetup paperSize="9" scale="84" fitToHeight="100" orientation="landscape" blackAndWhite="1" r:id="rId117"/>
  <headerFooter>
    <oddFooter>&amp;CStrana &amp;P z &amp;N</oddFooter>
  </headerFooter>
  <drawing r:id="rId1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92"/>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126</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3089</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ROUND(J99,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ROUND((SUM(BE99:BE691)),  2)</f>
        <v>0</v>
      </c>
      <c r="G33" s="34"/>
      <c r="H33" s="34"/>
      <c r="I33" s="98">
        <v>0.21</v>
      </c>
      <c r="J33" s="97">
        <f>ROUND(((SUM(BE99:BE691))*I33),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ROUND((SUM(BF99:BF691)),  2)</f>
        <v>0</v>
      </c>
      <c r="G34" s="34"/>
      <c r="H34" s="34"/>
      <c r="I34" s="98">
        <v>0.15</v>
      </c>
      <c r="J34" s="97">
        <f>ROUND(((SUM(BF99:BF691))*I34),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ROUND((SUM(BG99:BG691)),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ROUND((SUM(BH99:BH691)),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ROUND((SUM(BI99:BI691)),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E14 - Dokončovací práce - výtah,zábradlí.obklady,parapety,malby,žaluzie,podlahy,dveře,dok.TZB</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J99</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J100</f>
        <v>0</v>
      </c>
      <c r="L60" s="108"/>
    </row>
    <row r="61" spans="1:47" s="10" customFormat="1" ht="19.899999999999999" customHeight="1">
      <c r="B61" s="112"/>
      <c r="D61" s="113" t="s">
        <v>547</v>
      </c>
      <c r="E61" s="114"/>
      <c r="F61" s="114"/>
      <c r="G61" s="114"/>
      <c r="H61" s="114"/>
      <c r="I61" s="114"/>
      <c r="J61" s="115">
        <f>J101</f>
        <v>0</v>
      </c>
      <c r="L61" s="112"/>
    </row>
    <row r="62" spans="1:47" s="10" customFormat="1" ht="19.899999999999999" customHeight="1">
      <c r="B62" s="112"/>
      <c r="D62" s="113" t="s">
        <v>325</v>
      </c>
      <c r="E62" s="114"/>
      <c r="F62" s="114"/>
      <c r="G62" s="114"/>
      <c r="H62" s="114"/>
      <c r="I62" s="114"/>
      <c r="J62" s="115">
        <f>J141</f>
        <v>0</v>
      </c>
      <c r="L62" s="112"/>
    </row>
    <row r="63" spans="1:47" s="10" customFormat="1" ht="19.899999999999999" customHeight="1">
      <c r="B63" s="112"/>
      <c r="D63" s="113" t="s">
        <v>326</v>
      </c>
      <c r="E63" s="114"/>
      <c r="F63" s="114"/>
      <c r="G63" s="114"/>
      <c r="H63" s="114"/>
      <c r="I63" s="114"/>
      <c r="J63" s="115">
        <f>J167</f>
        <v>0</v>
      </c>
      <c r="L63" s="112"/>
    </row>
    <row r="64" spans="1:47" s="9" customFormat="1" ht="24.95" customHeight="1">
      <c r="B64" s="108"/>
      <c r="D64" s="109" t="s">
        <v>155</v>
      </c>
      <c r="E64" s="110"/>
      <c r="F64" s="110"/>
      <c r="G64" s="110"/>
      <c r="H64" s="110"/>
      <c r="I64" s="110"/>
      <c r="J64" s="111">
        <f>J172</f>
        <v>0</v>
      </c>
      <c r="L64" s="108"/>
    </row>
    <row r="65" spans="1:31" s="10" customFormat="1" ht="19.899999999999999" customHeight="1">
      <c r="B65" s="112"/>
      <c r="D65" s="113" t="s">
        <v>3090</v>
      </c>
      <c r="E65" s="114"/>
      <c r="F65" s="114"/>
      <c r="G65" s="114"/>
      <c r="H65" s="114"/>
      <c r="I65" s="114"/>
      <c r="J65" s="115">
        <f>J173</f>
        <v>0</v>
      </c>
      <c r="L65" s="112"/>
    </row>
    <row r="66" spans="1:31" s="10" customFormat="1" ht="19.899999999999999" customHeight="1">
      <c r="B66" s="112"/>
      <c r="D66" s="113" t="s">
        <v>3091</v>
      </c>
      <c r="E66" s="114"/>
      <c r="F66" s="114"/>
      <c r="G66" s="114"/>
      <c r="H66" s="114"/>
      <c r="I66" s="114"/>
      <c r="J66" s="115">
        <f>J192</f>
        <v>0</v>
      </c>
      <c r="L66" s="112"/>
    </row>
    <row r="67" spans="1:31" s="10" customFormat="1" ht="19.899999999999999" customHeight="1">
      <c r="B67" s="112"/>
      <c r="D67" s="113" t="s">
        <v>1477</v>
      </c>
      <c r="E67" s="114"/>
      <c r="F67" s="114"/>
      <c r="G67" s="114"/>
      <c r="H67" s="114"/>
      <c r="I67" s="114"/>
      <c r="J67" s="115">
        <f>J233</f>
        <v>0</v>
      </c>
      <c r="L67" s="112"/>
    </row>
    <row r="68" spans="1:31" s="10" customFormat="1" ht="19.899999999999999" customHeight="1">
      <c r="B68" s="112"/>
      <c r="D68" s="113" t="s">
        <v>926</v>
      </c>
      <c r="E68" s="114"/>
      <c r="F68" s="114"/>
      <c r="G68" s="114"/>
      <c r="H68" s="114"/>
      <c r="I68" s="114"/>
      <c r="J68" s="115">
        <f>J318</f>
        <v>0</v>
      </c>
      <c r="L68" s="112"/>
    </row>
    <row r="69" spans="1:31" s="10" customFormat="1" ht="19.899999999999999" customHeight="1">
      <c r="B69" s="112"/>
      <c r="D69" s="113" t="s">
        <v>2310</v>
      </c>
      <c r="E69" s="114"/>
      <c r="F69" s="114"/>
      <c r="G69" s="114"/>
      <c r="H69" s="114"/>
      <c r="I69" s="114"/>
      <c r="J69" s="115">
        <f>J354</f>
        <v>0</v>
      </c>
      <c r="L69" s="112"/>
    </row>
    <row r="70" spans="1:31" s="10" customFormat="1" ht="19.899999999999999" customHeight="1">
      <c r="B70" s="112"/>
      <c r="D70" s="113" t="s">
        <v>3092</v>
      </c>
      <c r="E70" s="114"/>
      <c r="F70" s="114"/>
      <c r="G70" s="114"/>
      <c r="H70" s="114"/>
      <c r="I70" s="114"/>
      <c r="J70" s="115">
        <f>J432</f>
        <v>0</v>
      </c>
      <c r="L70" s="112"/>
    </row>
    <row r="71" spans="1:31" s="10" customFormat="1" ht="19.899999999999999" customHeight="1">
      <c r="B71" s="112"/>
      <c r="D71" s="113" t="s">
        <v>3093</v>
      </c>
      <c r="E71" s="114"/>
      <c r="F71" s="114"/>
      <c r="G71" s="114"/>
      <c r="H71" s="114"/>
      <c r="I71" s="114"/>
      <c r="J71" s="115">
        <f>J490</f>
        <v>0</v>
      </c>
      <c r="L71" s="112"/>
    </row>
    <row r="72" spans="1:31" s="10" customFormat="1" ht="19.899999999999999" customHeight="1">
      <c r="B72" s="112"/>
      <c r="D72" s="113" t="s">
        <v>1571</v>
      </c>
      <c r="E72" s="114"/>
      <c r="F72" s="114"/>
      <c r="G72" s="114"/>
      <c r="H72" s="114"/>
      <c r="I72" s="114"/>
      <c r="J72" s="115">
        <f>J575</f>
        <v>0</v>
      </c>
      <c r="L72" s="112"/>
    </row>
    <row r="73" spans="1:31" s="10" customFormat="1" ht="19.899999999999999" customHeight="1">
      <c r="B73" s="112"/>
      <c r="D73" s="113" t="s">
        <v>3094</v>
      </c>
      <c r="E73" s="114"/>
      <c r="F73" s="114"/>
      <c r="G73" s="114"/>
      <c r="H73" s="114"/>
      <c r="I73" s="114"/>
      <c r="J73" s="115">
        <f>J606</f>
        <v>0</v>
      </c>
      <c r="L73" s="112"/>
    </row>
    <row r="74" spans="1:31" s="10" customFormat="1" ht="19.899999999999999" customHeight="1">
      <c r="B74" s="112"/>
      <c r="D74" s="113" t="s">
        <v>3095</v>
      </c>
      <c r="E74" s="114"/>
      <c r="F74" s="114"/>
      <c r="G74" s="114"/>
      <c r="H74" s="114"/>
      <c r="I74" s="114"/>
      <c r="J74" s="115">
        <f>J654</f>
        <v>0</v>
      </c>
      <c r="L74" s="112"/>
    </row>
    <row r="75" spans="1:31" s="9" customFormat="1" ht="24.95" customHeight="1">
      <c r="B75" s="108"/>
      <c r="D75" s="109" t="s">
        <v>3096</v>
      </c>
      <c r="E75" s="110"/>
      <c r="F75" s="110"/>
      <c r="G75" s="110"/>
      <c r="H75" s="110"/>
      <c r="I75" s="110"/>
      <c r="J75" s="111">
        <f>J675</f>
        <v>0</v>
      </c>
      <c r="L75" s="108"/>
    </row>
    <row r="76" spans="1:31" s="10" customFormat="1" ht="19.899999999999999" customHeight="1">
      <c r="B76" s="112"/>
      <c r="D76" s="113" t="s">
        <v>3097</v>
      </c>
      <c r="E76" s="114"/>
      <c r="F76" s="114"/>
      <c r="G76" s="114"/>
      <c r="H76" s="114"/>
      <c r="I76" s="114"/>
      <c r="J76" s="115">
        <f>J676</f>
        <v>0</v>
      </c>
      <c r="L76" s="112"/>
    </row>
    <row r="77" spans="1:31" s="9" customFormat="1" ht="24.95" customHeight="1">
      <c r="B77" s="108"/>
      <c r="D77" s="109" t="s">
        <v>161</v>
      </c>
      <c r="E77" s="110"/>
      <c r="F77" s="110"/>
      <c r="G77" s="110"/>
      <c r="H77" s="110"/>
      <c r="I77" s="110"/>
      <c r="J77" s="111">
        <f>J679</f>
        <v>0</v>
      </c>
      <c r="L77" s="108"/>
    </row>
    <row r="78" spans="1:31" s="9" customFormat="1" ht="24.95" customHeight="1">
      <c r="B78" s="108"/>
      <c r="D78" s="109" t="s">
        <v>327</v>
      </c>
      <c r="E78" s="110"/>
      <c r="F78" s="110"/>
      <c r="G78" s="110"/>
      <c r="H78" s="110"/>
      <c r="I78" s="110"/>
      <c r="J78" s="111">
        <f>J685</f>
        <v>0</v>
      </c>
      <c r="L78" s="108"/>
    </row>
    <row r="79" spans="1:31" s="10" customFormat="1" ht="19.899999999999999" customHeight="1">
      <c r="B79" s="112"/>
      <c r="D79" s="113" t="s">
        <v>328</v>
      </c>
      <c r="E79" s="114"/>
      <c r="F79" s="114"/>
      <c r="G79" s="114"/>
      <c r="H79" s="114"/>
      <c r="I79" s="114"/>
      <c r="J79" s="115">
        <f>J686</f>
        <v>0</v>
      </c>
      <c r="L79" s="112"/>
    </row>
    <row r="80" spans="1:31" s="2" customFormat="1" ht="21.7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31" s="2" customFormat="1" ht="6.95" customHeight="1">
      <c r="A81" s="34"/>
      <c r="B81" s="44"/>
      <c r="C81" s="45"/>
      <c r="D81" s="45"/>
      <c r="E81" s="45"/>
      <c r="F81" s="45"/>
      <c r="G81" s="45"/>
      <c r="H81" s="45"/>
      <c r="I81" s="45"/>
      <c r="J81" s="45"/>
      <c r="K81" s="45"/>
      <c r="L81" s="91"/>
      <c r="S81" s="34"/>
      <c r="T81" s="34"/>
      <c r="U81" s="34"/>
      <c r="V81" s="34"/>
      <c r="W81" s="34"/>
      <c r="X81" s="34"/>
      <c r="Y81" s="34"/>
      <c r="Z81" s="34"/>
      <c r="AA81" s="34"/>
      <c r="AB81" s="34"/>
      <c r="AC81" s="34"/>
      <c r="AD81" s="34"/>
      <c r="AE81" s="34"/>
    </row>
    <row r="85" spans="1:31" s="2" customFormat="1" ht="6.95" customHeight="1">
      <c r="A85" s="34"/>
      <c r="B85" s="46"/>
      <c r="C85" s="47"/>
      <c r="D85" s="47"/>
      <c r="E85" s="47"/>
      <c r="F85" s="47"/>
      <c r="G85" s="47"/>
      <c r="H85" s="47"/>
      <c r="I85" s="47"/>
      <c r="J85" s="47"/>
      <c r="K85" s="47"/>
      <c r="L85" s="91"/>
      <c r="S85" s="34"/>
      <c r="T85" s="34"/>
      <c r="U85" s="34"/>
      <c r="V85" s="34"/>
      <c r="W85" s="34"/>
      <c r="X85" s="34"/>
      <c r="Y85" s="34"/>
      <c r="Z85" s="34"/>
      <c r="AA85" s="34"/>
      <c r="AB85" s="34"/>
      <c r="AC85" s="34"/>
      <c r="AD85" s="34"/>
      <c r="AE85" s="34"/>
    </row>
    <row r="86" spans="1:31" s="2" customFormat="1" ht="24.95" customHeight="1">
      <c r="A86" s="34"/>
      <c r="B86" s="35"/>
      <c r="C86" s="23" t="s">
        <v>162</v>
      </c>
      <c r="D86" s="34"/>
      <c r="E86" s="34"/>
      <c r="F86" s="34"/>
      <c r="G86" s="34"/>
      <c r="H86" s="34"/>
      <c r="I86" s="34"/>
      <c r="J86" s="34"/>
      <c r="K86" s="34"/>
      <c r="L86" s="91"/>
      <c r="S86" s="34"/>
      <c r="T86" s="34"/>
      <c r="U86" s="34"/>
      <c r="V86" s="34"/>
      <c r="W86" s="34"/>
      <c r="X86" s="34"/>
      <c r="Y86" s="34"/>
      <c r="Z86" s="34"/>
      <c r="AA86" s="34"/>
      <c r="AB86" s="34"/>
      <c r="AC86" s="34"/>
      <c r="AD86" s="34"/>
      <c r="AE86" s="34"/>
    </row>
    <row r="87" spans="1:31" s="2" customFormat="1" ht="6.95" customHeight="1">
      <c r="A87" s="34"/>
      <c r="B87" s="35"/>
      <c r="C87" s="34"/>
      <c r="D87" s="34"/>
      <c r="E87" s="34"/>
      <c r="F87" s="34"/>
      <c r="G87" s="34"/>
      <c r="H87" s="34"/>
      <c r="I87" s="34"/>
      <c r="J87" s="34"/>
      <c r="K87" s="34"/>
      <c r="L87" s="91"/>
      <c r="S87" s="34"/>
      <c r="T87" s="34"/>
      <c r="U87" s="34"/>
      <c r="V87" s="34"/>
      <c r="W87" s="34"/>
      <c r="X87" s="34"/>
      <c r="Y87" s="34"/>
      <c r="Z87" s="34"/>
      <c r="AA87" s="34"/>
      <c r="AB87" s="34"/>
      <c r="AC87" s="34"/>
      <c r="AD87" s="34"/>
      <c r="AE87" s="34"/>
    </row>
    <row r="88" spans="1:31" s="2" customFormat="1" ht="12" customHeight="1">
      <c r="A88" s="34"/>
      <c r="B88" s="35"/>
      <c r="C88" s="29" t="s">
        <v>17</v>
      </c>
      <c r="D88" s="34"/>
      <c r="E88" s="34"/>
      <c r="F88" s="34"/>
      <c r="G88" s="34"/>
      <c r="H88" s="34"/>
      <c r="I88" s="34"/>
      <c r="J88" s="34"/>
      <c r="K88" s="34"/>
      <c r="L88" s="91"/>
      <c r="S88" s="34"/>
      <c r="T88" s="34"/>
      <c r="U88" s="34"/>
      <c r="V88" s="34"/>
      <c r="W88" s="34"/>
      <c r="X88" s="34"/>
      <c r="Y88" s="34"/>
      <c r="Z88" s="34"/>
      <c r="AA88" s="34"/>
      <c r="AB88" s="34"/>
      <c r="AC88" s="34"/>
      <c r="AD88" s="34"/>
      <c r="AE88" s="34"/>
    </row>
    <row r="89" spans="1:31" s="2" customFormat="1" ht="16.5" customHeight="1">
      <c r="A89" s="34"/>
      <c r="B89" s="35"/>
      <c r="C89" s="34"/>
      <c r="D89" s="34"/>
      <c r="E89" s="436" t="str">
        <f>E7</f>
        <v>ZŠ P. HOLÉHO - PŘESTAVBA PLAVECKÉHO PAVILONU</v>
      </c>
      <c r="F89" s="437"/>
      <c r="G89" s="437"/>
      <c r="H89" s="437"/>
      <c r="I89" s="34"/>
      <c r="J89" s="34"/>
      <c r="K89" s="34"/>
      <c r="L89" s="91"/>
      <c r="S89" s="34"/>
      <c r="T89" s="34"/>
      <c r="U89" s="34"/>
      <c r="V89" s="34"/>
      <c r="W89" s="34"/>
      <c r="X89" s="34"/>
      <c r="Y89" s="34"/>
      <c r="Z89" s="34"/>
      <c r="AA89" s="34"/>
      <c r="AB89" s="34"/>
      <c r="AC89" s="34"/>
      <c r="AD89" s="34"/>
      <c r="AE89" s="34"/>
    </row>
    <row r="90" spans="1:31" s="2" customFormat="1" ht="12" customHeight="1">
      <c r="A90" s="34"/>
      <c r="B90" s="35"/>
      <c r="C90" s="29" t="s">
        <v>146</v>
      </c>
      <c r="D90" s="34"/>
      <c r="E90" s="34"/>
      <c r="F90" s="34"/>
      <c r="G90" s="34"/>
      <c r="H90" s="34"/>
      <c r="I90" s="34"/>
      <c r="J90" s="34"/>
      <c r="K90" s="34"/>
      <c r="L90" s="91"/>
      <c r="S90" s="34"/>
      <c r="T90" s="34"/>
      <c r="U90" s="34"/>
      <c r="V90" s="34"/>
      <c r="W90" s="34"/>
      <c r="X90" s="34"/>
      <c r="Y90" s="34"/>
      <c r="Z90" s="34"/>
      <c r="AA90" s="34"/>
      <c r="AB90" s="34"/>
      <c r="AC90" s="34"/>
      <c r="AD90" s="34"/>
      <c r="AE90" s="34"/>
    </row>
    <row r="91" spans="1:31" s="2" customFormat="1" ht="16.5" customHeight="1">
      <c r="A91" s="34"/>
      <c r="B91" s="35"/>
      <c r="C91" s="34"/>
      <c r="D91" s="34"/>
      <c r="E91" s="432" t="str">
        <f>E9</f>
        <v>E14 - Dokončovací práce - výtah,zábradlí.obklady,parapety,malby,žaluzie,podlahy,dveře,dok.TZB</v>
      </c>
      <c r="F91" s="435"/>
      <c r="G91" s="435"/>
      <c r="H91" s="435"/>
      <c r="I91" s="34"/>
      <c r="J91" s="34"/>
      <c r="K91" s="34"/>
      <c r="L91" s="91"/>
      <c r="S91" s="34"/>
      <c r="T91" s="34"/>
      <c r="U91" s="34"/>
      <c r="V91" s="34"/>
      <c r="W91" s="34"/>
      <c r="X91" s="34"/>
      <c r="Y91" s="34"/>
      <c r="Z91" s="34"/>
      <c r="AA91" s="34"/>
      <c r="AB91" s="34"/>
      <c r="AC91" s="34"/>
      <c r="AD91" s="34"/>
      <c r="AE91" s="34"/>
    </row>
    <row r="92" spans="1:31" s="2" customFormat="1" ht="6.95" customHeight="1">
      <c r="A92" s="34"/>
      <c r="B92" s="35"/>
      <c r="C92" s="34"/>
      <c r="D92" s="34"/>
      <c r="E92" s="34"/>
      <c r="F92" s="34"/>
      <c r="G92" s="34"/>
      <c r="H92" s="34"/>
      <c r="I92" s="34"/>
      <c r="J92" s="34"/>
      <c r="K92" s="34"/>
      <c r="L92" s="91"/>
      <c r="S92" s="34"/>
      <c r="T92" s="34"/>
      <c r="U92" s="34"/>
      <c r="V92" s="34"/>
      <c r="W92" s="34"/>
      <c r="X92" s="34"/>
      <c r="Y92" s="34"/>
      <c r="Z92" s="34"/>
      <c r="AA92" s="34"/>
      <c r="AB92" s="34"/>
      <c r="AC92" s="34"/>
      <c r="AD92" s="34"/>
      <c r="AE92" s="34"/>
    </row>
    <row r="93" spans="1:31" s="2" customFormat="1" ht="12" customHeight="1">
      <c r="A93" s="34"/>
      <c r="B93" s="35"/>
      <c r="C93" s="29" t="s">
        <v>21</v>
      </c>
      <c r="D93" s="34"/>
      <c r="E93" s="34"/>
      <c r="F93" s="27" t="str">
        <f>F12</f>
        <v>Prokopa Holého 2632, Louny, 440 01</v>
      </c>
      <c r="G93" s="34"/>
      <c r="H93" s="34"/>
      <c r="I93" s="29" t="s">
        <v>23</v>
      </c>
      <c r="J93" s="52" t="str">
        <f>IF(J12="","",J12)</f>
        <v>21. 9. 2022</v>
      </c>
      <c r="K93" s="34"/>
      <c r="L93" s="91"/>
      <c r="S93" s="34"/>
      <c r="T93" s="34"/>
      <c r="U93" s="34"/>
      <c r="V93" s="34"/>
      <c r="W93" s="34"/>
      <c r="X93" s="34"/>
      <c r="Y93" s="34"/>
      <c r="Z93" s="34"/>
      <c r="AA93" s="34"/>
      <c r="AB93" s="34"/>
      <c r="AC93" s="34"/>
      <c r="AD93" s="34"/>
      <c r="AE93" s="34"/>
    </row>
    <row r="94" spans="1:31" s="2" customFormat="1" ht="6.95" customHeight="1">
      <c r="A94" s="34"/>
      <c r="B94" s="35"/>
      <c r="C94" s="34"/>
      <c r="D94" s="34"/>
      <c r="E94" s="34"/>
      <c r="F94" s="34"/>
      <c r="G94" s="34"/>
      <c r="H94" s="34"/>
      <c r="I94" s="34"/>
      <c r="J94" s="34"/>
      <c r="K94" s="34"/>
      <c r="L94" s="91"/>
      <c r="S94" s="34"/>
      <c r="T94" s="34"/>
      <c r="U94" s="34"/>
      <c r="V94" s="34"/>
      <c r="W94" s="34"/>
      <c r="X94" s="34"/>
      <c r="Y94" s="34"/>
      <c r="Z94" s="34"/>
      <c r="AA94" s="34"/>
      <c r="AB94" s="34"/>
      <c r="AC94" s="34"/>
      <c r="AD94" s="34"/>
      <c r="AE94" s="34"/>
    </row>
    <row r="95" spans="1:31" s="2" customFormat="1" ht="15.2" customHeight="1">
      <c r="A95" s="34"/>
      <c r="B95" s="35"/>
      <c r="C95" s="29" t="s">
        <v>25</v>
      </c>
      <c r="D95" s="34"/>
      <c r="E95" s="34"/>
      <c r="F95" s="27" t="str">
        <f>E15</f>
        <v>Město Louny</v>
      </c>
      <c r="G95" s="34"/>
      <c r="H95" s="34"/>
      <c r="I95" s="29" t="s">
        <v>32</v>
      </c>
      <c r="J95" s="32" t="str">
        <f>E21</f>
        <v>RYSIK Design s.r.o.</v>
      </c>
      <c r="K95" s="34"/>
      <c r="L95" s="91"/>
      <c r="S95" s="34"/>
      <c r="T95" s="34"/>
      <c r="U95" s="34"/>
      <c r="V95" s="34"/>
      <c r="W95" s="34"/>
      <c r="X95" s="34"/>
      <c r="Y95" s="34"/>
      <c r="Z95" s="34"/>
      <c r="AA95" s="34"/>
      <c r="AB95" s="34"/>
      <c r="AC95" s="34"/>
      <c r="AD95" s="34"/>
      <c r="AE95" s="34"/>
    </row>
    <row r="96" spans="1:31" s="2" customFormat="1" ht="25.7" customHeight="1">
      <c r="A96" s="34"/>
      <c r="B96" s="35"/>
      <c r="C96" s="29" t="s">
        <v>30</v>
      </c>
      <c r="D96" s="34"/>
      <c r="E96" s="34"/>
      <c r="F96" s="27" t="str">
        <f>IF(E18="","",E18)</f>
        <v>Vyplň údaj</v>
      </c>
      <c r="G96" s="34"/>
      <c r="H96" s="34"/>
      <c r="I96" s="29" t="s">
        <v>37</v>
      </c>
      <c r="J96" s="32" t="str">
        <f>E24</f>
        <v>ing. Kateřina Tumpachová</v>
      </c>
      <c r="K96" s="34"/>
      <c r="L96" s="91"/>
      <c r="S96" s="34"/>
      <c r="T96" s="34"/>
      <c r="U96" s="34"/>
      <c r="V96" s="34"/>
      <c r="W96" s="34"/>
      <c r="X96" s="34"/>
      <c r="Y96" s="34"/>
      <c r="Z96" s="34"/>
      <c r="AA96" s="34"/>
      <c r="AB96" s="34"/>
      <c r="AC96" s="34"/>
      <c r="AD96" s="34"/>
      <c r="AE96" s="34"/>
    </row>
    <row r="97" spans="1:65" s="2" customFormat="1" ht="10.35" customHeight="1">
      <c r="A97" s="34"/>
      <c r="B97" s="35"/>
      <c r="C97" s="34"/>
      <c r="D97" s="34"/>
      <c r="E97" s="34"/>
      <c r="F97" s="34"/>
      <c r="G97" s="34"/>
      <c r="H97" s="34"/>
      <c r="I97" s="34"/>
      <c r="J97" s="34"/>
      <c r="K97" s="34"/>
      <c r="L97" s="91"/>
      <c r="S97" s="34"/>
      <c r="T97" s="34"/>
      <c r="U97" s="34"/>
      <c r="V97" s="34"/>
      <c r="W97" s="34"/>
      <c r="X97" s="34"/>
      <c r="Y97" s="34"/>
      <c r="Z97" s="34"/>
      <c r="AA97" s="34"/>
      <c r="AB97" s="34"/>
      <c r="AC97" s="34"/>
      <c r="AD97" s="34"/>
      <c r="AE97" s="34"/>
    </row>
    <row r="98" spans="1:65" s="11" customFormat="1" ht="29.25" customHeight="1">
      <c r="A98" s="116"/>
      <c r="B98" s="117"/>
      <c r="C98" s="118" t="s">
        <v>163</v>
      </c>
      <c r="D98" s="119" t="s">
        <v>62</v>
      </c>
      <c r="E98" s="119" t="s">
        <v>58</v>
      </c>
      <c r="F98" s="119" t="s">
        <v>59</v>
      </c>
      <c r="G98" s="119" t="s">
        <v>164</v>
      </c>
      <c r="H98" s="119" t="s">
        <v>165</v>
      </c>
      <c r="I98" s="119" t="s">
        <v>166</v>
      </c>
      <c r="J98" s="119" t="s">
        <v>151</v>
      </c>
      <c r="K98" s="120" t="s">
        <v>167</v>
      </c>
      <c r="L98" s="121"/>
      <c r="M98" s="59" t="s">
        <v>3</v>
      </c>
      <c r="N98" s="60" t="s">
        <v>47</v>
      </c>
      <c r="O98" s="60" t="s">
        <v>168</v>
      </c>
      <c r="P98" s="60" t="s">
        <v>169</v>
      </c>
      <c r="Q98" s="60" t="s">
        <v>170</v>
      </c>
      <c r="R98" s="60" t="s">
        <v>171</v>
      </c>
      <c r="S98" s="60" t="s">
        <v>172</v>
      </c>
      <c r="T98" s="61" t="s">
        <v>173</v>
      </c>
      <c r="U98" s="116"/>
      <c r="V98" s="116"/>
      <c r="W98" s="116"/>
      <c r="X98" s="116"/>
      <c r="Y98" s="116"/>
      <c r="Z98" s="116"/>
      <c r="AA98" s="116"/>
      <c r="AB98" s="116"/>
      <c r="AC98" s="116"/>
      <c r="AD98" s="116"/>
      <c r="AE98" s="116"/>
    </row>
    <row r="99" spans="1:65" s="2" customFormat="1" ht="22.9" customHeight="1">
      <c r="A99" s="34"/>
      <c r="B99" s="35"/>
      <c r="C99" s="66" t="s">
        <v>174</v>
      </c>
      <c r="D99" s="34"/>
      <c r="E99" s="34"/>
      <c r="F99" s="34"/>
      <c r="G99" s="34"/>
      <c r="H99" s="34"/>
      <c r="I99" s="34"/>
      <c r="J99" s="122">
        <f>BK99</f>
        <v>0</v>
      </c>
      <c r="K99" s="34"/>
      <c r="L99" s="35"/>
      <c r="M99" s="62"/>
      <c r="N99" s="53"/>
      <c r="O99" s="63"/>
      <c r="P99" s="123">
        <f>P100+P172+P675+P679+P685</f>
        <v>0</v>
      </c>
      <c r="Q99" s="63"/>
      <c r="R99" s="123">
        <f>R100+R172+R675+R679+R685</f>
        <v>19.078739487810001</v>
      </c>
      <c r="S99" s="63"/>
      <c r="T99" s="124">
        <f>T100+T172+T675+T679+T685</f>
        <v>0</v>
      </c>
      <c r="U99" s="34"/>
      <c r="V99" s="34"/>
      <c r="W99" s="34"/>
      <c r="X99" s="34"/>
      <c r="Y99" s="34"/>
      <c r="Z99" s="34"/>
      <c r="AA99" s="34"/>
      <c r="AB99" s="34"/>
      <c r="AC99" s="34"/>
      <c r="AD99" s="34"/>
      <c r="AE99" s="34"/>
      <c r="AT99" s="19" t="s">
        <v>76</v>
      </c>
      <c r="AU99" s="19" t="s">
        <v>152</v>
      </c>
      <c r="BK99" s="125">
        <f>BK100+BK172+BK675+BK679+BK685</f>
        <v>0</v>
      </c>
    </row>
    <row r="100" spans="1:65" s="12" customFormat="1" ht="25.9" customHeight="1">
      <c r="B100" s="126"/>
      <c r="D100" s="127" t="s">
        <v>76</v>
      </c>
      <c r="E100" s="128" t="s">
        <v>175</v>
      </c>
      <c r="F100" s="128" t="s">
        <v>176</v>
      </c>
      <c r="I100" s="129"/>
      <c r="J100" s="130">
        <f>BK100</f>
        <v>0</v>
      </c>
      <c r="L100" s="126"/>
      <c r="M100" s="131"/>
      <c r="N100" s="132"/>
      <c r="O100" s="132"/>
      <c r="P100" s="133">
        <f>P101+P141+P167</f>
        <v>0</v>
      </c>
      <c r="Q100" s="132"/>
      <c r="R100" s="133">
        <f>R101+R141+R167</f>
        <v>1.0727194</v>
      </c>
      <c r="S100" s="132"/>
      <c r="T100" s="134">
        <f>T101+T141+T167</f>
        <v>0</v>
      </c>
      <c r="AR100" s="127" t="s">
        <v>85</v>
      </c>
      <c r="AT100" s="135" t="s">
        <v>76</v>
      </c>
      <c r="AU100" s="135" t="s">
        <v>77</v>
      </c>
      <c r="AY100" s="127" t="s">
        <v>177</v>
      </c>
      <c r="BK100" s="136">
        <f>BK101+BK141+BK167</f>
        <v>0</v>
      </c>
    </row>
    <row r="101" spans="1:65" s="12" customFormat="1" ht="22.9" customHeight="1">
      <c r="B101" s="126"/>
      <c r="D101" s="127" t="s">
        <v>76</v>
      </c>
      <c r="E101" s="137" t="s">
        <v>233</v>
      </c>
      <c r="F101" s="137" t="s">
        <v>626</v>
      </c>
      <c r="I101" s="129"/>
      <c r="J101" s="138">
        <f>BK101</f>
        <v>0</v>
      </c>
      <c r="L101" s="126"/>
      <c r="M101" s="131"/>
      <c r="N101" s="132"/>
      <c r="O101" s="132"/>
      <c r="P101" s="133">
        <f>SUM(P102:P140)</f>
        <v>0</v>
      </c>
      <c r="Q101" s="132"/>
      <c r="R101" s="133">
        <f>SUM(R102:R140)</f>
        <v>0.73921540000000008</v>
      </c>
      <c r="S101" s="132"/>
      <c r="T101" s="134">
        <f>SUM(T102:T140)</f>
        <v>0</v>
      </c>
      <c r="AR101" s="127" t="s">
        <v>85</v>
      </c>
      <c r="AT101" s="135" t="s">
        <v>76</v>
      </c>
      <c r="AU101" s="135" t="s">
        <v>85</v>
      </c>
      <c r="AY101" s="127" t="s">
        <v>177</v>
      </c>
      <c r="BK101" s="136">
        <f>SUM(BK102:BK140)</f>
        <v>0</v>
      </c>
    </row>
    <row r="102" spans="1:65" s="2" customFormat="1" ht="16.5" customHeight="1">
      <c r="A102" s="34"/>
      <c r="B102" s="139"/>
      <c r="C102" s="140" t="s">
        <v>85</v>
      </c>
      <c r="D102" s="140" t="s">
        <v>180</v>
      </c>
      <c r="E102" s="141" t="s">
        <v>3098</v>
      </c>
      <c r="F102" s="142" t="s">
        <v>3099</v>
      </c>
      <c r="G102" s="143" t="s">
        <v>332</v>
      </c>
      <c r="H102" s="144">
        <v>16.100000000000001</v>
      </c>
      <c r="I102" s="145"/>
      <c r="J102" s="146">
        <f>ROUND(I102*H102,2)</f>
        <v>0</v>
      </c>
      <c r="K102" s="142" t="s">
        <v>184</v>
      </c>
      <c r="L102" s="35"/>
      <c r="M102" s="147" t="s">
        <v>3</v>
      </c>
      <c r="N102" s="148" t="s">
        <v>48</v>
      </c>
      <c r="O102" s="55"/>
      <c r="P102" s="149">
        <f>O102*H102</f>
        <v>0</v>
      </c>
      <c r="Q102" s="149">
        <v>7.3499999999999998E-3</v>
      </c>
      <c r="R102" s="149">
        <f>Q102*H102</f>
        <v>0.11833500000000001</v>
      </c>
      <c r="S102" s="149">
        <v>0</v>
      </c>
      <c r="T102" s="150">
        <f>S102*H102</f>
        <v>0</v>
      </c>
      <c r="U102" s="34"/>
      <c r="V102" s="34"/>
      <c r="W102" s="34"/>
      <c r="X102" s="34"/>
      <c r="Y102" s="34"/>
      <c r="Z102" s="34"/>
      <c r="AA102" s="34"/>
      <c r="AB102" s="34"/>
      <c r="AC102" s="34"/>
      <c r="AD102" s="34"/>
      <c r="AE102" s="34"/>
      <c r="AR102" s="151" t="s">
        <v>185</v>
      </c>
      <c r="AT102" s="151" t="s">
        <v>180</v>
      </c>
      <c r="AU102" s="151" t="s">
        <v>87</v>
      </c>
      <c r="AY102" s="19" t="s">
        <v>177</v>
      </c>
      <c r="BE102" s="152">
        <f>IF(N102="základní",J102,0)</f>
        <v>0</v>
      </c>
      <c r="BF102" s="152">
        <f>IF(N102="snížená",J102,0)</f>
        <v>0</v>
      </c>
      <c r="BG102" s="152">
        <f>IF(N102="zákl. přenesená",J102,0)</f>
        <v>0</v>
      </c>
      <c r="BH102" s="152">
        <f>IF(N102="sníž. přenesená",J102,0)</f>
        <v>0</v>
      </c>
      <c r="BI102" s="152">
        <f>IF(N102="nulová",J102,0)</f>
        <v>0</v>
      </c>
      <c r="BJ102" s="19" t="s">
        <v>85</v>
      </c>
      <c r="BK102" s="152">
        <f>ROUND(I102*H102,2)</f>
        <v>0</v>
      </c>
      <c r="BL102" s="19" t="s">
        <v>185</v>
      </c>
      <c r="BM102" s="151" t="s">
        <v>3100</v>
      </c>
    </row>
    <row r="103" spans="1:65" s="2" customFormat="1">
      <c r="A103" s="34"/>
      <c r="B103" s="35"/>
      <c r="C103" s="34"/>
      <c r="D103" s="153" t="s">
        <v>187</v>
      </c>
      <c r="E103" s="34"/>
      <c r="F103" s="154" t="s">
        <v>3101</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187</v>
      </c>
      <c r="AU103" s="19" t="s">
        <v>87</v>
      </c>
    </row>
    <row r="104" spans="1:65" s="2" customFormat="1">
      <c r="A104" s="34"/>
      <c r="B104" s="35"/>
      <c r="C104" s="34"/>
      <c r="D104" s="158" t="s">
        <v>189</v>
      </c>
      <c r="E104" s="34"/>
      <c r="F104" s="159" t="s">
        <v>3102</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189</v>
      </c>
      <c r="AU104" s="19" t="s">
        <v>87</v>
      </c>
    </row>
    <row r="105" spans="1:65" s="2" customFormat="1" ht="16.5" customHeight="1">
      <c r="A105" s="34"/>
      <c r="B105" s="139"/>
      <c r="C105" s="140" t="s">
        <v>87</v>
      </c>
      <c r="D105" s="140" t="s">
        <v>180</v>
      </c>
      <c r="E105" s="141" t="s">
        <v>3103</v>
      </c>
      <c r="F105" s="142" t="s">
        <v>3104</v>
      </c>
      <c r="G105" s="143" t="s">
        <v>332</v>
      </c>
      <c r="H105" s="144">
        <v>16.100000000000001</v>
      </c>
      <c r="I105" s="145"/>
      <c r="J105" s="146">
        <f>ROUND(I105*H105,2)</f>
        <v>0</v>
      </c>
      <c r="K105" s="142" t="s">
        <v>184</v>
      </c>
      <c r="L105" s="35"/>
      <c r="M105" s="147" t="s">
        <v>3</v>
      </c>
      <c r="N105" s="148" t="s">
        <v>48</v>
      </c>
      <c r="O105" s="55"/>
      <c r="P105" s="149">
        <f>O105*H105</f>
        <v>0</v>
      </c>
      <c r="Q105" s="149">
        <v>4.3839999999999999E-3</v>
      </c>
      <c r="R105" s="149">
        <f>Q105*H105</f>
        <v>7.0582400000000003E-2</v>
      </c>
      <c r="S105" s="149">
        <v>0</v>
      </c>
      <c r="T105" s="150">
        <f>S105*H105</f>
        <v>0</v>
      </c>
      <c r="U105" s="34"/>
      <c r="V105" s="34"/>
      <c r="W105" s="34"/>
      <c r="X105" s="34"/>
      <c r="Y105" s="34"/>
      <c r="Z105" s="34"/>
      <c r="AA105" s="34"/>
      <c r="AB105" s="34"/>
      <c r="AC105" s="34"/>
      <c r="AD105" s="34"/>
      <c r="AE105" s="34"/>
      <c r="AR105" s="151" t="s">
        <v>185</v>
      </c>
      <c r="AT105" s="151" t="s">
        <v>180</v>
      </c>
      <c r="AU105" s="151" t="s">
        <v>87</v>
      </c>
      <c r="AY105" s="19" t="s">
        <v>177</v>
      </c>
      <c r="BE105" s="152">
        <f>IF(N105="základní",J105,0)</f>
        <v>0</v>
      </c>
      <c r="BF105" s="152">
        <f>IF(N105="snížená",J105,0)</f>
        <v>0</v>
      </c>
      <c r="BG105" s="152">
        <f>IF(N105="zákl. přenesená",J105,0)</f>
        <v>0</v>
      </c>
      <c r="BH105" s="152">
        <f>IF(N105="sníž. přenesená",J105,0)</f>
        <v>0</v>
      </c>
      <c r="BI105" s="152">
        <f>IF(N105="nulová",J105,0)</f>
        <v>0</v>
      </c>
      <c r="BJ105" s="19" t="s">
        <v>85</v>
      </c>
      <c r="BK105" s="152">
        <f>ROUND(I105*H105,2)</f>
        <v>0</v>
      </c>
      <c r="BL105" s="19" t="s">
        <v>185</v>
      </c>
      <c r="BM105" s="151" t="s">
        <v>3105</v>
      </c>
    </row>
    <row r="106" spans="1:65" s="2" customFormat="1">
      <c r="A106" s="34"/>
      <c r="B106" s="35"/>
      <c r="C106" s="34"/>
      <c r="D106" s="153" t="s">
        <v>187</v>
      </c>
      <c r="E106" s="34"/>
      <c r="F106" s="154" t="s">
        <v>3106</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187</v>
      </c>
      <c r="AU106" s="19" t="s">
        <v>87</v>
      </c>
    </row>
    <row r="107" spans="1:65" s="2" customFormat="1">
      <c r="A107" s="34"/>
      <c r="B107" s="35"/>
      <c r="C107" s="34"/>
      <c r="D107" s="158" t="s">
        <v>189</v>
      </c>
      <c r="E107" s="34"/>
      <c r="F107" s="159" t="s">
        <v>3107</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189</v>
      </c>
      <c r="AU107" s="19" t="s">
        <v>87</v>
      </c>
    </row>
    <row r="108" spans="1:65" s="2" customFormat="1" ht="29.25">
      <c r="A108" s="34"/>
      <c r="B108" s="35"/>
      <c r="C108" s="34"/>
      <c r="D108" s="153" t="s">
        <v>191</v>
      </c>
      <c r="E108" s="34"/>
      <c r="F108" s="160" t="s">
        <v>639</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191</v>
      </c>
      <c r="AU108" s="19" t="s">
        <v>87</v>
      </c>
    </row>
    <row r="109" spans="1:65" s="2" customFormat="1" ht="16.5" customHeight="1">
      <c r="A109" s="34"/>
      <c r="B109" s="139"/>
      <c r="C109" s="140" t="s">
        <v>198</v>
      </c>
      <c r="D109" s="140" t="s">
        <v>180</v>
      </c>
      <c r="E109" s="141" t="s">
        <v>3108</v>
      </c>
      <c r="F109" s="142" t="s">
        <v>3109</v>
      </c>
      <c r="G109" s="143" t="s">
        <v>332</v>
      </c>
      <c r="H109" s="144">
        <v>16.100000000000001</v>
      </c>
      <c r="I109" s="145"/>
      <c r="J109" s="146">
        <f>ROUND(I109*H109,2)</f>
        <v>0</v>
      </c>
      <c r="K109" s="142" t="s">
        <v>184</v>
      </c>
      <c r="L109" s="35"/>
      <c r="M109" s="147" t="s">
        <v>3</v>
      </c>
      <c r="N109" s="148" t="s">
        <v>48</v>
      </c>
      <c r="O109" s="55"/>
      <c r="P109" s="149">
        <f>O109*H109</f>
        <v>0</v>
      </c>
      <c r="Q109" s="149">
        <v>1.8380000000000001E-2</v>
      </c>
      <c r="R109" s="149">
        <f>Q109*H109</f>
        <v>0.29591800000000001</v>
      </c>
      <c r="S109" s="149">
        <v>0</v>
      </c>
      <c r="T109" s="150">
        <f>S109*H109</f>
        <v>0</v>
      </c>
      <c r="U109" s="34"/>
      <c r="V109" s="34"/>
      <c r="W109" s="34"/>
      <c r="X109" s="34"/>
      <c r="Y109" s="34"/>
      <c r="Z109" s="34"/>
      <c r="AA109" s="34"/>
      <c r="AB109" s="34"/>
      <c r="AC109" s="34"/>
      <c r="AD109" s="34"/>
      <c r="AE109" s="34"/>
      <c r="AR109" s="151" t="s">
        <v>185</v>
      </c>
      <c r="AT109" s="151" t="s">
        <v>180</v>
      </c>
      <c r="AU109" s="151" t="s">
        <v>87</v>
      </c>
      <c r="AY109" s="19" t="s">
        <v>177</v>
      </c>
      <c r="BE109" s="152">
        <f>IF(N109="základní",J109,0)</f>
        <v>0</v>
      </c>
      <c r="BF109" s="152">
        <f>IF(N109="snížená",J109,0)</f>
        <v>0</v>
      </c>
      <c r="BG109" s="152">
        <f>IF(N109="zákl. přenesená",J109,0)</f>
        <v>0</v>
      </c>
      <c r="BH109" s="152">
        <f>IF(N109="sníž. přenesená",J109,0)</f>
        <v>0</v>
      </c>
      <c r="BI109" s="152">
        <f>IF(N109="nulová",J109,0)</f>
        <v>0</v>
      </c>
      <c r="BJ109" s="19" t="s">
        <v>85</v>
      </c>
      <c r="BK109" s="152">
        <f>ROUND(I109*H109,2)</f>
        <v>0</v>
      </c>
      <c r="BL109" s="19" t="s">
        <v>185</v>
      </c>
      <c r="BM109" s="151" t="s">
        <v>3110</v>
      </c>
    </row>
    <row r="110" spans="1:65" s="2" customFormat="1" ht="19.5">
      <c r="A110" s="34"/>
      <c r="B110" s="35"/>
      <c r="C110" s="34"/>
      <c r="D110" s="153" t="s">
        <v>187</v>
      </c>
      <c r="E110" s="34"/>
      <c r="F110" s="154" t="s">
        <v>3111</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187</v>
      </c>
      <c r="AU110" s="19" t="s">
        <v>87</v>
      </c>
    </row>
    <row r="111" spans="1:65" s="2" customFormat="1">
      <c r="A111" s="34"/>
      <c r="B111" s="35"/>
      <c r="C111" s="34"/>
      <c r="D111" s="158" t="s">
        <v>189</v>
      </c>
      <c r="E111" s="34"/>
      <c r="F111" s="159" t="s">
        <v>3112</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189</v>
      </c>
      <c r="AU111" s="19" t="s">
        <v>87</v>
      </c>
    </row>
    <row r="112" spans="1:65" s="2" customFormat="1" ht="48.75">
      <c r="A112" s="34"/>
      <c r="B112" s="35"/>
      <c r="C112" s="34"/>
      <c r="D112" s="153" t="s">
        <v>191</v>
      </c>
      <c r="E112" s="34"/>
      <c r="F112" s="160" t="s">
        <v>2127</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191</v>
      </c>
      <c r="AU112" s="19" t="s">
        <v>87</v>
      </c>
    </row>
    <row r="113" spans="1:65" s="13" customFormat="1">
      <c r="B113" s="161"/>
      <c r="D113" s="153" t="s">
        <v>193</v>
      </c>
      <c r="E113" s="162" t="s">
        <v>3</v>
      </c>
      <c r="F113" s="163" t="s">
        <v>3113</v>
      </c>
      <c r="H113" s="164">
        <v>16.100000000000001</v>
      </c>
      <c r="I113" s="165"/>
      <c r="L113" s="161"/>
      <c r="M113" s="166"/>
      <c r="N113" s="167"/>
      <c r="O113" s="167"/>
      <c r="P113" s="167"/>
      <c r="Q113" s="167"/>
      <c r="R113" s="167"/>
      <c r="S113" s="167"/>
      <c r="T113" s="168"/>
      <c r="AT113" s="162" t="s">
        <v>193</v>
      </c>
      <c r="AU113" s="162" t="s">
        <v>87</v>
      </c>
      <c r="AV113" s="13" t="s">
        <v>87</v>
      </c>
      <c r="AW113" s="13" t="s">
        <v>36</v>
      </c>
      <c r="AX113" s="13" t="s">
        <v>85</v>
      </c>
      <c r="AY113" s="162" t="s">
        <v>177</v>
      </c>
    </row>
    <row r="114" spans="1:65" s="2" customFormat="1" ht="16.5" customHeight="1">
      <c r="A114" s="34"/>
      <c r="B114" s="139"/>
      <c r="C114" s="140" t="s">
        <v>185</v>
      </c>
      <c r="D114" s="140" t="s">
        <v>180</v>
      </c>
      <c r="E114" s="141" t="s">
        <v>3114</v>
      </c>
      <c r="F114" s="142" t="s">
        <v>3115</v>
      </c>
      <c r="G114" s="143" t="s">
        <v>332</v>
      </c>
      <c r="H114" s="144">
        <v>32.200000000000003</v>
      </c>
      <c r="I114" s="145"/>
      <c r="J114" s="146">
        <f>ROUND(I114*H114,2)</f>
        <v>0</v>
      </c>
      <c r="K114" s="142" t="s">
        <v>184</v>
      </c>
      <c r="L114" s="35"/>
      <c r="M114" s="147" t="s">
        <v>3</v>
      </c>
      <c r="N114" s="148" t="s">
        <v>48</v>
      </c>
      <c r="O114" s="55"/>
      <c r="P114" s="149">
        <f>O114*H114</f>
        <v>0</v>
      </c>
      <c r="Q114" s="149">
        <v>7.9000000000000008E-3</v>
      </c>
      <c r="R114" s="149">
        <f>Q114*H114</f>
        <v>0.25438000000000005</v>
      </c>
      <c r="S114" s="149">
        <v>0</v>
      </c>
      <c r="T114" s="150">
        <f>S114*H114</f>
        <v>0</v>
      </c>
      <c r="U114" s="34"/>
      <c r="V114" s="34"/>
      <c r="W114" s="34"/>
      <c r="X114" s="34"/>
      <c r="Y114" s="34"/>
      <c r="Z114" s="34"/>
      <c r="AA114" s="34"/>
      <c r="AB114" s="34"/>
      <c r="AC114" s="34"/>
      <c r="AD114" s="34"/>
      <c r="AE114" s="34"/>
      <c r="AR114" s="151" t="s">
        <v>185</v>
      </c>
      <c r="AT114" s="151" t="s">
        <v>180</v>
      </c>
      <c r="AU114" s="151" t="s">
        <v>87</v>
      </c>
      <c r="AY114" s="19" t="s">
        <v>177</v>
      </c>
      <c r="BE114" s="152">
        <f>IF(N114="základní",J114,0)</f>
        <v>0</v>
      </c>
      <c r="BF114" s="152">
        <f>IF(N114="snížená",J114,0)</f>
        <v>0</v>
      </c>
      <c r="BG114" s="152">
        <f>IF(N114="zákl. přenesená",J114,0)</f>
        <v>0</v>
      </c>
      <c r="BH114" s="152">
        <f>IF(N114="sníž. přenesená",J114,0)</f>
        <v>0</v>
      </c>
      <c r="BI114" s="152">
        <f>IF(N114="nulová",J114,0)</f>
        <v>0</v>
      </c>
      <c r="BJ114" s="19" t="s">
        <v>85</v>
      </c>
      <c r="BK114" s="152">
        <f>ROUND(I114*H114,2)</f>
        <v>0</v>
      </c>
      <c r="BL114" s="19" t="s">
        <v>185</v>
      </c>
      <c r="BM114" s="151" t="s">
        <v>3116</v>
      </c>
    </row>
    <row r="115" spans="1:65" s="2" customFormat="1" ht="19.5">
      <c r="A115" s="34"/>
      <c r="B115" s="35"/>
      <c r="C115" s="34"/>
      <c r="D115" s="153" t="s">
        <v>187</v>
      </c>
      <c r="E115" s="34"/>
      <c r="F115" s="154" t="s">
        <v>3117</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187</v>
      </c>
      <c r="AU115" s="19" t="s">
        <v>87</v>
      </c>
    </row>
    <row r="116" spans="1:65" s="2" customFormat="1">
      <c r="A116" s="34"/>
      <c r="B116" s="35"/>
      <c r="C116" s="34"/>
      <c r="D116" s="158" t="s">
        <v>189</v>
      </c>
      <c r="E116" s="34"/>
      <c r="F116" s="159" t="s">
        <v>3118</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189</v>
      </c>
      <c r="AU116" s="19" t="s">
        <v>87</v>
      </c>
    </row>
    <row r="117" spans="1:65" s="2" customFormat="1" ht="48.75">
      <c r="A117" s="34"/>
      <c r="B117" s="35"/>
      <c r="C117" s="34"/>
      <c r="D117" s="153" t="s">
        <v>191</v>
      </c>
      <c r="E117" s="34"/>
      <c r="F117" s="160" t="s">
        <v>2127</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191</v>
      </c>
      <c r="AU117" s="19" t="s">
        <v>87</v>
      </c>
    </row>
    <row r="118" spans="1:65" s="13" customFormat="1">
      <c r="B118" s="161"/>
      <c r="D118" s="153" t="s">
        <v>193</v>
      </c>
      <c r="E118" s="162" t="s">
        <v>3</v>
      </c>
      <c r="F118" s="163" t="s">
        <v>3119</v>
      </c>
      <c r="H118" s="164">
        <v>32.200000000000003</v>
      </c>
      <c r="I118" s="165"/>
      <c r="L118" s="161"/>
      <c r="M118" s="166"/>
      <c r="N118" s="167"/>
      <c r="O118" s="167"/>
      <c r="P118" s="167"/>
      <c r="Q118" s="167"/>
      <c r="R118" s="167"/>
      <c r="S118" s="167"/>
      <c r="T118" s="168"/>
      <c r="AT118" s="162" t="s">
        <v>193</v>
      </c>
      <c r="AU118" s="162" t="s">
        <v>87</v>
      </c>
      <c r="AV118" s="13" t="s">
        <v>87</v>
      </c>
      <c r="AW118" s="13" t="s">
        <v>36</v>
      </c>
      <c r="AX118" s="13" t="s">
        <v>85</v>
      </c>
      <c r="AY118" s="162" t="s">
        <v>177</v>
      </c>
    </row>
    <row r="119" spans="1:65" s="2" customFormat="1" ht="16.5" customHeight="1">
      <c r="A119" s="34"/>
      <c r="B119" s="139"/>
      <c r="C119" s="140" t="s">
        <v>200</v>
      </c>
      <c r="D119" s="140" t="s">
        <v>180</v>
      </c>
      <c r="E119" s="141" t="s">
        <v>3120</v>
      </c>
      <c r="F119" s="142" t="s">
        <v>3121</v>
      </c>
      <c r="G119" s="143" t="s">
        <v>236</v>
      </c>
      <c r="H119" s="144">
        <v>116</v>
      </c>
      <c r="I119" s="145"/>
      <c r="J119" s="146">
        <f>ROUND(I119*H119,2)</f>
        <v>0</v>
      </c>
      <c r="K119" s="142" t="s">
        <v>244</v>
      </c>
      <c r="L119" s="35"/>
      <c r="M119" s="147" t="s">
        <v>3</v>
      </c>
      <c r="N119" s="148" t="s">
        <v>48</v>
      </c>
      <c r="O119" s="55"/>
      <c r="P119" s="149">
        <f>O119*H119</f>
        <v>0</v>
      </c>
      <c r="Q119" s="149">
        <v>0</v>
      </c>
      <c r="R119" s="149">
        <f>Q119*H119</f>
        <v>0</v>
      </c>
      <c r="S119" s="149">
        <v>0</v>
      </c>
      <c r="T119" s="150">
        <f>S119*H119</f>
        <v>0</v>
      </c>
      <c r="U119" s="34"/>
      <c r="V119" s="34"/>
      <c r="W119" s="34"/>
      <c r="X119" s="34"/>
      <c r="Y119" s="34"/>
      <c r="Z119" s="34"/>
      <c r="AA119" s="34"/>
      <c r="AB119" s="34"/>
      <c r="AC119" s="34"/>
      <c r="AD119" s="34"/>
      <c r="AE119" s="34"/>
      <c r="AR119" s="151" t="s">
        <v>185</v>
      </c>
      <c r="AT119" s="151" t="s">
        <v>180</v>
      </c>
      <c r="AU119" s="151" t="s">
        <v>87</v>
      </c>
      <c r="AY119" s="19" t="s">
        <v>177</v>
      </c>
      <c r="BE119" s="152">
        <f>IF(N119="základní",J119,0)</f>
        <v>0</v>
      </c>
      <c r="BF119" s="152">
        <f>IF(N119="snížená",J119,0)</f>
        <v>0</v>
      </c>
      <c r="BG119" s="152">
        <f>IF(N119="zákl. přenesená",J119,0)</f>
        <v>0</v>
      </c>
      <c r="BH119" s="152">
        <f>IF(N119="sníž. přenesená",J119,0)</f>
        <v>0</v>
      </c>
      <c r="BI119" s="152">
        <f>IF(N119="nulová",J119,0)</f>
        <v>0</v>
      </c>
      <c r="BJ119" s="19" t="s">
        <v>85</v>
      </c>
      <c r="BK119" s="152">
        <f>ROUND(I119*H119,2)</f>
        <v>0</v>
      </c>
      <c r="BL119" s="19" t="s">
        <v>185</v>
      </c>
      <c r="BM119" s="151" t="s">
        <v>3122</v>
      </c>
    </row>
    <row r="120" spans="1:65" s="2" customFormat="1">
      <c r="A120" s="34"/>
      <c r="B120" s="35"/>
      <c r="C120" s="34"/>
      <c r="D120" s="153" t="s">
        <v>187</v>
      </c>
      <c r="E120" s="34"/>
      <c r="F120" s="154" t="s">
        <v>3121</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187</v>
      </c>
      <c r="AU120" s="19" t="s">
        <v>87</v>
      </c>
    </row>
    <row r="121" spans="1:65" s="14" customFormat="1">
      <c r="B121" s="169"/>
      <c r="D121" s="153" t="s">
        <v>193</v>
      </c>
      <c r="E121" s="170" t="s">
        <v>3</v>
      </c>
      <c r="F121" s="171" t="s">
        <v>779</v>
      </c>
      <c r="H121" s="170" t="s">
        <v>3</v>
      </c>
      <c r="I121" s="172"/>
      <c r="L121" s="169"/>
      <c r="M121" s="173"/>
      <c r="N121" s="174"/>
      <c r="O121" s="174"/>
      <c r="P121" s="174"/>
      <c r="Q121" s="174"/>
      <c r="R121" s="174"/>
      <c r="S121" s="174"/>
      <c r="T121" s="175"/>
      <c r="AT121" s="170" t="s">
        <v>193</v>
      </c>
      <c r="AU121" s="170" t="s">
        <v>87</v>
      </c>
      <c r="AV121" s="14" t="s">
        <v>85</v>
      </c>
      <c r="AW121" s="14" t="s">
        <v>36</v>
      </c>
      <c r="AX121" s="14" t="s">
        <v>77</v>
      </c>
      <c r="AY121" s="170" t="s">
        <v>177</v>
      </c>
    </row>
    <row r="122" spans="1:65" s="13" customFormat="1">
      <c r="B122" s="161"/>
      <c r="D122" s="153" t="s">
        <v>193</v>
      </c>
      <c r="E122" s="162" t="s">
        <v>3</v>
      </c>
      <c r="F122" s="163" t="s">
        <v>3123</v>
      </c>
      <c r="H122" s="164">
        <v>8</v>
      </c>
      <c r="I122" s="165"/>
      <c r="L122" s="161"/>
      <c r="M122" s="166"/>
      <c r="N122" s="167"/>
      <c r="O122" s="167"/>
      <c r="P122" s="167"/>
      <c r="Q122" s="167"/>
      <c r="R122" s="167"/>
      <c r="S122" s="167"/>
      <c r="T122" s="168"/>
      <c r="AT122" s="162" t="s">
        <v>193</v>
      </c>
      <c r="AU122" s="162" t="s">
        <v>87</v>
      </c>
      <c r="AV122" s="13" t="s">
        <v>87</v>
      </c>
      <c r="AW122" s="13" t="s">
        <v>36</v>
      </c>
      <c r="AX122" s="13" t="s">
        <v>77</v>
      </c>
      <c r="AY122" s="162" t="s">
        <v>177</v>
      </c>
    </row>
    <row r="123" spans="1:65" s="13" customFormat="1">
      <c r="B123" s="161"/>
      <c r="D123" s="153" t="s">
        <v>193</v>
      </c>
      <c r="E123" s="162" t="s">
        <v>3</v>
      </c>
      <c r="F123" s="163" t="s">
        <v>3124</v>
      </c>
      <c r="H123" s="164">
        <v>11</v>
      </c>
      <c r="I123" s="165"/>
      <c r="L123" s="161"/>
      <c r="M123" s="166"/>
      <c r="N123" s="167"/>
      <c r="O123" s="167"/>
      <c r="P123" s="167"/>
      <c r="Q123" s="167"/>
      <c r="R123" s="167"/>
      <c r="S123" s="167"/>
      <c r="T123" s="168"/>
      <c r="AT123" s="162" t="s">
        <v>193</v>
      </c>
      <c r="AU123" s="162" t="s">
        <v>87</v>
      </c>
      <c r="AV123" s="13" t="s">
        <v>87</v>
      </c>
      <c r="AW123" s="13" t="s">
        <v>36</v>
      </c>
      <c r="AX123" s="13" t="s">
        <v>77</v>
      </c>
      <c r="AY123" s="162" t="s">
        <v>177</v>
      </c>
    </row>
    <row r="124" spans="1:65" s="13" customFormat="1">
      <c r="B124" s="161"/>
      <c r="D124" s="153" t="s">
        <v>193</v>
      </c>
      <c r="E124" s="162" t="s">
        <v>3</v>
      </c>
      <c r="F124" s="163" t="s">
        <v>3125</v>
      </c>
      <c r="H124" s="164">
        <v>8</v>
      </c>
      <c r="I124" s="165"/>
      <c r="L124" s="161"/>
      <c r="M124" s="166"/>
      <c r="N124" s="167"/>
      <c r="O124" s="167"/>
      <c r="P124" s="167"/>
      <c r="Q124" s="167"/>
      <c r="R124" s="167"/>
      <c r="S124" s="167"/>
      <c r="T124" s="168"/>
      <c r="AT124" s="162" t="s">
        <v>193</v>
      </c>
      <c r="AU124" s="162" t="s">
        <v>87</v>
      </c>
      <c r="AV124" s="13" t="s">
        <v>87</v>
      </c>
      <c r="AW124" s="13" t="s">
        <v>36</v>
      </c>
      <c r="AX124" s="13" t="s">
        <v>77</v>
      </c>
      <c r="AY124" s="162" t="s">
        <v>177</v>
      </c>
    </row>
    <row r="125" spans="1:65" s="13" customFormat="1">
      <c r="B125" s="161"/>
      <c r="D125" s="153" t="s">
        <v>193</v>
      </c>
      <c r="E125" s="162" t="s">
        <v>3</v>
      </c>
      <c r="F125" s="163" t="s">
        <v>3126</v>
      </c>
      <c r="H125" s="164">
        <v>12</v>
      </c>
      <c r="I125" s="165"/>
      <c r="L125" s="161"/>
      <c r="M125" s="166"/>
      <c r="N125" s="167"/>
      <c r="O125" s="167"/>
      <c r="P125" s="167"/>
      <c r="Q125" s="167"/>
      <c r="R125" s="167"/>
      <c r="S125" s="167"/>
      <c r="T125" s="168"/>
      <c r="AT125" s="162" t="s">
        <v>193</v>
      </c>
      <c r="AU125" s="162" t="s">
        <v>87</v>
      </c>
      <c r="AV125" s="13" t="s">
        <v>87</v>
      </c>
      <c r="AW125" s="13" t="s">
        <v>36</v>
      </c>
      <c r="AX125" s="13" t="s">
        <v>77</v>
      </c>
      <c r="AY125" s="162" t="s">
        <v>177</v>
      </c>
    </row>
    <row r="126" spans="1:65" s="13" customFormat="1">
      <c r="B126" s="161"/>
      <c r="D126" s="153" t="s">
        <v>193</v>
      </c>
      <c r="E126" s="162" t="s">
        <v>3</v>
      </c>
      <c r="F126" s="163" t="s">
        <v>3127</v>
      </c>
      <c r="H126" s="164">
        <v>10</v>
      </c>
      <c r="I126" s="165"/>
      <c r="L126" s="161"/>
      <c r="M126" s="166"/>
      <c r="N126" s="167"/>
      <c r="O126" s="167"/>
      <c r="P126" s="167"/>
      <c r="Q126" s="167"/>
      <c r="R126" s="167"/>
      <c r="S126" s="167"/>
      <c r="T126" s="168"/>
      <c r="AT126" s="162" t="s">
        <v>193</v>
      </c>
      <c r="AU126" s="162" t="s">
        <v>87</v>
      </c>
      <c r="AV126" s="13" t="s">
        <v>87</v>
      </c>
      <c r="AW126" s="13" t="s">
        <v>36</v>
      </c>
      <c r="AX126" s="13" t="s">
        <v>77</v>
      </c>
      <c r="AY126" s="162" t="s">
        <v>177</v>
      </c>
    </row>
    <row r="127" spans="1:65" s="13" customFormat="1">
      <c r="B127" s="161"/>
      <c r="D127" s="153" t="s">
        <v>193</v>
      </c>
      <c r="E127" s="162" t="s">
        <v>3</v>
      </c>
      <c r="F127" s="163" t="s">
        <v>3128</v>
      </c>
      <c r="H127" s="164">
        <v>5</v>
      </c>
      <c r="I127" s="165"/>
      <c r="L127" s="161"/>
      <c r="M127" s="166"/>
      <c r="N127" s="167"/>
      <c r="O127" s="167"/>
      <c r="P127" s="167"/>
      <c r="Q127" s="167"/>
      <c r="R127" s="167"/>
      <c r="S127" s="167"/>
      <c r="T127" s="168"/>
      <c r="AT127" s="162" t="s">
        <v>193</v>
      </c>
      <c r="AU127" s="162" t="s">
        <v>87</v>
      </c>
      <c r="AV127" s="13" t="s">
        <v>87</v>
      </c>
      <c r="AW127" s="13" t="s">
        <v>36</v>
      </c>
      <c r="AX127" s="13" t="s">
        <v>77</v>
      </c>
      <c r="AY127" s="162" t="s">
        <v>177</v>
      </c>
    </row>
    <row r="128" spans="1:65" s="15" customFormat="1">
      <c r="B128" s="176"/>
      <c r="D128" s="153" t="s">
        <v>193</v>
      </c>
      <c r="E128" s="177" t="s">
        <v>3</v>
      </c>
      <c r="F128" s="178" t="s">
        <v>197</v>
      </c>
      <c r="H128" s="179">
        <v>54</v>
      </c>
      <c r="I128" s="180"/>
      <c r="L128" s="176"/>
      <c r="M128" s="181"/>
      <c r="N128" s="182"/>
      <c r="O128" s="182"/>
      <c r="P128" s="182"/>
      <c r="Q128" s="182"/>
      <c r="R128" s="182"/>
      <c r="S128" s="182"/>
      <c r="T128" s="183"/>
      <c r="AT128" s="177" t="s">
        <v>193</v>
      </c>
      <c r="AU128" s="177" t="s">
        <v>87</v>
      </c>
      <c r="AV128" s="15" t="s">
        <v>198</v>
      </c>
      <c r="AW128" s="15" t="s">
        <v>36</v>
      </c>
      <c r="AX128" s="15" t="s">
        <v>77</v>
      </c>
      <c r="AY128" s="177" t="s">
        <v>177</v>
      </c>
    </row>
    <row r="129" spans="1:65" s="14" customFormat="1">
      <c r="B129" s="169"/>
      <c r="D129" s="153" t="s">
        <v>193</v>
      </c>
      <c r="E129" s="170" t="s">
        <v>3</v>
      </c>
      <c r="F129" s="171" t="s">
        <v>931</v>
      </c>
      <c r="H129" s="170" t="s">
        <v>3</v>
      </c>
      <c r="I129" s="172"/>
      <c r="L129" s="169"/>
      <c r="M129" s="173"/>
      <c r="N129" s="174"/>
      <c r="O129" s="174"/>
      <c r="P129" s="174"/>
      <c r="Q129" s="174"/>
      <c r="R129" s="174"/>
      <c r="S129" s="174"/>
      <c r="T129" s="175"/>
      <c r="AT129" s="170" t="s">
        <v>193</v>
      </c>
      <c r="AU129" s="170" t="s">
        <v>87</v>
      </c>
      <c r="AV129" s="14" t="s">
        <v>85</v>
      </c>
      <c r="AW129" s="14" t="s">
        <v>36</v>
      </c>
      <c r="AX129" s="14" t="s">
        <v>77</v>
      </c>
      <c r="AY129" s="170" t="s">
        <v>177</v>
      </c>
    </row>
    <row r="130" spans="1:65" s="13" customFormat="1">
      <c r="B130" s="161"/>
      <c r="D130" s="153" t="s">
        <v>193</v>
      </c>
      <c r="E130" s="162" t="s">
        <v>3</v>
      </c>
      <c r="F130" s="163" t="s">
        <v>3129</v>
      </c>
      <c r="H130" s="164">
        <v>15</v>
      </c>
      <c r="I130" s="165"/>
      <c r="L130" s="161"/>
      <c r="M130" s="166"/>
      <c r="N130" s="167"/>
      <c r="O130" s="167"/>
      <c r="P130" s="167"/>
      <c r="Q130" s="167"/>
      <c r="R130" s="167"/>
      <c r="S130" s="167"/>
      <c r="T130" s="168"/>
      <c r="AT130" s="162" t="s">
        <v>193</v>
      </c>
      <c r="AU130" s="162" t="s">
        <v>87</v>
      </c>
      <c r="AV130" s="13" t="s">
        <v>87</v>
      </c>
      <c r="AW130" s="13" t="s">
        <v>36</v>
      </c>
      <c r="AX130" s="13" t="s">
        <v>77</v>
      </c>
      <c r="AY130" s="162" t="s">
        <v>177</v>
      </c>
    </row>
    <row r="131" spans="1:65" s="13" customFormat="1">
      <c r="B131" s="161"/>
      <c r="D131" s="153" t="s">
        <v>193</v>
      </c>
      <c r="E131" s="162" t="s">
        <v>3</v>
      </c>
      <c r="F131" s="163" t="s">
        <v>3130</v>
      </c>
      <c r="H131" s="164">
        <v>12</v>
      </c>
      <c r="I131" s="165"/>
      <c r="L131" s="161"/>
      <c r="M131" s="166"/>
      <c r="N131" s="167"/>
      <c r="O131" s="167"/>
      <c r="P131" s="167"/>
      <c r="Q131" s="167"/>
      <c r="R131" s="167"/>
      <c r="S131" s="167"/>
      <c r="T131" s="168"/>
      <c r="AT131" s="162" t="s">
        <v>193</v>
      </c>
      <c r="AU131" s="162" t="s">
        <v>87</v>
      </c>
      <c r="AV131" s="13" t="s">
        <v>87</v>
      </c>
      <c r="AW131" s="13" t="s">
        <v>36</v>
      </c>
      <c r="AX131" s="13" t="s">
        <v>77</v>
      </c>
      <c r="AY131" s="162" t="s">
        <v>177</v>
      </c>
    </row>
    <row r="132" spans="1:65" s="13" customFormat="1">
      <c r="B132" s="161"/>
      <c r="D132" s="153" t="s">
        <v>193</v>
      </c>
      <c r="E132" s="162" t="s">
        <v>3</v>
      </c>
      <c r="F132" s="163" t="s">
        <v>198</v>
      </c>
      <c r="H132" s="164">
        <v>3</v>
      </c>
      <c r="I132" s="165"/>
      <c r="L132" s="161"/>
      <c r="M132" s="166"/>
      <c r="N132" s="167"/>
      <c r="O132" s="167"/>
      <c r="P132" s="167"/>
      <c r="Q132" s="167"/>
      <c r="R132" s="167"/>
      <c r="S132" s="167"/>
      <c r="T132" s="168"/>
      <c r="AT132" s="162" t="s">
        <v>193</v>
      </c>
      <c r="AU132" s="162" t="s">
        <v>87</v>
      </c>
      <c r="AV132" s="13" t="s">
        <v>87</v>
      </c>
      <c r="AW132" s="13" t="s">
        <v>36</v>
      </c>
      <c r="AX132" s="13" t="s">
        <v>77</v>
      </c>
      <c r="AY132" s="162" t="s">
        <v>177</v>
      </c>
    </row>
    <row r="133" spans="1:65" s="15" customFormat="1">
      <c r="B133" s="176"/>
      <c r="D133" s="153" t="s">
        <v>193</v>
      </c>
      <c r="E133" s="177" t="s">
        <v>3</v>
      </c>
      <c r="F133" s="178" t="s">
        <v>197</v>
      </c>
      <c r="H133" s="179">
        <v>30</v>
      </c>
      <c r="I133" s="180"/>
      <c r="L133" s="176"/>
      <c r="M133" s="181"/>
      <c r="N133" s="182"/>
      <c r="O133" s="182"/>
      <c r="P133" s="182"/>
      <c r="Q133" s="182"/>
      <c r="R133" s="182"/>
      <c r="S133" s="182"/>
      <c r="T133" s="183"/>
      <c r="AT133" s="177" t="s">
        <v>193</v>
      </c>
      <c r="AU133" s="177" t="s">
        <v>87</v>
      </c>
      <c r="AV133" s="15" t="s">
        <v>198</v>
      </c>
      <c r="AW133" s="15" t="s">
        <v>36</v>
      </c>
      <c r="AX133" s="15" t="s">
        <v>77</v>
      </c>
      <c r="AY133" s="177" t="s">
        <v>177</v>
      </c>
    </row>
    <row r="134" spans="1:65" s="14" customFormat="1">
      <c r="B134" s="169"/>
      <c r="D134" s="153" t="s">
        <v>193</v>
      </c>
      <c r="E134" s="170" t="s">
        <v>3</v>
      </c>
      <c r="F134" s="171" t="s">
        <v>939</v>
      </c>
      <c r="H134" s="170" t="s">
        <v>3</v>
      </c>
      <c r="I134" s="172"/>
      <c r="L134" s="169"/>
      <c r="M134" s="173"/>
      <c r="N134" s="174"/>
      <c r="O134" s="174"/>
      <c r="P134" s="174"/>
      <c r="Q134" s="174"/>
      <c r="R134" s="174"/>
      <c r="S134" s="174"/>
      <c r="T134" s="175"/>
      <c r="AT134" s="170" t="s">
        <v>193</v>
      </c>
      <c r="AU134" s="170" t="s">
        <v>87</v>
      </c>
      <c r="AV134" s="14" t="s">
        <v>85</v>
      </c>
      <c r="AW134" s="14" t="s">
        <v>36</v>
      </c>
      <c r="AX134" s="14" t="s">
        <v>77</v>
      </c>
      <c r="AY134" s="170" t="s">
        <v>177</v>
      </c>
    </row>
    <row r="135" spans="1:65" s="13" customFormat="1">
      <c r="B135" s="161"/>
      <c r="D135" s="153" t="s">
        <v>193</v>
      </c>
      <c r="E135" s="162" t="s">
        <v>3</v>
      </c>
      <c r="F135" s="163" t="s">
        <v>3131</v>
      </c>
      <c r="H135" s="164">
        <v>12</v>
      </c>
      <c r="I135" s="165"/>
      <c r="L135" s="161"/>
      <c r="M135" s="166"/>
      <c r="N135" s="167"/>
      <c r="O135" s="167"/>
      <c r="P135" s="167"/>
      <c r="Q135" s="167"/>
      <c r="R135" s="167"/>
      <c r="S135" s="167"/>
      <c r="T135" s="168"/>
      <c r="AT135" s="162" t="s">
        <v>193</v>
      </c>
      <c r="AU135" s="162" t="s">
        <v>87</v>
      </c>
      <c r="AV135" s="13" t="s">
        <v>87</v>
      </c>
      <c r="AW135" s="13" t="s">
        <v>36</v>
      </c>
      <c r="AX135" s="13" t="s">
        <v>77</v>
      </c>
      <c r="AY135" s="162" t="s">
        <v>177</v>
      </c>
    </row>
    <row r="136" spans="1:65" s="13" customFormat="1">
      <c r="B136" s="161"/>
      <c r="D136" s="153" t="s">
        <v>193</v>
      </c>
      <c r="E136" s="162" t="s">
        <v>3</v>
      </c>
      <c r="F136" s="163" t="s">
        <v>3132</v>
      </c>
      <c r="H136" s="164">
        <v>10</v>
      </c>
      <c r="I136" s="165"/>
      <c r="L136" s="161"/>
      <c r="M136" s="166"/>
      <c r="N136" s="167"/>
      <c r="O136" s="167"/>
      <c r="P136" s="167"/>
      <c r="Q136" s="167"/>
      <c r="R136" s="167"/>
      <c r="S136" s="167"/>
      <c r="T136" s="168"/>
      <c r="AT136" s="162" t="s">
        <v>193</v>
      </c>
      <c r="AU136" s="162" t="s">
        <v>87</v>
      </c>
      <c r="AV136" s="13" t="s">
        <v>87</v>
      </c>
      <c r="AW136" s="13" t="s">
        <v>36</v>
      </c>
      <c r="AX136" s="13" t="s">
        <v>77</v>
      </c>
      <c r="AY136" s="162" t="s">
        <v>177</v>
      </c>
    </row>
    <row r="137" spans="1:65" s="13" customFormat="1">
      <c r="B137" s="161"/>
      <c r="D137" s="153" t="s">
        <v>193</v>
      </c>
      <c r="E137" s="162" t="s">
        <v>3</v>
      </c>
      <c r="F137" s="163" t="s">
        <v>185</v>
      </c>
      <c r="H137" s="164">
        <v>4</v>
      </c>
      <c r="I137" s="165"/>
      <c r="L137" s="161"/>
      <c r="M137" s="166"/>
      <c r="N137" s="167"/>
      <c r="O137" s="167"/>
      <c r="P137" s="167"/>
      <c r="Q137" s="167"/>
      <c r="R137" s="167"/>
      <c r="S137" s="167"/>
      <c r="T137" s="168"/>
      <c r="AT137" s="162" t="s">
        <v>193</v>
      </c>
      <c r="AU137" s="162" t="s">
        <v>87</v>
      </c>
      <c r="AV137" s="13" t="s">
        <v>87</v>
      </c>
      <c r="AW137" s="13" t="s">
        <v>36</v>
      </c>
      <c r="AX137" s="13" t="s">
        <v>77</v>
      </c>
      <c r="AY137" s="162" t="s">
        <v>177</v>
      </c>
    </row>
    <row r="138" spans="1:65" s="13" customFormat="1">
      <c r="B138" s="161"/>
      <c r="D138" s="153" t="s">
        <v>193</v>
      </c>
      <c r="E138" s="162" t="s">
        <v>3</v>
      </c>
      <c r="F138" s="163" t="s">
        <v>3133</v>
      </c>
      <c r="H138" s="164">
        <v>6</v>
      </c>
      <c r="I138" s="165"/>
      <c r="L138" s="161"/>
      <c r="M138" s="166"/>
      <c r="N138" s="167"/>
      <c r="O138" s="167"/>
      <c r="P138" s="167"/>
      <c r="Q138" s="167"/>
      <c r="R138" s="167"/>
      <c r="S138" s="167"/>
      <c r="T138" s="168"/>
      <c r="AT138" s="162" t="s">
        <v>193</v>
      </c>
      <c r="AU138" s="162" t="s">
        <v>87</v>
      </c>
      <c r="AV138" s="13" t="s">
        <v>87</v>
      </c>
      <c r="AW138" s="13" t="s">
        <v>36</v>
      </c>
      <c r="AX138" s="13" t="s">
        <v>77</v>
      </c>
      <c r="AY138" s="162" t="s">
        <v>177</v>
      </c>
    </row>
    <row r="139" spans="1:65" s="15" customFormat="1">
      <c r="B139" s="176"/>
      <c r="D139" s="153" t="s">
        <v>193</v>
      </c>
      <c r="E139" s="177" t="s">
        <v>3</v>
      </c>
      <c r="F139" s="178" t="s">
        <v>197</v>
      </c>
      <c r="H139" s="179">
        <v>32</v>
      </c>
      <c r="I139" s="180"/>
      <c r="L139" s="176"/>
      <c r="M139" s="181"/>
      <c r="N139" s="182"/>
      <c r="O139" s="182"/>
      <c r="P139" s="182"/>
      <c r="Q139" s="182"/>
      <c r="R139" s="182"/>
      <c r="S139" s="182"/>
      <c r="T139" s="183"/>
      <c r="AT139" s="177" t="s">
        <v>193</v>
      </c>
      <c r="AU139" s="177" t="s">
        <v>87</v>
      </c>
      <c r="AV139" s="15" t="s">
        <v>198</v>
      </c>
      <c r="AW139" s="15" t="s">
        <v>36</v>
      </c>
      <c r="AX139" s="15" t="s">
        <v>77</v>
      </c>
      <c r="AY139" s="177" t="s">
        <v>177</v>
      </c>
    </row>
    <row r="140" spans="1:65" s="16" customFormat="1">
      <c r="B140" s="184"/>
      <c r="D140" s="153" t="s">
        <v>193</v>
      </c>
      <c r="E140" s="185" t="s">
        <v>3</v>
      </c>
      <c r="F140" s="186" t="s">
        <v>201</v>
      </c>
      <c r="H140" s="187">
        <v>116</v>
      </c>
      <c r="I140" s="188"/>
      <c r="L140" s="184"/>
      <c r="M140" s="189"/>
      <c r="N140" s="190"/>
      <c r="O140" s="190"/>
      <c r="P140" s="190"/>
      <c r="Q140" s="190"/>
      <c r="R140" s="190"/>
      <c r="S140" s="190"/>
      <c r="T140" s="191"/>
      <c r="AT140" s="185" t="s">
        <v>193</v>
      </c>
      <c r="AU140" s="185" t="s">
        <v>87</v>
      </c>
      <c r="AV140" s="16" t="s">
        <v>185</v>
      </c>
      <c r="AW140" s="16" t="s">
        <v>36</v>
      </c>
      <c r="AX140" s="16" t="s">
        <v>85</v>
      </c>
      <c r="AY140" s="185" t="s">
        <v>177</v>
      </c>
    </row>
    <row r="141" spans="1:65" s="12" customFormat="1" ht="22.9" customHeight="1">
      <c r="B141" s="126"/>
      <c r="D141" s="127" t="s">
        <v>76</v>
      </c>
      <c r="E141" s="137" t="s">
        <v>252</v>
      </c>
      <c r="F141" s="137" t="s">
        <v>329</v>
      </c>
      <c r="I141" s="129"/>
      <c r="J141" s="138">
        <f>BK141</f>
        <v>0</v>
      </c>
      <c r="L141" s="126"/>
      <c r="M141" s="131"/>
      <c r="N141" s="132"/>
      <c r="O141" s="132"/>
      <c r="P141" s="133">
        <f>SUM(P142:P166)</f>
        <v>0</v>
      </c>
      <c r="Q141" s="132"/>
      <c r="R141" s="133">
        <f>SUM(R142:R166)</f>
        <v>0.33350399999999997</v>
      </c>
      <c r="S141" s="132"/>
      <c r="T141" s="134">
        <f>SUM(T142:T166)</f>
        <v>0</v>
      </c>
      <c r="AR141" s="127" t="s">
        <v>85</v>
      </c>
      <c r="AT141" s="135" t="s">
        <v>76</v>
      </c>
      <c r="AU141" s="135" t="s">
        <v>85</v>
      </c>
      <c r="AY141" s="127" t="s">
        <v>177</v>
      </c>
      <c r="BK141" s="136">
        <f>SUM(BK142:BK166)</f>
        <v>0</v>
      </c>
    </row>
    <row r="142" spans="1:65" s="2" customFormat="1" ht="21.75" customHeight="1">
      <c r="A142" s="34"/>
      <c r="B142" s="139"/>
      <c r="C142" s="140" t="s">
        <v>233</v>
      </c>
      <c r="D142" s="140" t="s">
        <v>180</v>
      </c>
      <c r="E142" s="141" t="s">
        <v>682</v>
      </c>
      <c r="F142" s="142" t="s">
        <v>683</v>
      </c>
      <c r="G142" s="143" t="s">
        <v>332</v>
      </c>
      <c r="H142" s="144">
        <v>969.6</v>
      </c>
      <c r="I142" s="145"/>
      <c r="J142" s="146">
        <f>ROUND(I142*H142,2)</f>
        <v>0</v>
      </c>
      <c r="K142" s="142" t="s">
        <v>184</v>
      </c>
      <c r="L142" s="35"/>
      <c r="M142" s="147" t="s">
        <v>3</v>
      </c>
      <c r="N142" s="148" t="s">
        <v>48</v>
      </c>
      <c r="O142" s="55"/>
      <c r="P142" s="149">
        <f>O142*H142</f>
        <v>0</v>
      </c>
      <c r="Q142" s="149">
        <v>1.2999999999999999E-4</v>
      </c>
      <c r="R142" s="149">
        <f>Q142*H142</f>
        <v>0.12604799999999999</v>
      </c>
      <c r="S142" s="149">
        <v>0</v>
      </c>
      <c r="T142" s="150">
        <f>S142*H142</f>
        <v>0</v>
      </c>
      <c r="U142" s="34"/>
      <c r="V142" s="34"/>
      <c r="W142" s="34"/>
      <c r="X142" s="34"/>
      <c r="Y142" s="34"/>
      <c r="Z142" s="34"/>
      <c r="AA142" s="34"/>
      <c r="AB142" s="34"/>
      <c r="AC142" s="34"/>
      <c r="AD142" s="34"/>
      <c r="AE142" s="34"/>
      <c r="AR142" s="151" t="s">
        <v>185</v>
      </c>
      <c r="AT142" s="151" t="s">
        <v>180</v>
      </c>
      <c r="AU142" s="151" t="s">
        <v>87</v>
      </c>
      <c r="AY142" s="19" t="s">
        <v>177</v>
      </c>
      <c r="BE142" s="152">
        <f>IF(N142="základní",J142,0)</f>
        <v>0</v>
      </c>
      <c r="BF142" s="152">
        <f>IF(N142="snížená",J142,0)</f>
        <v>0</v>
      </c>
      <c r="BG142" s="152">
        <f>IF(N142="zákl. přenesená",J142,0)</f>
        <v>0</v>
      </c>
      <c r="BH142" s="152">
        <f>IF(N142="sníž. přenesená",J142,0)</f>
        <v>0</v>
      </c>
      <c r="BI142" s="152">
        <f>IF(N142="nulová",J142,0)</f>
        <v>0</v>
      </c>
      <c r="BJ142" s="19" t="s">
        <v>85</v>
      </c>
      <c r="BK142" s="152">
        <f>ROUND(I142*H142,2)</f>
        <v>0</v>
      </c>
      <c r="BL142" s="19" t="s">
        <v>185</v>
      </c>
      <c r="BM142" s="151" t="s">
        <v>3134</v>
      </c>
    </row>
    <row r="143" spans="1:65" s="2" customFormat="1">
      <c r="A143" s="34"/>
      <c r="B143" s="35"/>
      <c r="C143" s="34"/>
      <c r="D143" s="153" t="s">
        <v>187</v>
      </c>
      <c r="E143" s="34"/>
      <c r="F143" s="154" t="s">
        <v>685</v>
      </c>
      <c r="G143" s="34"/>
      <c r="H143" s="34"/>
      <c r="I143" s="155"/>
      <c r="J143" s="34"/>
      <c r="K143" s="34"/>
      <c r="L143" s="35"/>
      <c r="M143" s="156"/>
      <c r="N143" s="157"/>
      <c r="O143" s="55"/>
      <c r="P143" s="55"/>
      <c r="Q143" s="55"/>
      <c r="R143" s="55"/>
      <c r="S143" s="55"/>
      <c r="T143" s="56"/>
      <c r="U143" s="34"/>
      <c r="V143" s="34"/>
      <c r="W143" s="34"/>
      <c r="X143" s="34"/>
      <c r="Y143" s="34"/>
      <c r="Z143" s="34"/>
      <c r="AA143" s="34"/>
      <c r="AB143" s="34"/>
      <c r="AC143" s="34"/>
      <c r="AD143" s="34"/>
      <c r="AE143" s="34"/>
      <c r="AT143" s="19" t="s">
        <v>187</v>
      </c>
      <c r="AU143" s="19" t="s">
        <v>87</v>
      </c>
    </row>
    <row r="144" spans="1:65" s="2" customFormat="1">
      <c r="A144" s="34"/>
      <c r="B144" s="35"/>
      <c r="C144" s="34"/>
      <c r="D144" s="158" t="s">
        <v>189</v>
      </c>
      <c r="E144" s="34"/>
      <c r="F144" s="159" t="s">
        <v>686</v>
      </c>
      <c r="G144" s="34"/>
      <c r="H144" s="34"/>
      <c r="I144" s="155"/>
      <c r="J144" s="34"/>
      <c r="K144" s="34"/>
      <c r="L144" s="35"/>
      <c r="M144" s="156"/>
      <c r="N144" s="157"/>
      <c r="O144" s="55"/>
      <c r="P144" s="55"/>
      <c r="Q144" s="55"/>
      <c r="R144" s="55"/>
      <c r="S144" s="55"/>
      <c r="T144" s="56"/>
      <c r="U144" s="34"/>
      <c r="V144" s="34"/>
      <c r="W144" s="34"/>
      <c r="X144" s="34"/>
      <c r="Y144" s="34"/>
      <c r="Z144" s="34"/>
      <c r="AA144" s="34"/>
      <c r="AB144" s="34"/>
      <c r="AC144" s="34"/>
      <c r="AD144" s="34"/>
      <c r="AE144" s="34"/>
      <c r="AT144" s="19" t="s">
        <v>189</v>
      </c>
      <c r="AU144" s="19" t="s">
        <v>87</v>
      </c>
    </row>
    <row r="145" spans="1:65" s="2" customFormat="1" ht="48.75">
      <c r="A145" s="34"/>
      <c r="B145" s="35"/>
      <c r="C145" s="34"/>
      <c r="D145" s="153" t="s">
        <v>191</v>
      </c>
      <c r="E145" s="34"/>
      <c r="F145" s="160" t="s">
        <v>336</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191</v>
      </c>
      <c r="AU145" s="19" t="s">
        <v>87</v>
      </c>
    </row>
    <row r="146" spans="1:65" s="13" customFormat="1">
      <c r="B146" s="161"/>
      <c r="D146" s="153" t="s">
        <v>193</v>
      </c>
      <c r="E146" s="162" t="s">
        <v>3</v>
      </c>
      <c r="F146" s="163" t="s">
        <v>338</v>
      </c>
      <c r="H146" s="164">
        <v>657.6</v>
      </c>
      <c r="I146" s="165"/>
      <c r="L146" s="161"/>
      <c r="M146" s="166"/>
      <c r="N146" s="167"/>
      <c r="O146" s="167"/>
      <c r="P146" s="167"/>
      <c r="Q146" s="167"/>
      <c r="R146" s="167"/>
      <c r="S146" s="167"/>
      <c r="T146" s="168"/>
      <c r="AT146" s="162" t="s">
        <v>193</v>
      </c>
      <c r="AU146" s="162" t="s">
        <v>87</v>
      </c>
      <c r="AV146" s="13" t="s">
        <v>87</v>
      </c>
      <c r="AW146" s="13" t="s">
        <v>36</v>
      </c>
      <c r="AX146" s="13" t="s">
        <v>77</v>
      </c>
      <c r="AY146" s="162" t="s">
        <v>177</v>
      </c>
    </row>
    <row r="147" spans="1:65" s="13" customFormat="1">
      <c r="B147" s="161"/>
      <c r="D147" s="153" t="s">
        <v>193</v>
      </c>
      <c r="E147" s="162" t="s">
        <v>3</v>
      </c>
      <c r="F147" s="163" t="s">
        <v>337</v>
      </c>
      <c r="H147" s="164">
        <v>312</v>
      </c>
      <c r="I147" s="165"/>
      <c r="L147" s="161"/>
      <c r="M147" s="166"/>
      <c r="N147" s="167"/>
      <c r="O147" s="167"/>
      <c r="P147" s="167"/>
      <c r="Q147" s="167"/>
      <c r="R147" s="167"/>
      <c r="S147" s="167"/>
      <c r="T147" s="168"/>
      <c r="AT147" s="162" t="s">
        <v>193</v>
      </c>
      <c r="AU147" s="162" t="s">
        <v>87</v>
      </c>
      <c r="AV147" s="13" t="s">
        <v>87</v>
      </c>
      <c r="AW147" s="13" t="s">
        <v>36</v>
      </c>
      <c r="AX147" s="13" t="s">
        <v>77</v>
      </c>
      <c r="AY147" s="162" t="s">
        <v>177</v>
      </c>
    </row>
    <row r="148" spans="1:65" s="16" customFormat="1">
      <c r="B148" s="184"/>
      <c r="D148" s="153" t="s">
        <v>193</v>
      </c>
      <c r="E148" s="185" t="s">
        <v>3</v>
      </c>
      <c r="F148" s="186" t="s">
        <v>201</v>
      </c>
      <c r="H148" s="187">
        <v>969.6</v>
      </c>
      <c r="I148" s="188"/>
      <c r="L148" s="184"/>
      <c r="M148" s="189"/>
      <c r="N148" s="190"/>
      <c r="O148" s="190"/>
      <c r="P148" s="190"/>
      <c r="Q148" s="190"/>
      <c r="R148" s="190"/>
      <c r="S148" s="190"/>
      <c r="T148" s="191"/>
      <c r="AT148" s="185" t="s">
        <v>193</v>
      </c>
      <c r="AU148" s="185" t="s">
        <v>87</v>
      </c>
      <c r="AV148" s="16" t="s">
        <v>185</v>
      </c>
      <c r="AW148" s="16" t="s">
        <v>36</v>
      </c>
      <c r="AX148" s="16" t="s">
        <v>85</v>
      </c>
      <c r="AY148" s="185" t="s">
        <v>177</v>
      </c>
    </row>
    <row r="149" spans="1:65" s="2" customFormat="1" ht="16.5" customHeight="1">
      <c r="A149" s="34"/>
      <c r="B149" s="139"/>
      <c r="C149" s="140" t="s">
        <v>241</v>
      </c>
      <c r="D149" s="140" t="s">
        <v>180</v>
      </c>
      <c r="E149" s="141" t="s">
        <v>339</v>
      </c>
      <c r="F149" s="142" t="s">
        <v>340</v>
      </c>
      <c r="G149" s="143" t="s">
        <v>332</v>
      </c>
      <c r="H149" s="144">
        <v>969.6</v>
      </c>
      <c r="I149" s="145"/>
      <c r="J149" s="146">
        <f>ROUND(I149*H149,2)</f>
        <v>0</v>
      </c>
      <c r="K149" s="142" t="s">
        <v>184</v>
      </c>
      <c r="L149" s="35"/>
      <c r="M149" s="147" t="s">
        <v>3</v>
      </c>
      <c r="N149" s="148" t="s">
        <v>48</v>
      </c>
      <c r="O149" s="55"/>
      <c r="P149" s="149">
        <f>O149*H149</f>
        <v>0</v>
      </c>
      <c r="Q149" s="149">
        <v>3.4999999999999997E-5</v>
      </c>
      <c r="R149" s="149">
        <f>Q149*H149</f>
        <v>3.3936000000000001E-2</v>
      </c>
      <c r="S149" s="149">
        <v>0</v>
      </c>
      <c r="T149" s="150">
        <f>S149*H149</f>
        <v>0</v>
      </c>
      <c r="U149" s="34"/>
      <c r="V149" s="34"/>
      <c r="W149" s="34"/>
      <c r="X149" s="34"/>
      <c r="Y149" s="34"/>
      <c r="Z149" s="34"/>
      <c r="AA149" s="34"/>
      <c r="AB149" s="34"/>
      <c r="AC149" s="34"/>
      <c r="AD149" s="34"/>
      <c r="AE149" s="34"/>
      <c r="AR149" s="151" t="s">
        <v>185</v>
      </c>
      <c r="AT149" s="151" t="s">
        <v>180</v>
      </c>
      <c r="AU149" s="151" t="s">
        <v>87</v>
      </c>
      <c r="AY149" s="19" t="s">
        <v>177</v>
      </c>
      <c r="BE149" s="152">
        <f>IF(N149="základní",J149,0)</f>
        <v>0</v>
      </c>
      <c r="BF149" s="152">
        <f>IF(N149="snížená",J149,0)</f>
        <v>0</v>
      </c>
      <c r="BG149" s="152">
        <f>IF(N149="zákl. přenesená",J149,0)</f>
        <v>0</v>
      </c>
      <c r="BH149" s="152">
        <f>IF(N149="sníž. přenesená",J149,0)</f>
        <v>0</v>
      </c>
      <c r="BI149" s="152">
        <f>IF(N149="nulová",J149,0)</f>
        <v>0</v>
      </c>
      <c r="BJ149" s="19" t="s">
        <v>85</v>
      </c>
      <c r="BK149" s="152">
        <f>ROUND(I149*H149,2)</f>
        <v>0</v>
      </c>
      <c r="BL149" s="19" t="s">
        <v>185</v>
      </c>
      <c r="BM149" s="151" t="s">
        <v>3135</v>
      </c>
    </row>
    <row r="150" spans="1:65" s="2" customFormat="1">
      <c r="A150" s="34"/>
      <c r="B150" s="35"/>
      <c r="C150" s="34"/>
      <c r="D150" s="153" t="s">
        <v>187</v>
      </c>
      <c r="E150" s="34"/>
      <c r="F150" s="154" t="s">
        <v>342</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187</v>
      </c>
      <c r="AU150" s="19" t="s">
        <v>87</v>
      </c>
    </row>
    <row r="151" spans="1:65" s="2" customFormat="1">
      <c r="A151" s="34"/>
      <c r="B151" s="35"/>
      <c r="C151" s="34"/>
      <c r="D151" s="158" t="s">
        <v>189</v>
      </c>
      <c r="E151" s="34"/>
      <c r="F151" s="159" t="s">
        <v>343</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189</v>
      </c>
      <c r="AU151" s="19" t="s">
        <v>87</v>
      </c>
    </row>
    <row r="152" spans="1:65" s="2" customFormat="1" ht="165.75">
      <c r="A152" s="34"/>
      <c r="B152" s="35"/>
      <c r="C152" s="34"/>
      <c r="D152" s="153" t="s">
        <v>191</v>
      </c>
      <c r="E152" s="34"/>
      <c r="F152" s="160" t="s">
        <v>344</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191</v>
      </c>
      <c r="AU152" s="19" t="s">
        <v>87</v>
      </c>
    </row>
    <row r="153" spans="1:65" s="2" customFormat="1" ht="16.5" customHeight="1">
      <c r="A153" s="34"/>
      <c r="B153" s="139"/>
      <c r="C153" s="140" t="s">
        <v>248</v>
      </c>
      <c r="D153" s="140" t="s">
        <v>180</v>
      </c>
      <c r="E153" s="141" t="s">
        <v>3136</v>
      </c>
      <c r="F153" s="142" t="s">
        <v>3137</v>
      </c>
      <c r="G153" s="143" t="s">
        <v>236</v>
      </c>
      <c r="H153" s="144">
        <v>10</v>
      </c>
      <c r="I153" s="145"/>
      <c r="J153" s="146">
        <f>ROUND(I153*H153,2)</f>
        <v>0</v>
      </c>
      <c r="K153" s="142" t="s">
        <v>184</v>
      </c>
      <c r="L153" s="35"/>
      <c r="M153" s="147" t="s">
        <v>3</v>
      </c>
      <c r="N153" s="148" t="s">
        <v>48</v>
      </c>
      <c r="O153" s="55"/>
      <c r="P153" s="149">
        <f>O153*H153</f>
        <v>0</v>
      </c>
      <c r="Q153" s="149">
        <v>1.76E-4</v>
      </c>
      <c r="R153" s="149">
        <f>Q153*H153</f>
        <v>1.7599999999999998E-3</v>
      </c>
      <c r="S153" s="149">
        <v>0</v>
      </c>
      <c r="T153" s="150">
        <f>S153*H153</f>
        <v>0</v>
      </c>
      <c r="U153" s="34"/>
      <c r="V153" s="34"/>
      <c r="W153" s="34"/>
      <c r="X153" s="34"/>
      <c r="Y153" s="34"/>
      <c r="Z153" s="34"/>
      <c r="AA153" s="34"/>
      <c r="AB153" s="34"/>
      <c r="AC153" s="34"/>
      <c r="AD153" s="34"/>
      <c r="AE153" s="34"/>
      <c r="AR153" s="151" t="s">
        <v>185</v>
      </c>
      <c r="AT153" s="151" t="s">
        <v>180</v>
      </c>
      <c r="AU153" s="151" t="s">
        <v>87</v>
      </c>
      <c r="AY153" s="19" t="s">
        <v>177</v>
      </c>
      <c r="BE153" s="152">
        <f>IF(N153="základní",J153,0)</f>
        <v>0</v>
      </c>
      <c r="BF153" s="152">
        <f>IF(N153="snížená",J153,0)</f>
        <v>0</v>
      </c>
      <c r="BG153" s="152">
        <f>IF(N153="zákl. přenesená",J153,0)</f>
        <v>0</v>
      </c>
      <c r="BH153" s="152">
        <f>IF(N153="sníž. přenesená",J153,0)</f>
        <v>0</v>
      </c>
      <c r="BI153" s="152">
        <f>IF(N153="nulová",J153,0)</f>
        <v>0</v>
      </c>
      <c r="BJ153" s="19" t="s">
        <v>85</v>
      </c>
      <c r="BK153" s="152">
        <f>ROUND(I153*H153,2)</f>
        <v>0</v>
      </c>
      <c r="BL153" s="19" t="s">
        <v>185</v>
      </c>
      <c r="BM153" s="151" t="s">
        <v>3138</v>
      </c>
    </row>
    <row r="154" spans="1:65" s="2" customFormat="1">
      <c r="A154" s="34"/>
      <c r="B154" s="35"/>
      <c r="C154" s="34"/>
      <c r="D154" s="153" t="s">
        <v>187</v>
      </c>
      <c r="E154" s="34"/>
      <c r="F154" s="154" t="s">
        <v>3139</v>
      </c>
      <c r="G154" s="34"/>
      <c r="H154" s="34"/>
      <c r="I154" s="155"/>
      <c r="J154" s="34"/>
      <c r="K154" s="34"/>
      <c r="L154" s="35"/>
      <c r="M154" s="156"/>
      <c r="N154" s="157"/>
      <c r="O154" s="55"/>
      <c r="P154" s="55"/>
      <c r="Q154" s="55"/>
      <c r="R154" s="55"/>
      <c r="S154" s="55"/>
      <c r="T154" s="56"/>
      <c r="U154" s="34"/>
      <c r="V154" s="34"/>
      <c r="W154" s="34"/>
      <c r="X154" s="34"/>
      <c r="Y154" s="34"/>
      <c r="Z154" s="34"/>
      <c r="AA154" s="34"/>
      <c r="AB154" s="34"/>
      <c r="AC154" s="34"/>
      <c r="AD154" s="34"/>
      <c r="AE154" s="34"/>
      <c r="AT154" s="19" t="s">
        <v>187</v>
      </c>
      <c r="AU154" s="19" t="s">
        <v>87</v>
      </c>
    </row>
    <row r="155" spans="1:65" s="2" customFormat="1">
      <c r="A155" s="34"/>
      <c r="B155" s="35"/>
      <c r="C155" s="34"/>
      <c r="D155" s="158" t="s">
        <v>189</v>
      </c>
      <c r="E155" s="34"/>
      <c r="F155" s="159" t="s">
        <v>3140</v>
      </c>
      <c r="G155" s="34"/>
      <c r="H155" s="34"/>
      <c r="I155" s="155"/>
      <c r="J155" s="34"/>
      <c r="K155" s="34"/>
      <c r="L155" s="35"/>
      <c r="M155" s="156"/>
      <c r="N155" s="157"/>
      <c r="O155" s="55"/>
      <c r="P155" s="55"/>
      <c r="Q155" s="55"/>
      <c r="R155" s="55"/>
      <c r="S155" s="55"/>
      <c r="T155" s="56"/>
      <c r="U155" s="34"/>
      <c r="V155" s="34"/>
      <c r="W155" s="34"/>
      <c r="X155" s="34"/>
      <c r="Y155" s="34"/>
      <c r="Z155" s="34"/>
      <c r="AA155" s="34"/>
      <c r="AB155" s="34"/>
      <c r="AC155" s="34"/>
      <c r="AD155" s="34"/>
      <c r="AE155" s="34"/>
      <c r="AT155" s="19" t="s">
        <v>189</v>
      </c>
      <c r="AU155" s="19" t="s">
        <v>87</v>
      </c>
    </row>
    <row r="156" spans="1:65" s="2" customFormat="1" ht="68.25">
      <c r="A156" s="34"/>
      <c r="B156" s="35"/>
      <c r="C156" s="34"/>
      <c r="D156" s="153" t="s">
        <v>191</v>
      </c>
      <c r="E156" s="34"/>
      <c r="F156" s="160" t="s">
        <v>3141</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191</v>
      </c>
      <c r="AU156" s="19" t="s">
        <v>87</v>
      </c>
    </row>
    <row r="157" spans="1:65" s="2" customFormat="1" ht="16.5" customHeight="1">
      <c r="A157" s="34"/>
      <c r="B157" s="139"/>
      <c r="C157" s="195" t="s">
        <v>252</v>
      </c>
      <c r="D157" s="195" t="s">
        <v>484</v>
      </c>
      <c r="E157" s="196" t="s">
        <v>3142</v>
      </c>
      <c r="F157" s="197" t="s">
        <v>3143</v>
      </c>
      <c r="G157" s="198" t="s">
        <v>236</v>
      </c>
      <c r="H157" s="199">
        <v>10</v>
      </c>
      <c r="I157" s="200"/>
      <c r="J157" s="201">
        <f>ROUND(I157*H157,2)</f>
        <v>0</v>
      </c>
      <c r="K157" s="197" t="s">
        <v>184</v>
      </c>
      <c r="L157" s="202"/>
      <c r="M157" s="203" t="s">
        <v>3</v>
      </c>
      <c r="N157" s="204" t="s">
        <v>48</v>
      </c>
      <c r="O157" s="55"/>
      <c r="P157" s="149">
        <f>O157*H157</f>
        <v>0</v>
      </c>
      <c r="Q157" s="149">
        <v>1.2E-2</v>
      </c>
      <c r="R157" s="149">
        <f>Q157*H157</f>
        <v>0.12</v>
      </c>
      <c r="S157" s="149">
        <v>0</v>
      </c>
      <c r="T157" s="150">
        <f>S157*H157</f>
        <v>0</v>
      </c>
      <c r="U157" s="34"/>
      <c r="V157" s="34"/>
      <c r="W157" s="34"/>
      <c r="X157" s="34"/>
      <c r="Y157" s="34"/>
      <c r="Z157" s="34"/>
      <c r="AA157" s="34"/>
      <c r="AB157" s="34"/>
      <c r="AC157" s="34"/>
      <c r="AD157" s="34"/>
      <c r="AE157" s="34"/>
      <c r="AR157" s="151" t="s">
        <v>248</v>
      </c>
      <c r="AT157" s="151" t="s">
        <v>484</v>
      </c>
      <c r="AU157" s="151" t="s">
        <v>87</v>
      </c>
      <c r="AY157" s="19" t="s">
        <v>177</v>
      </c>
      <c r="BE157" s="152">
        <f>IF(N157="základní",J157,0)</f>
        <v>0</v>
      </c>
      <c r="BF157" s="152">
        <f>IF(N157="snížená",J157,0)</f>
        <v>0</v>
      </c>
      <c r="BG157" s="152">
        <f>IF(N157="zákl. přenesená",J157,0)</f>
        <v>0</v>
      </c>
      <c r="BH157" s="152">
        <f>IF(N157="sníž. přenesená",J157,0)</f>
        <v>0</v>
      </c>
      <c r="BI157" s="152">
        <f>IF(N157="nulová",J157,0)</f>
        <v>0</v>
      </c>
      <c r="BJ157" s="19" t="s">
        <v>85</v>
      </c>
      <c r="BK157" s="152">
        <f>ROUND(I157*H157,2)</f>
        <v>0</v>
      </c>
      <c r="BL157" s="19" t="s">
        <v>185</v>
      </c>
      <c r="BM157" s="151" t="s">
        <v>3144</v>
      </c>
    </row>
    <row r="158" spans="1:65" s="2" customFormat="1">
      <c r="A158" s="34"/>
      <c r="B158" s="35"/>
      <c r="C158" s="34"/>
      <c r="D158" s="153" t="s">
        <v>187</v>
      </c>
      <c r="E158" s="34"/>
      <c r="F158" s="154" t="s">
        <v>3143</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187</v>
      </c>
      <c r="AU158" s="19" t="s">
        <v>87</v>
      </c>
    </row>
    <row r="159" spans="1:65" s="2" customFormat="1" ht="16.5" customHeight="1">
      <c r="A159" s="34"/>
      <c r="B159" s="139"/>
      <c r="C159" s="140" t="s">
        <v>258</v>
      </c>
      <c r="D159" s="140" t="s">
        <v>180</v>
      </c>
      <c r="E159" s="141" t="s">
        <v>3145</v>
      </c>
      <c r="F159" s="142" t="s">
        <v>3146</v>
      </c>
      <c r="G159" s="143" t="s">
        <v>236</v>
      </c>
      <c r="H159" s="144">
        <v>10</v>
      </c>
      <c r="I159" s="145"/>
      <c r="J159" s="146">
        <f>ROUND(I159*H159,2)</f>
        <v>0</v>
      </c>
      <c r="K159" s="142" t="s">
        <v>184</v>
      </c>
      <c r="L159" s="35"/>
      <c r="M159" s="147" t="s">
        <v>3</v>
      </c>
      <c r="N159" s="148" t="s">
        <v>48</v>
      </c>
      <c r="O159" s="55"/>
      <c r="P159" s="149">
        <f>O159*H159</f>
        <v>0</v>
      </c>
      <c r="Q159" s="149">
        <v>1.76E-4</v>
      </c>
      <c r="R159" s="149">
        <f>Q159*H159</f>
        <v>1.7599999999999998E-3</v>
      </c>
      <c r="S159" s="149">
        <v>0</v>
      </c>
      <c r="T159" s="150">
        <f>S159*H159</f>
        <v>0</v>
      </c>
      <c r="U159" s="34"/>
      <c r="V159" s="34"/>
      <c r="W159" s="34"/>
      <c r="X159" s="34"/>
      <c r="Y159" s="34"/>
      <c r="Z159" s="34"/>
      <c r="AA159" s="34"/>
      <c r="AB159" s="34"/>
      <c r="AC159" s="34"/>
      <c r="AD159" s="34"/>
      <c r="AE159" s="34"/>
      <c r="AR159" s="151" t="s">
        <v>185</v>
      </c>
      <c r="AT159" s="151" t="s">
        <v>180</v>
      </c>
      <c r="AU159" s="151" t="s">
        <v>87</v>
      </c>
      <c r="AY159" s="19" t="s">
        <v>177</v>
      </c>
      <c r="BE159" s="152">
        <f>IF(N159="základní",J159,0)</f>
        <v>0</v>
      </c>
      <c r="BF159" s="152">
        <f>IF(N159="snížená",J159,0)</f>
        <v>0</v>
      </c>
      <c r="BG159" s="152">
        <f>IF(N159="zákl. přenesená",J159,0)</f>
        <v>0</v>
      </c>
      <c r="BH159" s="152">
        <f>IF(N159="sníž. přenesená",J159,0)</f>
        <v>0</v>
      </c>
      <c r="BI159" s="152">
        <f>IF(N159="nulová",J159,0)</f>
        <v>0</v>
      </c>
      <c r="BJ159" s="19" t="s">
        <v>85</v>
      </c>
      <c r="BK159" s="152">
        <f>ROUND(I159*H159,2)</f>
        <v>0</v>
      </c>
      <c r="BL159" s="19" t="s">
        <v>185</v>
      </c>
      <c r="BM159" s="151" t="s">
        <v>3147</v>
      </c>
    </row>
    <row r="160" spans="1:65" s="2" customFormat="1">
      <c r="A160" s="34"/>
      <c r="B160" s="35"/>
      <c r="C160" s="34"/>
      <c r="D160" s="153" t="s">
        <v>187</v>
      </c>
      <c r="E160" s="34"/>
      <c r="F160" s="154" t="s">
        <v>3148</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187</v>
      </c>
      <c r="AU160" s="19" t="s">
        <v>87</v>
      </c>
    </row>
    <row r="161" spans="1:65" s="2" customFormat="1">
      <c r="A161" s="34"/>
      <c r="B161" s="35"/>
      <c r="C161" s="34"/>
      <c r="D161" s="158" t="s">
        <v>189</v>
      </c>
      <c r="E161" s="34"/>
      <c r="F161" s="159" t="s">
        <v>3149</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189</v>
      </c>
      <c r="AU161" s="19" t="s">
        <v>87</v>
      </c>
    </row>
    <row r="162" spans="1:65" s="2" customFormat="1" ht="68.25">
      <c r="A162" s="34"/>
      <c r="B162" s="35"/>
      <c r="C162" s="34"/>
      <c r="D162" s="153" t="s">
        <v>191</v>
      </c>
      <c r="E162" s="34"/>
      <c r="F162" s="160" t="s">
        <v>3141</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191</v>
      </c>
      <c r="AU162" s="19" t="s">
        <v>87</v>
      </c>
    </row>
    <row r="163" spans="1:65" s="2" customFormat="1" ht="16.5" customHeight="1">
      <c r="A163" s="34"/>
      <c r="B163" s="139"/>
      <c r="C163" s="195" t="s">
        <v>265</v>
      </c>
      <c r="D163" s="195" t="s">
        <v>484</v>
      </c>
      <c r="E163" s="196" t="s">
        <v>3150</v>
      </c>
      <c r="F163" s="197" t="s">
        <v>3151</v>
      </c>
      <c r="G163" s="198" t="s">
        <v>236</v>
      </c>
      <c r="H163" s="199">
        <v>10</v>
      </c>
      <c r="I163" s="200"/>
      <c r="J163" s="201">
        <f>ROUND(I163*H163,2)</f>
        <v>0</v>
      </c>
      <c r="K163" s="197" t="s">
        <v>184</v>
      </c>
      <c r="L163" s="202"/>
      <c r="M163" s="203" t="s">
        <v>3</v>
      </c>
      <c r="N163" s="204" t="s">
        <v>48</v>
      </c>
      <c r="O163" s="55"/>
      <c r="P163" s="149">
        <f>O163*H163</f>
        <v>0</v>
      </c>
      <c r="Q163" s="149">
        <v>5.0000000000000001E-3</v>
      </c>
      <c r="R163" s="149">
        <f>Q163*H163</f>
        <v>0.05</v>
      </c>
      <c r="S163" s="149">
        <v>0</v>
      </c>
      <c r="T163" s="150">
        <f>S163*H163</f>
        <v>0</v>
      </c>
      <c r="U163" s="34"/>
      <c r="V163" s="34"/>
      <c r="W163" s="34"/>
      <c r="X163" s="34"/>
      <c r="Y163" s="34"/>
      <c r="Z163" s="34"/>
      <c r="AA163" s="34"/>
      <c r="AB163" s="34"/>
      <c r="AC163" s="34"/>
      <c r="AD163" s="34"/>
      <c r="AE163" s="34"/>
      <c r="AR163" s="151" t="s">
        <v>248</v>
      </c>
      <c r="AT163" s="151" t="s">
        <v>484</v>
      </c>
      <c r="AU163" s="151" t="s">
        <v>87</v>
      </c>
      <c r="AY163" s="19" t="s">
        <v>177</v>
      </c>
      <c r="BE163" s="152">
        <f>IF(N163="základní",J163,0)</f>
        <v>0</v>
      </c>
      <c r="BF163" s="152">
        <f>IF(N163="snížená",J163,0)</f>
        <v>0</v>
      </c>
      <c r="BG163" s="152">
        <f>IF(N163="zákl. přenesená",J163,0)</f>
        <v>0</v>
      </c>
      <c r="BH163" s="152">
        <f>IF(N163="sníž. přenesená",J163,0)</f>
        <v>0</v>
      </c>
      <c r="BI163" s="152">
        <f>IF(N163="nulová",J163,0)</f>
        <v>0</v>
      </c>
      <c r="BJ163" s="19" t="s">
        <v>85</v>
      </c>
      <c r="BK163" s="152">
        <f>ROUND(I163*H163,2)</f>
        <v>0</v>
      </c>
      <c r="BL163" s="19" t="s">
        <v>185</v>
      </c>
      <c r="BM163" s="151" t="s">
        <v>3152</v>
      </c>
    </row>
    <row r="164" spans="1:65" s="2" customFormat="1">
      <c r="A164" s="34"/>
      <c r="B164" s="35"/>
      <c r="C164" s="34"/>
      <c r="D164" s="153" t="s">
        <v>187</v>
      </c>
      <c r="E164" s="34"/>
      <c r="F164" s="154" t="s">
        <v>3151</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187</v>
      </c>
      <c r="AU164" s="19" t="s">
        <v>87</v>
      </c>
    </row>
    <row r="165" spans="1:65" s="2" customFormat="1" ht="16.5" customHeight="1">
      <c r="A165" s="34"/>
      <c r="B165" s="139"/>
      <c r="C165" s="140" t="s">
        <v>271</v>
      </c>
      <c r="D165" s="140" t="s">
        <v>180</v>
      </c>
      <c r="E165" s="141" t="s">
        <v>3153</v>
      </c>
      <c r="F165" s="142" t="s">
        <v>3154</v>
      </c>
      <c r="G165" s="143" t="s">
        <v>243</v>
      </c>
      <c r="H165" s="144">
        <v>1</v>
      </c>
      <c r="I165" s="145"/>
      <c r="J165" s="146">
        <f>ROUND(I165*H165,2)</f>
        <v>0</v>
      </c>
      <c r="K165" s="142" t="s">
        <v>244</v>
      </c>
      <c r="L165" s="35"/>
      <c r="M165" s="147" t="s">
        <v>3</v>
      </c>
      <c r="N165" s="148" t="s">
        <v>48</v>
      </c>
      <c r="O165" s="55"/>
      <c r="P165" s="149">
        <f>O165*H165</f>
        <v>0</v>
      </c>
      <c r="Q165" s="149">
        <v>0</v>
      </c>
      <c r="R165" s="149">
        <f>Q165*H165</f>
        <v>0</v>
      </c>
      <c r="S165" s="149">
        <v>0</v>
      </c>
      <c r="T165" s="150">
        <f>S165*H165</f>
        <v>0</v>
      </c>
      <c r="U165" s="34"/>
      <c r="V165" s="34"/>
      <c r="W165" s="34"/>
      <c r="X165" s="34"/>
      <c r="Y165" s="34"/>
      <c r="Z165" s="34"/>
      <c r="AA165" s="34"/>
      <c r="AB165" s="34"/>
      <c r="AC165" s="34"/>
      <c r="AD165" s="34"/>
      <c r="AE165" s="34"/>
      <c r="AR165" s="151" t="s">
        <v>185</v>
      </c>
      <c r="AT165" s="151" t="s">
        <v>180</v>
      </c>
      <c r="AU165" s="151" t="s">
        <v>87</v>
      </c>
      <c r="AY165" s="19" t="s">
        <v>177</v>
      </c>
      <c r="BE165" s="152">
        <f>IF(N165="základní",J165,0)</f>
        <v>0</v>
      </c>
      <c r="BF165" s="152">
        <f>IF(N165="snížená",J165,0)</f>
        <v>0</v>
      </c>
      <c r="BG165" s="152">
        <f>IF(N165="zákl. přenesená",J165,0)</f>
        <v>0</v>
      </c>
      <c r="BH165" s="152">
        <f>IF(N165="sníž. přenesená",J165,0)</f>
        <v>0</v>
      </c>
      <c r="BI165" s="152">
        <f>IF(N165="nulová",J165,0)</f>
        <v>0</v>
      </c>
      <c r="BJ165" s="19" t="s">
        <v>85</v>
      </c>
      <c r="BK165" s="152">
        <f>ROUND(I165*H165,2)</f>
        <v>0</v>
      </c>
      <c r="BL165" s="19" t="s">
        <v>185</v>
      </c>
      <c r="BM165" s="151" t="s">
        <v>3155</v>
      </c>
    </row>
    <row r="166" spans="1:65" s="2" customFormat="1">
      <c r="A166" s="34"/>
      <c r="B166" s="35"/>
      <c r="C166" s="34"/>
      <c r="D166" s="153" t="s">
        <v>187</v>
      </c>
      <c r="E166" s="34"/>
      <c r="F166" s="154" t="s">
        <v>3154</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187</v>
      </c>
      <c r="AU166" s="19" t="s">
        <v>87</v>
      </c>
    </row>
    <row r="167" spans="1:65" s="12" customFormat="1" ht="22.9" customHeight="1">
      <c r="B167" s="126"/>
      <c r="D167" s="127" t="s">
        <v>76</v>
      </c>
      <c r="E167" s="137" t="s">
        <v>518</v>
      </c>
      <c r="F167" s="137" t="s">
        <v>519</v>
      </c>
      <c r="I167" s="129"/>
      <c r="J167" s="138">
        <f>BK167</f>
        <v>0</v>
      </c>
      <c r="L167" s="126"/>
      <c r="M167" s="131"/>
      <c r="N167" s="132"/>
      <c r="O167" s="132"/>
      <c r="P167" s="133">
        <f>SUM(P168:P171)</f>
        <v>0</v>
      </c>
      <c r="Q167" s="132"/>
      <c r="R167" s="133">
        <f>SUM(R168:R171)</f>
        <v>0</v>
      </c>
      <c r="S167" s="132"/>
      <c r="T167" s="134">
        <f>SUM(T168:T171)</f>
        <v>0</v>
      </c>
      <c r="AR167" s="127" t="s">
        <v>85</v>
      </c>
      <c r="AT167" s="135" t="s">
        <v>76</v>
      </c>
      <c r="AU167" s="135" t="s">
        <v>85</v>
      </c>
      <c r="AY167" s="127" t="s">
        <v>177</v>
      </c>
      <c r="BK167" s="136">
        <f>SUM(BK168:BK171)</f>
        <v>0</v>
      </c>
    </row>
    <row r="168" spans="1:65" s="2" customFormat="1" ht="16.5" customHeight="1">
      <c r="A168" s="34"/>
      <c r="B168" s="139"/>
      <c r="C168" s="140" t="s">
        <v>277</v>
      </c>
      <c r="D168" s="140" t="s">
        <v>180</v>
      </c>
      <c r="E168" s="141" t="s">
        <v>521</v>
      </c>
      <c r="F168" s="142" t="s">
        <v>522</v>
      </c>
      <c r="G168" s="143" t="s">
        <v>183</v>
      </c>
      <c r="H168" s="144">
        <v>1.073</v>
      </c>
      <c r="I168" s="145"/>
      <c r="J168" s="146">
        <f>ROUND(I168*H168,2)</f>
        <v>0</v>
      </c>
      <c r="K168" s="142" t="s">
        <v>184</v>
      </c>
      <c r="L168" s="35"/>
      <c r="M168" s="147" t="s">
        <v>3</v>
      </c>
      <c r="N168" s="148" t="s">
        <v>48</v>
      </c>
      <c r="O168" s="55"/>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185</v>
      </c>
      <c r="AT168" s="151" t="s">
        <v>180</v>
      </c>
      <c r="AU168" s="151" t="s">
        <v>87</v>
      </c>
      <c r="AY168" s="19" t="s">
        <v>177</v>
      </c>
      <c r="BE168" s="152">
        <f>IF(N168="základní",J168,0)</f>
        <v>0</v>
      </c>
      <c r="BF168" s="152">
        <f>IF(N168="snížená",J168,0)</f>
        <v>0</v>
      </c>
      <c r="BG168" s="152">
        <f>IF(N168="zákl. přenesená",J168,0)</f>
        <v>0</v>
      </c>
      <c r="BH168" s="152">
        <f>IF(N168="sníž. přenesená",J168,0)</f>
        <v>0</v>
      </c>
      <c r="BI168" s="152">
        <f>IF(N168="nulová",J168,0)</f>
        <v>0</v>
      </c>
      <c r="BJ168" s="19" t="s">
        <v>85</v>
      </c>
      <c r="BK168" s="152">
        <f>ROUND(I168*H168,2)</f>
        <v>0</v>
      </c>
      <c r="BL168" s="19" t="s">
        <v>185</v>
      </c>
      <c r="BM168" s="151" t="s">
        <v>3156</v>
      </c>
    </row>
    <row r="169" spans="1:65" s="2" customFormat="1" ht="19.5">
      <c r="A169" s="34"/>
      <c r="B169" s="35"/>
      <c r="C169" s="34"/>
      <c r="D169" s="153" t="s">
        <v>187</v>
      </c>
      <c r="E169" s="34"/>
      <c r="F169" s="154" t="s">
        <v>524</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187</v>
      </c>
      <c r="AU169" s="19" t="s">
        <v>87</v>
      </c>
    </row>
    <row r="170" spans="1:65" s="2" customFormat="1">
      <c r="A170" s="34"/>
      <c r="B170" s="35"/>
      <c r="C170" s="34"/>
      <c r="D170" s="158" t="s">
        <v>189</v>
      </c>
      <c r="E170" s="34"/>
      <c r="F170" s="159" t="s">
        <v>525</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189</v>
      </c>
      <c r="AU170" s="19" t="s">
        <v>87</v>
      </c>
    </row>
    <row r="171" spans="1:65" s="2" customFormat="1" ht="58.5">
      <c r="A171" s="34"/>
      <c r="B171" s="35"/>
      <c r="C171" s="34"/>
      <c r="D171" s="153" t="s">
        <v>191</v>
      </c>
      <c r="E171" s="34"/>
      <c r="F171" s="160" t="s">
        <v>526</v>
      </c>
      <c r="G171" s="34"/>
      <c r="H171" s="34"/>
      <c r="I171" s="155"/>
      <c r="J171" s="34"/>
      <c r="K171" s="34"/>
      <c r="L171" s="35"/>
      <c r="M171" s="156"/>
      <c r="N171" s="157"/>
      <c r="O171" s="55"/>
      <c r="P171" s="55"/>
      <c r="Q171" s="55"/>
      <c r="R171" s="55"/>
      <c r="S171" s="55"/>
      <c r="T171" s="56"/>
      <c r="U171" s="34"/>
      <c r="V171" s="34"/>
      <c r="W171" s="34"/>
      <c r="X171" s="34"/>
      <c r="Y171" s="34"/>
      <c r="Z171" s="34"/>
      <c r="AA171" s="34"/>
      <c r="AB171" s="34"/>
      <c r="AC171" s="34"/>
      <c r="AD171" s="34"/>
      <c r="AE171" s="34"/>
      <c r="AT171" s="19" t="s">
        <v>191</v>
      </c>
      <c r="AU171" s="19" t="s">
        <v>87</v>
      </c>
    </row>
    <row r="172" spans="1:65" s="12" customFormat="1" ht="25.9" customHeight="1">
      <c r="B172" s="126"/>
      <c r="D172" s="127" t="s">
        <v>76</v>
      </c>
      <c r="E172" s="128" t="s">
        <v>229</v>
      </c>
      <c r="F172" s="128" t="s">
        <v>230</v>
      </c>
      <c r="I172" s="129"/>
      <c r="J172" s="130">
        <f>BK172</f>
        <v>0</v>
      </c>
      <c r="L172" s="126"/>
      <c r="M172" s="131"/>
      <c r="N172" s="132"/>
      <c r="O172" s="132"/>
      <c r="P172" s="133">
        <f>P173+P192+P233+P318+P354+P432+P490+P575+P606+P654</f>
        <v>0</v>
      </c>
      <c r="Q172" s="132"/>
      <c r="R172" s="133">
        <f>R173+R192+R233+R318+R354+R432+R490+R575+R606+R654</f>
        <v>18.006020087810001</v>
      </c>
      <c r="S172" s="132"/>
      <c r="T172" s="134">
        <f>T173+T192+T233+T318+T354+T432+T490+T575+T606+T654</f>
        <v>0</v>
      </c>
      <c r="AR172" s="127" t="s">
        <v>87</v>
      </c>
      <c r="AT172" s="135" t="s">
        <v>76</v>
      </c>
      <c r="AU172" s="135" t="s">
        <v>77</v>
      </c>
      <c r="AY172" s="127" t="s">
        <v>177</v>
      </c>
      <c r="BK172" s="136">
        <f>BK173+BK192+BK233+BK318+BK354+BK432+BK490+BK575+BK606+BK654</f>
        <v>0</v>
      </c>
    </row>
    <row r="173" spans="1:65" s="12" customFormat="1" ht="22.9" customHeight="1">
      <c r="B173" s="126"/>
      <c r="D173" s="127" t="s">
        <v>76</v>
      </c>
      <c r="E173" s="137" t="s">
        <v>3157</v>
      </c>
      <c r="F173" s="137" t="s">
        <v>3158</v>
      </c>
      <c r="I173" s="129"/>
      <c r="J173" s="138">
        <f>BK173</f>
        <v>0</v>
      </c>
      <c r="L173" s="126"/>
      <c r="M173" s="131"/>
      <c r="N173" s="132"/>
      <c r="O173" s="132"/>
      <c r="P173" s="133">
        <f>SUM(P174:P191)</f>
        <v>0</v>
      </c>
      <c r="Q173" s="132"/>
      <c r="R173" s="133">
        <f>SUM(R174:R191)</f>
        <v>3.0246849000000005</v>
      </c>
      <c r="S173" s="132"/>
      <c r="T173" s="134">
        <f>SUM(T174:T191)</f>
        <v>0</v>
      </c>
      <c r="AR173" s="127" t="s">
        <v>87</v>
      </c>
      <c r="AT173" s="135" t="s">
        <v>76</v>
      </c>
      <c r="AU173" s="135" t="s">
        <v>85</v>
      </c>
      <c r="AY173" s="127" t="s">
        <v>177</v>
      </c>
      <c r="BK173" s="136">
        <f>SUM(BK174:BK191)</f>
        <v>0</v>
      </c>
    </row>
    <row r="174" spans="1:65" s="2" customFormat="1" ht="16.5" customHeight="1">
      <c r="A174" s="34"/>
      <c r="B174" s="139"/>
      <c r="C174" s="140" t="s">
        <v>283</v>
      </c>
      <c r="D174" s="140" t="s">
        <v>180</v>
      </c>
      <c r="E174" s="141" t="s">
        <v>3159</v>
      </c>
      <c r="F174" s="142" t="s">
        <v>3160</v>
      </c>
      <c r="G174" s="143" t="s">
        <v>332</v>
      </c>
      <c r="H174" s="144">
        <v>491.1</v>
      </c>
      <c r="I174" s="145"/>
      <c r="J174" s="146">
        <f>ROUND(I174*H174,2)</f>
        <v>0</v>
      </c>
      <c r="K174" s="142" t="s">
        <v>184</v>
      </c>
      <c r="L174" s="35"/>
      <c r="M174" s="147" t="s">
        <v>3</v>
      </c>
      <c r="N174" s="148" t="s">
        <v>48</v>
      </c>
      <c r="O174" s="55"/>
      <c r="P174" s="149">
        <f>O174*H174</f>
        <v>0</v>
      </c>
      <c r="Q174" s="149">
        <v>1.3190000000000001E-3</v>
      </c>
      <c r="R174" s="149">
        <f>Q174*H174</f>
        <v>0.64776090000000008</v>
      </c>
      <c r="S174" s="149">
        <v>0</v>
      </c>
      <c r="T174" s="150">
        <f>S174*H174</f>
        <v>0</v>
      </c>
      <c r="U174" s="34"/>
      <c r="V174" s="34"/>
      <c r="W174" s="34"/>
      <c r="X174" s="34"/>
      <c r="Y174" s="34"/>
      <c r="Z174" s="34"/>
      <c r="AA174" s="34"/>
      <c r="AB174" s="34"/>
      <c r="AC174" s="34"/>
      <c r="AD174" s="34"/>
      <c r="AE174" s="34"/>
      <c r="AR174" s="151" t="s">
        <v>237</v>
      </c>
      <c r="AT174" s="151" t="s">
        <v>180</v>
      </c>
      <c r="AU174" s="151" t="s">
        <v>87</v>
      </c>
      <c r="AY174" s="19" t="s">
        <v>177</v>
      </c>
      <c r="BE174" s="152">
        <f>IF(N174="základní",J174,0)</f>
        <v>0</v>
      </c>
      <c r="BF174" s="152">
        <f>IF(N174="snížená",J174,0)</f>
        <v>0</v>
      </c>
      <c r="BG174" s="152">
        <f>IF(N174="zákl. přenesená",J174,0)</f>
        <v>0</v>
      </c>
      <c r="BH174" s="152">
        <f>IF(N174="sníž. přenesená",J174,0)</f>
        <v>0</v>
      </c>
      <c r="BI174" s="152">
        <f>IF(N174="nulová",J174,0)</f>
        <v>0</v>
      </c>
      <c r="BJ174" s="19" t="s">
        <v>85</v>
      </c>
      <c r="BK174" s="152">
        <f>ROUND(I174*H174,2)</f>
        <v>0</v>
      </c>
      <c r="BL174" s="19" t="s">
        <v>237</v>
      </c>
      <c r="BM174" s="151" t="s">
        <v>3161</v>
      </c>
    </row>
    <row r="175" spans="1:65" s="2" customFormat="1">
      <c r="A175" s="34"/>
      <c r="B175" s="35"/>
      <c r="C175" s="34"/>
      <c r="D175" s="153" t="s">
        <v>187</v>
      </c>
      <c r="E175" s="34"/>
      <c r="F175" s="154" t="s">
        <v>3162</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187</v>
      </c>
      <c r="AU175" s="19" t="s">
        <v>87</v>
      </c>
    </row>
    <row r="176" spans="1:65" s="2" customFormat="1">
      <c r="A176" s="34"/>
      <c r="B176" s="35"/>
      <c r="C176" s="34"/>
      <c r="D176" s="158" t="s">
        <v>189</v>
      </c>
      <c r="E176" s="34"/>
      <c r="F176" s="159" t="s">
        <v>3163</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189</v>
      </c>
      <c r="AU176" s="19" t="s">
        <v>87</v>
      </c>
    </row>
    <row r="177" spans="1:65" s="2" customFormat="1" ht="97.5">
      <c r="A177" s="34"/>
      <c r="B177" s="35"/>
      <c r="C177" s="34"/>
      <c r="D177" s="153" t="s">
        <v>191</v>
      </c>
      <c r="E177" s="34"/>
      <c r="F177" s="160" t="s">
        <v>3164</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191</v>
      </c>
      <c r="AU177" s="19" t="s">
        <v>87</v>
      </c>
    </row>
    <row r="178" spans="1:65" s="13" customFormat="1">
      <c r="B178" s="161"/>
      <c r="D178" s="153" t="s">
        <v>193</v>
      </c>
      <c r="E178" s="162" t="s">
        <v>3</v>
      </c>
      <c r="F178" s="163" t="s">
        <v>3165</v>
      </c>
      <c r="H178" s="164">
        <v>216.2</v>
      </c>
      <c r="I178" s="165"/>
      <c r="L178" s="161"/>
      <c r="M178" s="166"/>
      <c r="N178" s="167"/>
      <c r="O178" s="167"/>
      <c r="P178" s="167"/>
      <c r="Q178" s="167"/>
      <c r="R178" s="167"/>
      <c r="S178" s="167"/>
      <c r="T178" s="168"/>
      <c r="AT178" s="162" t="s">
        <v>193</v>
      </c>
      <c r="AU178" s="162" t="s">
        <v>87</v>
      </c>
      <c r="AV178" s="13" t="s">
        <v>87</v>
      </c>
      <c r="AW178" s="13" t="s">
        <v>36</v>
      </c>
      <c r="AX178" s="13" t="s">
        <v>77</v>
      </c>
      <c r="AY178" s="162" t="s">
        <v>177</v>
      </c>
    </row>
    <row r="179" spans="1:65" s="13" customFormat="1">
      <c r="B179" s="161"/>
      <c r="D179" s="153" t="s">
        <v>193</v>
      </c>
      <c r="E179" s="162" t="s">
        <v>3</v>
      </c>
      <c r="F179" s="163" t="s">
        <v>3166</v>
      </c>
      <c r="H179" s="164">
        <v>274.89999999999998</v>
      </c>
      <c r="I179" s="165"/>
      <c r="L179" s="161"/>
      <c r="M179" s="166"/>
      <c r="N179" s="167"/>
      <c r="O179" s="167"/>
      <c r="P179" s="167"/>
      <c r="Q179" s="167"/>
      <c r="R179" s="167"/>
      <c r="S179" s="167"/>
      <c r="T179" s="168"/>
      <c r="AT179" s="162" t="s">
        <v>193</v>
      </c>
      <c r="AU179" s="162" t="s">
        <v>87</v>
      </c>
      <c r="AV179" s="13" t="s">
        <v>87</v>
      </c>
      <c r="AW179" s="13" t="s">
        <v>36</v>
      </c>
      <c r="AX179" s="13" t="s">
        <v>77</v>
      </c>
      <c r="AY179" s="162" t="s">
        <v>177</v>
      </c>
    </row>
    <row r="180" spans="1:65" s="16" customFormat="1">
      <c r="B180" s="184"/>
      <c r="D180" s="153" t="s">
        <v>193</v>
      </c>
      <c r="E180" s="185" t="s">
        <v>3</v>
      </c>
      <c r="F180" s="186" t="s">
        <v>201</v>
      </c>
      <c r="H180" s="187">
        <v>491.09999999999997</v>
      </c>
      <c r="I180" s="188"/>
      <c r="L180" s="184"/>
      <c r="M180" s="189"/>
      <c r="N180" s="190"/>
      <c r="O180" s="190"/>
      <c r="P180" s="190"/>
      <c r="Q180" s="190"/>
      <c r="R180" s="190"/>
      <c r="S180" s="190"/>
      <c r="T180" s="191"/>
      <c r="AT180" s="185" t="s">
        <v>193</v>
      </c>
      <c r="AU180" s="185" t="s">
        <v>87</v>
      </c>
      <c r="AV180" s="16" t="s">
        <v>185</v>
      </c>
      <c r="AW180" s="16" t="s">
        <v>36</v>
      </c>
      <c r="AX180" s="16" t="s">
        <v>85</v>
      </c>
      <c r="AY180" s="185" t="s">
        <v>177</v>
      </c>
    </row>
    <row r="181" spans="1:65" s="2" customFormat="1" ht="16.5" customHeight="1">
      <c r="A181" s="34"/>
      <c r="B181" s="139"/>
      <c r="C181" s="195" t="s">
        <v>9</v>
      </c>
      <c r="D181" s="195" t="s">
        <v>484</v>
      </c>
      <c r="E181" s="196" t="s">
        <v>3167</v>
      </c>
      <c r="F181" s="197" t="s">
        <v>3168</v>
      </c>
      <c r="G181" s="198" t="s">
        <v>332</v>
      </c>
      <c r="H181" s="199">
        <v>540.21</v>
      </c>
      <c r="I181" s="200"/>
      <c r="J181" s="201">
        <f>ROUND(I181*H181,2)</f>
        <v>0</v>
      </c>
      <c r="K181" s="197" t="s">
        <v>184</v>
      </c>
      <c r="L181" s="202"/>
      <c r="M181" s="203" t="s">
        <v>3</v>
      </c>
      <c r="N181" s="204" t="s">
        <v>48</v>
      </c>
      <c r="O181" s="55"/>
      <c r="P181" s="149">
        <f>O181*H181</f>
        <v>0</v>
      </c>
      <c r="Q181" s="149">
        <v>4.4000000000000003E-3</v>
      </c>
      <c r="R181" s="149">
        <f>Q181*H181</f>
        <v>2.3769240000000003</v>
      </c>
      <c r="S181" s="149">
        <v>0</v>
      </c>
      <c r="T181" s="150">
        <f>S181*H181</f>
        <v>0</v>
      </c>
      <c r="U181" s="34"/>
      <c r="V181" s="34"/>
      <c r="W181" s="34"/>
      <c r="X181" s="34"/>
      <c r="Y181" s="34"/>
      <c r="Z181" s="34"/>
      <c r="AA181" s="34"/>
      <c r="AB181" s="34"/>
      <c r="AC181" s="34"/>
      <c r="AD181" s="34"/>
      <c r="AE181" s="34"/>
      <c r="AR181" s="151" t="s">
        <v>537</v>
      </c>
      <c r="AT181" s="151" t="s">
        <v>484</v>
      </c>
      <c r="AU181" s="151" t="s">
        <v>87</v>
      </c>
      <c r="AY181" s="19" t="s">
        <v>177</v>
      </c>
      <c r="BE181" s="152">
        <f>IF(N181="základní",J181,0)</f>
        <v>0</v>
      </c>
      <c r="BF181" s="152">
        <f>IF(N181="snížená",J181,0)</f>
        <v>0</v>
      </c>
      <c r="BG181" s="152">
        <f>IF(N181="zákl. přenesená",J181,0)</f>
        <v>0</v>
      </c>
      <c r="BH181" s="152">
        <f>IF(N181="sníž. přenesená",J181,0)</f>
        <v>0</v>
      </c>
      <c r="BI181" s="152">
        <f>IF(N181="nulová",J181,0)</f>
        <v>0</v>
      </c>
      <c r="BJ181" s="19" t="s">
        <v>85</v>
      </c>
      <c r="BK181" s="152">
        <f>ROUND(I181*H181,2)</f>
        <v>0</v>
      </c>
      <c r="BL181" s="19" t="s">
        <v>237</v>
      </c>
      <c r="BM181" s="151" t="s">
        <v>3169</v>
      </c>
    </row>
    <row r="182" spans="1:65" s="2" customFormat="1">
      <c r="A182" s="34"/>
      <c r="B182" s="35"/>
      <c r="C182" s="34"/>
      <c r="D182" s="153" t="s">
        <v>187</v>
      </c>
      <c r="E182" s="34"/>
      <c r="F182" s="154" t="s">
        <v>3168</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187</v>
      </c>
      <c r="AU182" s="19" t="s">
        <v>87</v>
      </c>
    </row>
    <row r="183" spans="1:65" s="13" customFormat="1">
      <c r="B183" s="161"/>
      <c r="D183" s="153" t="s">
        <v>193</v>
      </c>
      <c r="F183" s="163" t="s">
        <v>3170</v>
      </c>
      <c r="H183" s="164">
        <v>540.21</v>
      </c>
      <c r="I183" s="165"/>
      <c r="L183" s="161"/>
      <c r="M183" s="166"/>
      <c r="N183" s="167"/>
      <c r="O183" s="167"/>
      <c r="P183" s="167"/>
      <c r="Q183" s="167"/>
      <c r="R183" s="167"/>
      <c r="S183" s="167"/>
      <c r="T183" s="168"/>
      <c r="AT183" s="162" t="s">
        <v>193</v>
      </c>
      <c r="AU183" s="162" t="s">
        <v>87</v>
      </c>
      <c r="AV183" s="13" t="s">
        <v>87</v>
      </c>
      <c r="AW183" s="13" t="s">
        <v>4</v>
      </c>
      <c r="AX183" s="13" t="s">
        <v>85</v>
      </c>
      <c r="AY183" s="162" t="s">
        <v>177</v>
      </c>
    </row>
    <row r="184" spans="1:65" s="2" customFormat="1" ht="16.5" customHeight="1">
      <c r="A184" s="34"/>
      <c r="B184" s="139"/>
      <c r="C184" s="140" t="s">
        <v>237</v>
      </c>
      <c r="D184" s="140" t="s">
        <v>180</v>
      </c>
      <c r="E184" s="141" t="s">
        <v>3171</v>
      </c>
      <c r="F184" s="142" t="s">
        <v>3172</v>
      </c>
      <c r="G184" s="143" t="s">
        <v>183</v>
      </c>
      <c r="H184" s="144">
        <v>3.0249999999999999</v>
      </c>
      <c r="I184" s="145"/>
      <c r="J184" s="146">
        <f>ROUND(I184*H184,2)</f>
        <v>0</v>
      </c>
      <c r="K184" s="142" t="s">
        <v>184</v>
      </c>
      <c r="L184" s="35"/>
      <c r="M184" s="147" t="s">
        <v>3</v>
      </c>
      <c r="N184" s="148" t="s">
        <v>48</v>
      </c>
      <c r="O184" s="55"/>
      <c r="P184" s="149">
        <f>O184*H184</f>
        <v>0</v>
      </c>
      <c r="Q184" s="149">
        <v>0</v>
      </c>
      <c r="R184" s="149">
        <f>Q184*H184</f>
        <v>0</v>
      </c>
      <c r="S184" s="149">
        <v>0</v>
      </c>
      <c r="T184" s="150">
        <f>S184*H184</f>
        <v>0</v>
      </c>
      <c r="U184" s="34"/>
      <c r="V184" s="34"/>
      <c r="W184" s="34"/>
      <c r="X184" s="34"/>
      <c r="Y184" s="34"/>
      <c r="Z184" s="34"/>
      <c r="AA184" s="34"/>
      <c r="AB184" s="34"/>
      <c r="AC184" s="34"/>
      <c r="AD184" s="34"/>
      <c r="AE184" s="34"/>
      <c r="AR184" s="151" t="s">
        <v>237</v>
      </c>
      <c r="AT184" s="151" t="s">
        <v>180</v>
      </c>
      <c r="AU184" s="151" t="s">
        <v>87</v>
      </c>
      <c r="AY184" s="19" t="s">
        <v>177</v>
      </c>
      <c r="BE184" s="152">
        <f>IF(N184="základní",J184,0)</f>
        <v>0</v>
      </c>
      <c r="BF184" s="152">
        <f>IF(N184="snížená",J184,0)</f>
        <v>0</v>
      </c>
      <c r="BG184" s="152">
        <f>IF(N184="zákl. přenesená",J184,0)</f>
        <v>0</v>
      </c>
      <c r="BH184" s="152">
        <f>IF(N184="sníž. přenesená",J184,0)</f>
        <v>0</v>
      </c>
      <c r="BI184" s="152">
        <f>IF(N184="nulová",J184,0)</f>
        <v>0</v>
      </c>
      <c r="BJ184" s="19" t="s">
        <v>85</v>
      </c>
      <c r="BK184" s="152">
        <f>ROUND(I184*H184,2)</f>
        <v>0</v>
      </c>
      <c r="BL184" s="19" t="s">
        <v>237</v>
      </c>
      <c r="BM184" s="151" t="s">
        <v>3173</v>
      </c>
    </row>
    <row r="185" spans="1:65" s="2" customFormat="1" ht="19.5">
      <c r="A185" s="34"/>
      <c r="B185" s="35"/>
      <c r="C185" s="34"/>
      <c r="D185" s="153" t="s">
        <v>187</v>
      </c>
      <c r="E185" s="34"/>
      <c r="F185" s="154" t="s">
        <v>3174</v>
      </c>
      <c r="G185" s="34"/>
      <c r="H185" s="34"/>
      <c r="I185" s="155"/>
      <c r="J185" s="34"/>
      <c r="K185" s="34"/>
      <c r="L185" s="35"/>
      <c r="M185" s="156"/>
      <c r="N185" s="157"/>
      <c r="O185" s="55"/>
      <c r="P185" s="55"/>
      <c r="Q185" s="55"/>
      <c r="R185" s="55"/>
      <c r="S185" s="55"/>
      <c r="T185" s="56"/>
      <c r="U185" s="34"/>
      <c r="V185" s="34"/>
      <c r="W185" s="34"/>
      <c r="X185" s="34"/>
      <c r="Y185" s="34"/>
      <c r="Z185" s="34"/>
      <c r="AA185" s="34"/>
      <c r="AB185" s="34"/>
      <c r="AC185" s="34"/>
      <c r="AD185" s="34"/>
      <c r="AE185" s="34"/>
      <c r="AT185" s="19" t="s">
        <v>187</v>
      </c>
      <c r="AU185" s="19" t="s">
        <v>87</v>
      </c>
    </row>
    <row r="186" spans="1:65" s="2" customFormat="1">
      <c r="A186" s="34"/>
      <c r="B186" s="35"/>
      <c r="C186" s="34"/>
      <c r="D186" s="158" t="s">
        <v>189</v>
      </c>
      <c r="E186" s="34"/>
      <c r="F186" s="159" t="s">
        <v>3175</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189</v>
      </c>
      <c r="AU186" s="19" t="s">
        <v>87</v>
      </c>
    </row>
    <row r="187" spans="1:65" s="2" customFormat="1" ht="78">
      <c r="A187" s="34"/>
      <c r="B187" s="35"/>
      <c r="C187" s="34"/>
      <c r="D187" s="153" t="s">
        <v>191</v>
      </c>
      <c r="E187" s="34"/>
      <c r="F187" s="160" t="s">
        <v>2904</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191</v>
      </c>
      <c r="AU187" s="19" t="s">
        <v>87</v>
      </c>
    </row>
    <row r="188" spans="1:65" s="2" customFormat="1" ht="16.5" customHeight="1">
      <c r="A188" s="34"/>
      <c r="B188" s="139"/>
      <c r="C188" s="140" t="s">
        <v>302</v>
      </c>
      <c r="D188" s="140" t="s">
        <v>180</v>
      </c>
      <c r="E188" s="141" t="s">
        <v>3176</v>
      </c>
      <c r="F188" s="142" t="s">
        <v>3177</v>
      </c>
      <c r="G188" s="143" t="s">
        <v>183</v>
      </c>
      <c r="H188" s="144">
        <v>3.0249999999999999</v>
      </c>
      <c r="I188" s="145"/>
      <c r="J188" s="146">
        <f>ROUND(I188*H188,2)</f>
        <v>0</v>
      </c>
      <c r="K188" s="142" t="s">
        <v>184</v>
      </c>
      <c r="L188" s="35"/>
      <c r="M188" s="147" t="s">
        <v>3</v>
      </c>
      <c r="N188" s="148" t="s">
        <v>48</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237</v>
      </c>
      <c r="AT188" s="151" t="s">
        <v>180</v>
      </c>
      <c r="AU188" s="151" t="s">
        <v>87</v>
      </c>
      <c r="AY188" s="19" t="s">
        <v>177</v>
      </c>
      <c r="BE188" s="152">
        <f>IF(N188="základní",J188,0)</f>
        <v>0</v>
      </c>
      <c r="BF188" s="152">
        <f>IF(N188="snížená",J188,0)</f>
        <v>0</v>
      </c>
      <c r="BG188" s="152">
        <f>IF(N188="zákl. přenesená",J188,0)</f>
        <v>0</v>
      </c>
      <c r="BH188" s="152">
        <f>IF(N188="sníž. přenesená",J188,0)</f>
        <v>0</v>
      </c>
      <c r="BI188" s="152">
        <f>IF(N188="nulová",J188,0)</f>
        <v>0</v>
      </c>
      <c r="BJ188" s="19" t="s">
        <v>85</v>
      </c>
      <c r="BK188" s="152">
        <f>ROUND(I188*H188,2)</f>
        <v>0</v>
      </c>
      <c r="BL188" s="19" t="s">
        <v>237</v>
      </c>
      <c r="BM188" s="151" t="s">
        <v>3178</v>
      </c>
    </row>
    <row r="189" spans="1:65" s="2" customFormat="1" ht="19.5">
      <c r="A189" s="34"/>
      <c r="B189" s="35"/>
      <c r="C189" s="34"/>
      <c r="D189" s="153" t="s">
        <v>187</v>
      </c>
      <c r="E189" s="34"/>
      <c r="F189" s="154" t="s">
        <v>3179</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187</v>
      </c>
      <c r="AU189" s="19" t="s">
        <v>87</v>
      </c>
    </row>
    <row r="190" spans="1:65" s="2" customFormat="1">
      <c r="A190" s="34"/>
      <c r="B190" s="35"/>
      <c r="C190" s="34"/>
      <c r="D190" s="158" t="s">
        <v>189</v>
      </c>
      <c r="E190" s="34"/>
      <c r="F190" s="159" t="s">
        <v>3180</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189</v>
      </c>
      <c r="AU190" s="19" t="s">
        <v>87</v>
      </c>
    </row>
    <row r="191" spans="1:65" s="2" customFormat="1" ht="78">
      <c r="A191" s="34"/>
      <c r="B191" s="35"/>
      <c r="C191" s="34"/>
      <c r="D191" s="153" t="s">
        <v>191</v>
      </c>
      <c r="E191" s="34"/>
      <c r="F191" s="160" t="s">
        <v>2904</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191</v>
      </c>
      <c r="AU191" s="19" t="s">
        <v>87</v>
      </c>
    </row>
    <row r="192" spans="1:65" s="12" customFormat="1" ht="22.9" customHeight="1">
      <c r="B192" s="126"/>
      <c r="D192" s="127" t="s">
        <v>76</v>
      </c>
      <c r="E192" s="137" t="s">
        <v>3181</v>
      </c>
      <c r="F192" s="137" t="s">
        <v>3182</v>
      </c>
      <c r="I192" s="129"/>
      <c r="J192" s="138">
        <f>BK192</f>
        <v>0</v>
      </c>
      <c r="L192" s="126"/>
      <c r="M192" s="131"/>
      <c r="N192" s="132"/>
      <c r="O192" s="132"/>
      <c r="P192" s="133">
        <f>SUM(P193:P232)</f>
        <v>0</v>
      </c>
      <c r="Q192" s="132"/>
      <c r="R192" s="133">
        <f>SUM(R193:R232)</f>
        <v>1.03366357934</v>
      </c>
      <c r="S192" s="132"/>
      <c r="T192" s="134">
        <f>SUM(T193:T232)</f>
        <v>0</v>
      </c>
      <c r="AR192" s="127" t="s">
        <v>87</v>
      </c>
      <c r="AT192" s="135" t="s">
        <v>76</v>
      </c>
      <c r="AU192" s="135" t="s">
        <v>85</v>
      </c>
      <c r="AY192" s="127" t="s">
        <v>177</v>
      </c>
      <c r="BK192" s="136">
        <f>SUM(BK193:BK232)</f>
        <v>0</v>
      </c>
    </row>
    <row r="193" spans="1:65" s="2" customFormat="1" ht="16.5" customHeight="1">
      <c r="A193" s="34"/>
      <c r="B193" s="139"/>
      <c r="C193" s="140" t="s">
        <v>315</v>
      </c>
      <c r="D193" s="140" t="s">
        <v>180</v>
      </c>
      <c r="E193" s="141" t="s">
        <v>3183</v>
      </c>
      <c r="F193" s="142" t="s">
        <v>3184</v>
      </c>
      <c r="G193" s="143" t="s">
        <v>332</v>
      </c>
      <c r="H193" s="144">
        <v>5.6</v>
      </c>
      <c r="I193" s="145"/>
      <c r="J193" s="146">
        <f>ROUND(I193*H193,2)</f>
        <v>0</v>
      </c>
      <c r="K193" s="142" t="s">
        <v>184</v>
      </c>
      <c r="L193" s="35"/>
      <c r="M193" s="147" t="s">
        <v>3</v>
      </c>
      <c r="N193" s="148" t="s">
        <v>48</v>
      </c>
      <c r="O193" s="55"/>
      <c r="P193" s="149">
        <f>O193*H193</f>
        <v>0</v>
      </c>
      <c r="Q193" s="149">
        <v>2.5594200000000001E-2</v>
      </c>
      <c r="R193" s="149">
        <f>Q193*H193</f>
        <v>0.14332751999999999</v>
      </c>
      <c r="S193" s="149">
        <v>0</v>
      </c>
      <c r="T193" s="150">
        <f>S193*H193</f>
        <v>0</v>
      </c>
      <c r="U193" s="34"/>
      <c r="V193" s="34"/>
      <c r="W193" s="34"/>
      <c r="X193" s="34"/>
      <c r="Y193" s="34"/>
      <c r="Z193" s="34"/>
      <c r="AA193" s="34"/>
      <c r="AB193" s="34"/>
      <c r="AC193" s="34"/>
      <c r="AD193" s="34"/>
      <c r="AE193" s="34"/>
      <c r="AR193" s="151" t="s">
        <v>237</v>
      </c>
      <c r="AT193" s="151" t="s">
        <v>180</v>
      </c>
      <c r="AU193" s="151" t="s">
        <v>87</v>
      </c>
      <c r="AY193" s="19" t="s">
        <v>177</v>
      </c>
      <c r="BE193" s="152">
        <f>IF(N193="základní",J193,0)</f>
        <v>0</v>
      </c>
      <c r="BF193" s="152">
        <f>IF(N193="snížená",J193,0)</f>
        <v>0</v>
      </c>
      <c r="BG193" s="152">
        <f>IF(N193="zákl. přenesená",J193,0)</f>
        <v>0</v>
      </c>
      <c r="BH193" s="152">
        <f>IF(N193="sníž. přenesená",J193,0)</f>
        <v>0</v>
      </c>
      <c r="BI193" s="152">
        <f>IF(N193="nulová",J193,0)</f>
        <v>0</v>
      </c>
      <c r="BJ193" s="19" t="s">
        <v>85</v>
      </c>
      <c r="BK193" s="152">
        <f>ROUND(I193*H193,2)</f>
        <v>0</v>
      </c>
      <c r="BL193" s="19" t="s">
        <v>237</v>
      </c>
      <c r="BM193" s="151" t="s">
        <v>3185</v>
      </c>
    </row>
    <row r="194" spans="1:65" s="2" customFormat="1" ht="19.5">
      <c r="A194" s="34"/>
      <c r="B194" s="35"/>
      <c r="C194" s="34"/>
      <c r="D194" s="153" t="s">
        <v>187</v>
      </c>
      <c r="E194" s="34"/>
      <c r="F194" s="154" t="s">
        <v>3186</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187</v>
      </c>
      <c r="AU194" s="19" t="s">
        <v>87</v>
      </c>
    </row>
    <row r="195" spans="1:65" s="2" customFormat="1">
      <c r="A195" s="34"/>
      <c r="B195" s="35"/>
      <c r="C195" s="34"/>
      <c r="D195" s="158" t="s">
        <v>189</v>
      </c>
      <c r="E195" s="34"/>
      <c r="F195" s="159" t="s">
        <v>3187</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189</v>
      </c>
      <c r="AU195" s="19" t="s">
        <v>87</v>
      </c>
    </row>
    <row r="196" spans="1:65" s="2" customFormat="1" ht="136.5">
      <c r="A196" s="34"/>
      <c r="B196" s="35"/>
      <c r="C196" s="34"/>
      <c r="D196" s="153" t="s">
        <v>191</v>
      </c>
      <c r="E196" s="34"/>
      <c r="F196" s="160" t="s">
        <v>3188</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191</v>
      </c>
      <c r="AU196" s="19" t="s">
        <v>87</v>
      </c>
    </row>
    <row r="197" spans="1:65" s="14" customFormat="1">
      <c r="B197" s="169"/>
      <c r="D197" s="153" t="s">
        <v>193</v>
      </c>
      <c r="E197" s="170" t="s">
        <v>3</v>
      </c>
      <c r="F197" s="171" t="s">
        <v>3189</v>
      </c>
      <c r="H197" s="170" t="s">
        <v>3</v>
      </c>
      <c r="I197" s="172"/>
      <c r="L197" s="169"/>
      <c r="M197" s="173"/>
      <c r="N197" s="174"/>
      <c r="O197" s="174"/>
      <c r="P197" s="174"/>
      <c r="Q197" s="174"/>
      <c r="R197" s="174"/>
      <c r="S197" s="174"/>
      <c r="T197" s="175"/>
      <c r="AT197" s="170" t="s">
        <v>193</v>
      </c>
      <c r="AU197" s="170" t="s">
        <v>87</v>
      </c>
      <c r="AV197" s="14" t="s">
        <v>85</v>
      </c>
      <c r="AW197" s="14" t="s">
        <v>36</v>
      </c>
      <c r="AX197" s="14" t="s">
        <v>77</v>
      </c>
      <c r="AY197" s="170" t="s">
        <v>177</v>
      </c>
    </row>
    <row r="198" spans="1:65" s="13" customFormat="1">
      <c r="B198" s="161"/>
      <c r="D198" s="153" t="s">
        <v>193</v>
      </c>
      <c r="E198" s="162" t="s">
        <v>3</v>
      </c>
      <c r="F198" s="163" t="s">
        <v>3190</v>
      </c>
      <c r="H198" s="164">
        <v>5.6</v>
      </c>
      <c r="I198" s="165"/>
      <c r="L198" s="161"/>
      <c r="M198" s="166"/>
      <c r="N198" s="167"/>
      <c r="O198" s="167"/>
      <c r="P198" s="167"/>
      <c r="Q198" s="167"/>
      <c r="R198" s="167"/>
      <c r="S198" s="167"/>
      <c r="T198" s="168"/>
      <c r="AT198" s="162" t="s">
        <v>193</v>
      </c>
      <c r="AU198" s="162" t="s">
        <v>87</v>
      </c>
      <c r="AV198" s="13" t="s">
        <v>87</v>
      </c>
      <c r="AW198" s="13" t="s">
        <v>36</v>
      </c>
      <c r="AX198" s="13" t="s">
        <v>85</v>
      </c>
      <c r="AY198" s="162" t="s">
        <v>177</v>
      </c>
    </row>
    <row r="199" spans="1:65" s="2" customFormat="1" ht="16.5" customHeight="1">
      <c r="A199" s="34"/>
      <c r="B199" s="139"/>
      <c r="C199" s="140" t="s">
        <v>461</v>
      </c>
      <c r="D199" s="140" t="s">
        <v>180</v>
      </c>
      <c r="E199" s="141" t="s">
        <v>3191</v>
      </c>
      <c r="F199" s="142" t="s">
        <v>3192</v>
      </c>
      <c r="G199" s="143" t="s">
        <v>332</v>
      </c>
      <c r="H199" s="144">
        <v>5.6</v>
      </c>
      <c r="I199" s="145"/>
      <c r="J199" s="146">
        <f>ROUND(I199*H199,2)</f>
        <v>0</v>
      </c>
      <c r="K199" s="142" t="s">
        <v>184</v>
      </c>
      <c r="L199" s="35"/>
      <c r="M199" s="147" t="s">
        <v>3</v>
      </c>
      <c r="N199" s="148" t="s">
        <v>48</v>
      </c>
      <c r="O199" s="55"/>
      <c r="P199" s="149">
        <f>O199*H199</f>
        <v>0</v>
      </c>
      <c r="Q199" s="149">
        <v>1E-4</v>
      </c>
      <c r="R199" s="149">
        <f>Q199*H199</f>
        <v>5.5999999999999995E-4</v>
      </c>
      <c r="S199" s="149">
        <v>0</v>
      </c>
      <c r="T199" s="150">
        <f>S199*H199</f>
        <v>0</v>
      </c>
      <c r="U199" s="34"/>
      <c r="V199" s="34"/>
      <c r="W199" s="34"/>
      <c r="X199" s="34"/>
      <c r="Y199" s="34"/>
      <c r="Z199" s="34"/>
      <c r="AA199" s="34"/>
      <c r="AB199" s="34"/>
      <c r="AC199" s="34"/>
      <c r="AD199" s="34"/>
      <c r="AE199" s="34"/>
      <c r="AR199" s="151" t="s">
        <v>237</v>
      </c>
      <c r="AT199" s="151" t="s">
        <v>180</v>
      </c>
      <c r="AU199" s="151" t="s">
        <v>87</v>
      </c>
      <c r="AY199" s="19" t="s">
        <v>177</v>
      </c>
      <c r="BE199" s="152">
        <f>IF(N199="základní",J199,0)</f>
        <v>0</v>
      </c>
      <c r="BF199" s="152">
        <f>IF(N199="snížená",J199,0)</f>
        <v>0</v>
      </c>
      <c r="BG199" s="152">
        <f>IF(N199="zákl. přenesená",J199,0)</f>
        <v>0</v>
      </c>
      <c r="BH199" s="152">
        <f>IF(N199="sníž. přenesená",J199,0)</f>
        <v>0</v>
      </c>
      <c r="BI199" s="152">
        <f>IF(N199="nulová",J199,0)</f>
        <v>0</v>
      </c>
      <c r="BJ199" s="19" t="s">
        <v>85</v>
      </c>
      <c r="BK199" s="152">
        <f>ROUND(I199*H199,2)</f>
        <v>0</v>
      </c>
      <c r="BL199" s="19" t="s">
        <v>237</v>
      </c>
      <c r="BM199" s="151" t="s">
        <v>3193</v>
      </c>
    </row>
    <row r="200" spans="1:65" s="2" customFormat="1" ht="19.5">
      <c r="A200" s="34"/>
      <c r="B200" s="35"/>
      <c r="C200" s="34"/>
      <c r="D200" s="153" t="s">
        <v>187</v>
      </c>
      <c r="E200" s="34"/>
      <c r="F200" s="154" t="s">
        <v>3194</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187</v>
      </c>
      <c r="AU200" s="19" t="s">
        <v>87</v>
      </c>
    </row>
    <row r="201" spans="1:65" s="2" customFormat="1">
      <c r="A201" s="34"/>
      <c r="B201" s="35"/>
      <c r="C201" s="34"/>
      <c r="D201" s="158" t="s">
        <v>189</v>
      </c>
      <c r="E201" s="34"/>
      <c r="F201" s="159" t="s">
        <v>3195</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189</v>
      </c>
      <c r="AU201" s="19" t="s">
        <v>87</v>
      </c>
    </row>
    <row r="202" spans="1:65" s="2" customFormat="1" ht="136.5">
      <c r="A202" s="34"/>
      <c r="B202" s="35"/>
      <c r="C202" s="34"/>
      <c r="D202" s="153" t="s">
        <v>191</v>
      </c>
      <c r="E202" s="34"/>
      <c r="F202" s="160" t="s">
        <v>3188</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191</v>
      </c>
      <c r="AU202" s="19" t="s">
        <v>87</v>
      </c>
    </row>
    <row r="203" spans="1:65" s="2" customFormat="1" ht="16.5" customHeight="1">
      <c r="A203" s="34"/>
      <c r="B203" s="139"/>
      <c r="C203" s="140" t="s">
        <v>467</v>
      </c>
      <c r="D203" s="140" t="s">
        <v>180</v>
      </c>
      <c r="E203" s="141" t="s">
        <v>3196</v>
      </c>
      <c r="F203" s="142" t="s">
        <v>3197</v>
      </c>
      <c r="G203" s="143" t="s">
        <v>332</v>
      </c>
      <c r="H203" s="144">
        <v>32.6</v>
      </c>
      <c r="I203" s="145"/>
      <c r="J203" s="146">
        <f>ROUND(I203*H203,2)</f>
        <v>0</v>
      </c>
      <c r="K203" s="142" t="s">
        <v>184</v>
      </c>
      <c r="L203" s="35"/>
      <c r="M203" s="147" t="s">
        <v>3</v>
      </c>
      <c r="N203" s="148" t="s">
        <v>48</v>
      </c>
      <c r="O203" s="55"/>
      <c r="P203" s="149">
        <f>O203*H203</f>
        <v>0</v>
      </c>
      <c r="Q203" s="149">
        <v>1.22014909E-2</v>
      </c>
      <c r="R203" s="149">
        <f>Q203*H203</f>
        <v>0.39776860334000003</v>
      </c>
      <c r="S203" s="149">
        <v>0</v>
      </c>
      <c r="T203" s="150">
        <f>S203*H203</f>
        <v>0</v>
      </c>
      <c r="U203" s="34"/>
      <c r="V203" s="34"/>
      <c r="W203" s="34"/>
      <c r="X203" s="34"/>
      <c r="Y203" s="34"/>
      <c r="Z203" s="34"/>
      <c r="AA203" s="34"/>
      <c r="AB203" s="34"/>
      <c r="AC203" s="34"/>
      <c r="AD203" s="34"/>
      <c r="AE203" s="34"/>
      <c r="AR203" s="151" t="s">
        <v>237</v>
      </c>
      <c r="AT203" s="151" t="s">
        <v>180</v>
      </c>
      <c r="AU203" s="151" t="s">
        <v>87</v>
      </c>
      <c r="AY203" s="19" t="s">
        <v>177</v>
      </c>
      <c r="BE203" s="152">
        <f>IF(N203="základní",J203,0)</f>
        <v>0</v>
      </c>
      <c r="BF203" s="152">
        <f>IF(N203="snížená",J203,0)</f>
        <v>0</v>
      </c>
      <c r="BG203" s="152">
        <f>IF(N203="zákl. přenesená",J203,0)</f>
        <v>0</v>
      </c>
      <c r="BH203" s="152">
        <f>IF(N203="sníž. přenesená",J203,0)</f>
        <v>0</v>
      </c>
      <c r="BI203" s="152">
        <f>IF(N203="nulová",J203,0)</f>
        <v>0</v>
      </c>
      <c r="BJ203" s="19" t="s">
        <v>85</v>
      </c>
      <c r="BK203" s="152">
        <f>ROUND(I203*H203,2)</f>
        <v>0</v>
      </c>
      <c r="BL203" s="19" t="s">
        <v>237</v>
      </c>
      <c r="BM203" s="151" t="s">
        <v>3198</v>
      </c>
    </row>
    <row r="204" spans="1:65" s="2" customFormat="1" ht="19.5">
      <c r="A204" s="34"/>
      <c r="B204" s="35"/>
      <c r="C204" s="34"/>
      <c r="D204" s="153" t="s">
        <v>187</v>
      </c>
      <c r="E204" s="34"/>
      <c r="F204" s="154" t="s">
        <v>3199</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187</v>
      </c>
      <c r="AU204" s="19" t="s">
        <v>87</v>
      </c>
    </row>
    <row r="205" spans="1:65" s="2" customFormat="1">
      <c r="A205" s="34"/>
      <c r="B205" s="35"/>
      <c r="C205" s="34"/>
      <c r="D205" s="158" t="s">
        <v>189</v>
      </c>
      <c r="E205" s="34"/>
      <c r="F205" s="159" t="s">
        <v>3200</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189</v>
      </c>
      <c r="AU205" s="19" t="s">
        <v>87</v>
      </c>
    </row>
    <row r="206" spans="1:65" s="2" customFormat="1" ht="87.75">
      <c r="A206" s="34"/>
      <c r="B206" s="35"/>
      <c r="C206" s="34"/>
      <c r="D206" s="153" t="s">
        <v>191</v>
      </c>
      <c r="E206" s="34"/>
      <c r="F206" s="160" t="s">
        <v>3201</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191</v>
      </c>
      <c r="AU206" s="19" t="s">
        <v>87</v>
      </c>
    </row>
    <row r="207" spans="1:65" s="13" customFormat="1">
      <c r="B207" s="161"/>
      <c r="D207" s="153" t="s">
        <v>193</v>
      </c>
      <c r="E207" s="162" t="s">
        <v>3</v>
      </c>
      <c r="F207" s="163" t="s">
        <v>3202</v>
      </c>
      <c r="H207" s="164">
        <v>32.6</v>
      </c>
      <c r="I207" s="165"/>
      <c r="L207" s="161"/>
      <c r="M207" s="166"/>
      <c r="N207" s="167"/>
      <c r="O207" s="167"/>
      <c r="P207" s="167"/>
      <c r="Q207" s="167"/>
      <c r="R207" s="167"/>
      <c r="S207" s="167"/>
      <c r="T207" s="168"/>
      <c r="AT207" s="162" t="s">
        <v>193</v>
      </c>
      <c r="AU207" s="162" t="s">
        <v>87</v>
      </c>
      <c r="AV207" s="13" t="s">
        <v>87</v>
      </c>
      <c r="AW207" s="13" t="s">
        <v>36</v>
      </c>
      <c r="AX207" s="13" t="s">
        <v>85</v>
      </c>
      <c r="AY207" s="162" t="s">
        <v>177</v>
      </c>
    </row>
    <row r="208" spans="1:65" s="2" customFormat="1" ht="16.5" customHeight="1">
      <c r="A208" s="34"/>
      <c r="B208" s="139"/>
      <c r="C208" s="140" t="s">
        <v>8</v>
      </c>
      <c r="D208" s="140" t="s">
        <v>180</v>
      </c>
      <c r="E208" s="141" t="s">
        <v>3203</v>
      </c>
      <c r="F208" s="142" t="s">
        <v>3204</v>
      </c>
      <c r="G208" s="143" t="s">
        <v>332</v>
      </c>
      <c r="H208" s="144">
        <v>34.799999999999997</v>
      </c>
      <c r="I208" s="145"/>
      <c r="J208" s="146">
        <f>ROUND(I208*H208,2)</f>
        <v>0</v>
      </c>
      <c r="K208" s="142" t="s">
        <v>184</v>
      </c>
      <c r="L208" s="35"/>
      <c r="M208" s="147" t="s">
        <v>3</v>
      </c>
      <c r="N208" s="148" t="s">
        <v>48</v>
      </c>
      <c r="O208" s="55"/>
      <c r="P208" s="149">
        <f>O208*H208</f>
        <v>0</v>
      </c>
      <c r="Q208" s="149">
        <v>1.2588719999999999E-2</v>
      </c>
      <c r="R208" s="149">
        <f>Q208*H208</f>
        <v>0.43808745599999993</v>
      </c>
      <c r="S208" s="149">
        <v>0</v>
      </c>
      <c r="T208" s="150">
        <f>S208*H208</f>
        <v>0</v>
      </c>
      <c r="U208" s="34"/>
      <c r="V208" s="34"/>
      <c r="W208" s="34"/>
      <c r="X208" s="34"/>
      <c r="Y208" s="34"/>
      <c r="Z208" s="34"/>
      <c r="AA208" s="34"/>
      <c r="AB208" s="34"/>
      <c r="AC208" s="34"/>
      <c r="AD208" s="34"/>
      <c r="AE208" s="34"/>
      <c r="AR208" s="151" t="s">
        <v>237</v>
      </c>
      <c r="AT208" s="151" t="s">
        <v>180</v>
      </c>
      <c r="AU208" s="151" t="s">
        <v>87</v>
      </c>
      <c r="AY208" s="19" t="s">
        <v>177</v>
      </c>
      <c r="BE208" s="152">
        <f>IF(N208="základní",J208,0)</f>
        <v>0</v>
      </c>
      <c r="BF208" s="152">
        <f>IF(N208="snížená",J208,0)</f>
        <v>0</v>
      </c>
      <c r="BG208" s="152">
        <f>IF(N208="zákl. přenesená",J208,0)</f>
        <v>0</v>
      </c>
      <c r="BH208" s="152">
        <f>IF(N208="sníž. přenesená",J208,0)</f>
        <v>0</v>
      </c>
      <c r="BI208" s="152">
        <f>IF(N208="nulová",J208,0)</f>
        <v>0</v>
      </c>
      <c r="BJ208" s="19" t="s">
        <v>85</v>
      </c>
      <c r="BK208" s="152">
        <f>ROUND(I208*H208,2)</f>
        <v>0</v>
      </c>
      <c r="BL208" s="19" t="s">
        <v>237</v>
      </c>
      <c r="BM208" s="151" t="s">
        <v>3205</v>
      </c>
    </row>
    <row r="209" spans="1:65" s="2" customFormat="1" ht="19.5">
      <c r="A209" s="34"/>
      <c r="B209" s="35"/>
      <c r="C209" s="34"/>
      <c r="D209" s="153" t="s">
        <v>187</v>
      </c>
      <c r="E209" s="34"/>
      <c r="F209" s="154" t="s">
        <v>3206</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187</v>
      </c>
      <c r="AU209" s="19" t="s">
        <v>87</v>
      </c>
    </row>
    <row r="210" spans="1:65" s="2" customFormat="1">
      <c r="A210" s="34"/>
      <c r="B210" s="35"/>
      <c r="C210" s="34"/>
      <c r="D210" s="158" t="s">
        <v>189</v>
      </c>
      <c r="E210" s="34"/>
      <c r="F210" s="159" t="s">
        <v>3207</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189</v>
      </c>
      <c r="AU210" s="19" t="s">
        <v>87</v>
      </c>
    </row>
    <row r="211" spans="1:65" s="2" customFormat="1" ht="87.75">
      <c r="A211" s="34"/>
      <c r="B211" s="35"/>
      <c r="C211" s="34"/>
      <c r="D211" s="153" t="s">
        <v>191</v>
      </c>
      <c r="E211" s="34"/>
      <c r="F211" s="160" t="s">
        <v>3201</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191</v>
      </c>
      <c r="AU211" s="19" t="s">
        <v>87</v>
      </c>
    </row>
    <row r="212" spans="1:65" s="14" customFormat="1">
      <c r="B212" s="169"/>
      <c r="D212" s="153" t="s">
        <v>193</v>
      </c>
      <c r="E212" s="170" t="s">
        <v>3</v>
      </c>
      <c r="F212" s="171" t="s">
        <v>939</v>
      </c>
      <c r="H212" s="170" t="s">
        <v>3</v>
      </c>
      <c r="I212" s="172"/>
      <c r="L212" s="169"/>
      <c r="M212" s="173"/>
      <c r="N212" s="174"/>
      <c r="O212" s="174"/>
      <c r="P212" s="174"/>
      <c r="Q212" s="174"/>
      <c r="R212" s="174"/>
      <c r="S212" s="174"/>
      <c r="T212" s="175"/>
      <c r="AT212" s="170" t="s">
        <v>193</v>
      </c>
      <c r="AU212" s="170" t="s">
        <v>87</v>
      </c>
      <c r="AV212" s="14" t="s">
        <v>85</v>
      </c>
      <c r="AW212" s="14" t="s">
        <v>36</v>
      </c>
      <c r="AX212" s="14" t="s">
        <v>77</v>
      </c>
      <c r="AY212" s="170" t="s">
        <v>177</v>
      </c>
    </row>
    <row r="213" spans="1:65" s="13" customFormat="1">
      <c r="B213" s="161"/>
      <c r="D213" s="153" t="s">
        <v>193</v>
      </c>
      <c r="E213" s="162" t="s">
        <v>3</v>
      </c>
      <c r="F213" s="163" t="s">
        <v>3208</v>
      </c>
      <c r="H213" s="164">
        <v>16.3</v>
      </c>
      <c r="I213" s="165"/>
      <c r="L213" s="161"/>
      <c r="M213" s="166"/>
      <c r="N213" s="167"/>
      <c r="O213" s="167"/>
      <c r="P213" s="167"/>
      <c r="Q213" s="167"/>
      <c r="R213" s="167"/>
      <c r="S213" s="167"/>
      <c r="T213" s="168"/>
      <c r="AT213" s="162" t="s">
        <v>193</v>
      </c>
      <c r="AU213" s="162" t="s">
        <v>87</v>
      </c>
      <c r="AV213" s="13" t="s">
        <v>87</v>
      </c>
      <c r="AW213" s="13" t="s">
        <v>36</v>
      </c>
      <c r="AX213" s="13" t="s">
        <v>77</v>
      </c>
      <c r="AY213" s="162" t="s">
        <v>177</v>
      </c>
    </row>
    <row r="214" spans="1:65" s="14" customFormat="1">
      <c r="B214" s="169"/>
      <c r="D214" s="153" t="s">
        <v>193</v>
      </c>
      <c r="E214" s="170" t="s">
        <v>3</v>
      </c>
      <c r="F214" s="171" t="s">
        <v>931</v>
      </c>
      <c r="H214" s="170" t="s">
        <v>3</v>
      </c>
      <c r="I214" s="172"/>
      <c r="L214" s="169"/>
      <c r="M214" s="173"/>
      <c r="N214" s="174"/>
      <c r="O214" s="174"/>
      <c r="P214" s="174"/>
      <c r="Q214" s="174"/>
      <c r="R214" s="174"/>
      <c r="S214" s="174"/>
      <c r="T214" s="175"/>
      <c r="AT214" s="170" t="s">
        <v>193</v>
      </c>
      <c r="AU214" s="170" t="s">
        <v>87</v>
      </c>
      <c r="AV214" s="14" t="s">
        <v>85</v>
      </c>
      <c r="AW214" s="14" t="s">
        <v>36</v>
      </c>
      <c r="AX214" s="14" t="s">
        <v>77</v>
      </c>
      <c r="AY214" s="170" t="s">
        <v>177</v>
      </c>
    </row>
    <row r="215" spans="1:65" s="13" customFormat="1">
      <c r="B215" s="161"/>
      <c r="D215" s="153" t="s">
        <v>193</v>
      </c>
      <c r="E215" s="162" t="s">
        <v>3</v>
      </c>
      <c r="F215" s="163" t="s">
        <v>3209</v>
      </c>
      <c r="H215" s="164">
        <v>18.5</v>
      </c>
      <c r="I215" s="165"/>
      <c r="L215" s="161"/>
      <c r="M215" s="166"/>
      <c r="N215" s="167"/>
      <c r="O215" s="167"/>
      <c r="P215" s="167"/>
      <c r="Q215" s="167"/>
      <c r="R215" s="167"/>
      <c r="S215" s="167"/>
      <c r="T215" s="168"/>
      <c r="AT215" s="162" t="s">
        <v>193</v>
      </c>
      <c r="AU215" s="162" t="s">
        <v>87</v>
      </c>
      <c r="AV215" s="13" t="s">
        <v>87</v>
      </c>
      <c r="AW215" s="13" t="s">
        <v>36</v>
      </c>
      <c r="AX215" s="13" t="s">
        <v>77</v>
      </c>
      <c r="AY215" s="162" t="s">
        <v>177</v>
      </c>
    </row>
    <row r="216" spans="1:65" s="16" customFormat="1">
      <c r="B216" s="184"/>
      <c r="D216" s="153" t="s">
        <v>193</v>
      </c>
      <c r="E216" s="185" t="s">
        <v>3</v>
      </c>
      <c r="F216" s="186" t="s">
        <v>201</v>
      </c>
      <c r="H216" s="187">
        <v>34.799999999999997</v>
      </c>
      <c r="I216" s="188"/>
      <c r="L216" s="184"/>
      <c r="M216" s="189"/>
      <c r="N216" s="190"/>
      <c r="O216" s="190"/>
      <c r="P216" s="190"/>
      <c r="Q216" s="190"/>
      <c r="R216" s="190"/>
      <c r="S216" s="190"/>
      <c r="T216" s="191"/>
      <c r="AT216" s="185" t="s">
        <v>193</v>
      </c>
      <c r="AU216" s="185" t="s">
        <v>87</v>
      </c>
      <c r="AV216" s="16" t="s">
        <v>185</v>
      </c>
      <c r="AW216" s="16" t="s">
        <v>36</v>
      </c>
      <c r="AX216" s="16" t="s">
        <v>85</v>
      </c>
      <c r="AY216" s="185" t="s">
        <v>177</v>
      </c>
    </row>
    <row r="217" spans="1:65" s="2" customFormat="1" ht="16.5" customHeight="1">
      <c r="A217" s="34"/>
      <c r="B217" s="139"/>
      <c r="C217" s="140" t="s">
        <v>483</v>
      </c>
      <c r="D217" s="140" t="s">
        <v>180</v>
      </c>
      <c r="E217" s="141" t="s">
        <v>3210</v>
      </c>
      <c r="F217" s="142" t="s">
        <v>3211</v>
      </c>
      <c r="G217" s="143" t="s">
        <v>332</v>
      </c>
      <c r="H217" s="144">
        <v>67.400000000000006</v>
      </c>
      <c r="I217" s="145"/>
      <c r="J217" s="146">
        <f>ROUND(I217*H217,2)</f>
        <v>0</v>
      </c>
      <c r="K217" s="142" t="s">
        <v>184</v>
      </c>
      <c r="L217" s="35"/>
      <c r="M217" s="147" t="s">
        <v>3</v>
      </c>
      <c r="N217" s="148" t="s">
        <v>48</v>
      </c>
      <c r="O217" s="55"/>
      <c r="P217" s="149">
        <f>O217*H217</f>
        <v>0</v>
      </c>
      <c r="Q217" s="149">
        <v>1E-4</v>
      </c>
      <c r="R217" s="149">
        <f>Q217*H217</f>
        <v>6.7400000000000012E-3</v>
      </c>
      <c r="S217" s="149">
        <v>0</v>
      </c>
      <c r="T217" s="150">
        <f>S217*H217</f>
        <v>0</v>
      </c>
      <c r="U217" s="34"/>
      <c r="V217" s="34"/>
      <c r="W217" s="34"/>
      <c r="X217" s="34"/>
      <c r="Y217" s="34"/>
      <c r="Z217" s="34"/>
      <c r="AA217" s="34"/>
      <c r="AB217" s="34"/>
      <c r="AC217" s="34"/>
      <c r="AD217" s="34"/>
      <c r="AE217" s="34"/>
      <c r="AR217" s="151" t="s">
        <v>237</v>
      </c>
      <c r="AT217" s="151" t="s">
        <v>180</v>
      </c>
      <c r="AU217" s="151" t="s">
        <v>87</v>
      </c>
      <c r="AY217" s="19" t="s">
        <v>177</v>
      </c>
      <c r="BE217" s="152">
        <f>IF(N217="základní",J217,0)</f>
        <v>0</v>
      </c>
      <c r="BF217" s="152">
        <f>IF(N217="snížená",J217,0)</f>
        <v>0</v>
      </c>
      <c r="BG217" s="152">
        <f>IF(N217="zákl. přenesená",J217,0)</f>
        <v>0</v>
      </c>
      <c r="BH217" s="152">
        <f>IF(N217="sníž. přenesená",J217,0)</f>
        <v>0</v>
      </c>
      <c r="BI217" s="152">
        <f>IF(N217="nulová",J217,0)</f>
        <v>0</v>
      </c>
      <c r="BJ217" s="19" t="s">
        <v>85</v>
      </c>
      <c r="BK217" s="152">
        <f>ROUND(I217*H217,2)</f>
        <v>0</v>
      </c>
      <c r="BL217" s="19" t="s">
        <v>237</v>
      </c>
      <c r="BM217" s="151" t="s">
        <v>3212</v>
      </c>
    </row>
    <row r="218" spans="1:65" s="2" customFormat="1">
      <c r="A218" s="34"/>
      <c r="B218" s="35"/>
      <c r="C218" s="34"/>
      <c r="D218" s="153" t="s">
        <v>187</v>
      </c>
      <c r="E218" s="34"/>
      <c r="F218" s="154" t="s">
        <v>3213</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187</v>
      </c>
      <c r="AU218" s="19" t="s">
        <v>87</v>
      </c>
    </row>
    <row r="219" spans="1:65" s="2" customFormat="1">
      <c r="A219" s="34"/>
      <c r="B219" s="35"/>
      <c r="C219" s="34"/>
      <c r="D219" s="158" t="s">
        <v>189</v>
      </c>
      <c r="E219" s="34"/>
      <c r="F219" s="159" t="s">
        <v>3214</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189</v>
      </c>
      <c r="AU219" s="19" t="s">
        <v>87</v>
      </c>
    </row>
    <row r="220" spans="1:65" s="2" customFormat="1" ht="87.75">
      <c r="A220" s="34"/>
      <c r="B220" s="35"/>
      <c r="C220" s="34"/>
      <c r="D220" s="153" t="s">
        <v>191</v>
      </c>
      <c r="E220" s="34"/>
      <c r="F220" s="160" t="s">
        <v>3201</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191</v>
      </c>
      <c r="AU220" s="19" t="s">
        <v>87</v>
      </c>
    </row>
    <row r="221" spans="1:65" s="2" customFormat="1" ht="16.5" customHeight="1">
      <c r="A221" s="34"/>
      <c r="B221" s="139"/>
      <c r="C221" s="140" t="s">
        <v>490</v>
      </c>
      <c r="D221" s="140" t="s">
        <v>180</v>
      </c>
      <c r="E221" s="141" t="s">
        <v>3215</v>
      </c>
      <c r="F221" s="142" t="s">
        <v>3216</v>
      </c>
      <c r="G221" s="143" t="s">
        <v>332</v>
      </c>
      <c r="H221" s="144">
        <v>67.400000000000006</v>
      </c>
      <c r="I221" s="145"/>
      <c r="J221" s="146">
        <f>ROUND(I221*H221,2)</f>
        <v>0</v>
      </c>
      <c r="K221" s="142" t="s">
        <v>184</v>
      </c>
      <c r="L221" s="35"/>
      <c r="M221" s="147" t="s">
        <v>3</v>
      </c>
      <c r="N221" s="148" t="s">
        <v>48</v>
      </c>
      <c r="O221" s="55"/>
      <c r="P221" s="149">
        <f>O221*H221</f>
        <v>0</v>
      </c>
      <c r="Q221" s="149">
        <v>6.9999999999999999E-4</v>
      </c>
      <c r="R221" s="149">
        <f>Q221*H221</f>
        <v>4.7180000000000007E-2</v>
      </c>
      <c r="S221" s="149">
        <v>0</v>
      </c>
      <c r="T221" s="150">
        <f>S221*H221</f>
        <v>0</v>
      </c>
      <c r="U221" s="34"/>
      <c r="V221" s="34"/>
      <c r="W221" s="34"/>
      <c r="X221" s="34"/>
      <c r="Y221" s="34"/>
      <c r="Z221" s="34"/>
      <c r="AA221" s="34"/>
      <c r="AB221" s="34"/>
      <c r="AC221" s="34"/>
      <c r="AD221" s="34"/>
      <c r="AE221" s="34"/>
      <c r="AR221" s="151" t="s">
        <v>237</v>
      </c>
      <c r="AT221" s="151" t="s">
        <v>180</v>
      </c>
      <c r="AU221" s="151" t="s">
        <v>87</v>
      </c>
      <c r="AY221" s="19" t="s">
        <v>177</v>
      </c>
      <c r="BE221" s="152">
        <f>IF(N221="základní",J221,0)</f>
        <v>0</v>
      </c>
      <c r="BF221" s="152">
        <f>IF(N221="snížená",J221,0)</f>
        <v>0</v>
      </c>
      <c r="BG221" s="152">
        <f>IF(N221="zákl. přenesená",J221,0)</f>
        <v>0</v>
      </c>
      <c r="BH221" s="152">
        <f>IF(N221="sníž. přenesená",J221,0)</f>
        <v>0</v>
      </c>
      <c r="BI221" s="152">
        <f>IF(N221="nulová",J221,0)</f>
        <v>0</v>
      </c>
      <c r="BJ221" s="19" t="s">
        <v>85</v>
      </c>
      <c r="BK221" s="152">
        <f>ROUND(I221*H221,2)</f>
        <v>0</v>
      </c>
      <c r="BL221" s="19" t="s">
        <v>237</v>
      </c>
      <c r="BM221" s="151" t="s">
        <v>3217</v>
      </c>
    </row>
    <row r="222" spans="1:65" s="2" customFormat="1">
      <c r="A222" s="34"/>
      <c r="B222" s="35"/>
      <c r="C222" s="34"/>
      <c r="D222" s="153" t="s">
        <v>187</v>
      </c>
      <c r="E222" s="34"/>
      <c r="F222" s="154" t="s">
        <v>3218</v>
      </c>
      <c r="G222" s="34"/>
      <c r="H222" s="34"/>
      <c r="I222" s="155"/>
      <c r="J222" s="34"/>
      <c r="K222" s="34"/>
      <c r="L222" s="35"/>
      <c r="M222" s="156"/>
      <c r="N222" s="157"/>
      <c r="O222" s="55"/>
      <c r="P222" s="55"/>
      <c r="Q222" s="55"/>
      <c r="R222" s="55"/>
      <c r="S222" s="55"/>
      <c r="T222" s="56"/>
      <c r="U222" s="34"/>
      <c r="V222" s="34"/>
      <c r="W222" s="34"/>
      <c r="X222" s="34"/>
      <c r="Y222" s="34"/>
      <c r="Z222" s="34"/>
      <c r="AA222" s="34"/>
      <c r="AB222" s="34"/>
      <c r="AC222" s="34"/>
      <c r="AD222" s="34"/>
      <c r="AE222" s="34"/>
      <c r="AT222" s="19" t="s">
        <v>187</v>
      </c>
      <c r="AU222" s="19" t="s">
        <v>87</v>
      </c>
    </row>
    <row r="223" spans="1:65" s="2" customFormat="1">
      <c r="A223" s="34"/>
      <c r="B223" s="35"/>
      <c r="C223" s="34"/>
      <c r="D223" s="158" t="s">
        <v>189</v>
      </c>
      <c r="E223" s="34"/>
      <c r="F223" s="159" t="s">
        <v>3219</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189</v>
      </c>
      <c r="AU223" s="19" t="s">
        <v>87</v>
      </c>
    </row>
    <row r="224" spans="1:65" s="2" customFormat="1" ht="87.75">
      <c r="A224" s="34"/>
      <c r="B224" s="35"/>
      <c r="C224" s="34"/>
      <c r="D224" s="153" t="s">
        <v>191</v>
      </c>
      <c r="E224" s="34"/>
      <c r="F224" s="160" t="s">
        <v>3201</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191</v>
      </c>
      <c r="AU224" s="19" t="s">
        <v>87</v>
      </c>
    </row>
    <row r="225" spans="1:65" s="2" customFormat="1" ht="16.5" customHeight="1">
      <c r="A225" s="34"/>
      <c r="B225" s="139"/>
      <c r="C225" s="140" t="s">
        <v>496</v>
      </c>
      <c r="D225" s="140" t="s">
        <v>180</v>
      </c>
      <c r="E225" s="141" t="s">
        <v>3220</v>
      </c>
      <c r="F225" s="142" t="s">
        <v>3221</v>
      </c>
      <c r="G225" s="143" t="s">
        <v>183</v>
      </c>
      <c r="H225" s="144">
        <v>1.034</v>
      </c>
      <c r="I225" s="145"/>
      <c r="J225" s="146">
        <f>ROUND(I225*H225,2)</f>
        <v>0</v>
      </c>
      <c r="K225" s="142" t="s">
        <v>184</v>
      </c>
      <c r="L225" s="35"/>
      <c r="M225" s="147" t="s">
        <v>3</v>
      </c>
      <c r="N225" s="148" t="s">
        <v>48</v>
      </c>
      <c r="O225" s="55"/>
      <c r="P225" s="149">
        <f>O225*H225</f>
        <v>0</v>
      </c>
      <c r="Q225" s="149">
        <v>0</v>
      </c>
      <c r="R225" s="149">
        <f>Q225*H225</f>
        <v>0</v>
      </c>
      <c r="S225" s="149">
        <v>0</v>
      </c>
      <c r="T225" s="150">
        <f>S225*H225</f>
        <v>0</v>
      </c>
      <c r="U225" s="34"/>
      <c r="V225" s="34"/>
      <c r="W225" s="34"/>
      <c r="X225" s="34"/>
      <c r="Y225" s="34"/>
      <c r="Z225" s="34"/>
      <c r="AA225" s="34"/>
      <c r="AB225" s="34"/>
      <c r="AC225" s="34"/>
      <c r="AD225" s="34"/>
      <c r="AE225" s="34"/>
      <c r="AR225" s="151" t="s">
        <v>237</v>
      </c>
      <c r="AT225" s="151" t="s">
        <v>180</v>
      </c>
      <c r="AU225" s="151" t="s">
        <v>87</v>
      </c>
      <c r="AY225" s="19" t="s">
        <v>177</v>
      </c>
      <c r="BE225" s="152">
        <f>IF(N225="základní",J225,0)</f>
        <v>0</v>
      </c>
      <c r="BF225" s="152">
        <f>IF(N225="snížená",J225,0)</f>
        <v>0</v>
      </c>
      <c r="BG225" s="152">
        <f>IF(N225="zákl. přenesená",J225,0)</f>
        <v>0</v>
      </c>
      <c r="BH225" s="152">
        <f>IF(N225="sníž. přenesená",J225,0)</f>
        <v>0</v>
      </c>
      <c r="BI225" s="152">
        <f>IF(N225="nulová",J225,0)</f>
        <v>0</v>
      </c>
      <c r="BJ225" s="19" t="s">
        <v>85</v>
      </c>
      <c r="BK225" s="152">
        <f>ROUND(I225*H225,2)</f>
        <v>0</v>
      </c>
      <c r="BL225" s="19" t="s">
        <v>237</v>
      </c>
      <c r="BM225" s="151" t="s">
        <v>3222</v>
      </c>
    </row>
    <row r="226" spans="1:65" s="2" customFormat="1" ht="19.5">
      <c r="A226" s="34"/>
      <c r="B226" s="35"/>
      <c r="C226" s="34"/>
      <c r="D226" s="153" t="s">
        <v>187</v>
      </c>
      <c r="E226" s="34"/>
      <c r="F226" s="154" t="s">
        <v>3223</v>
      </c>
      <c r="G226" s="34"/>
      <c r="H226" s="34"/>
      <c r="I226" s="155"/>
      <c r="J226" s="34"/>
      <c r="K226" s="34"/>
      <c r="L226" s="35"/>
      <c r="M226" s="156"/>
      <c r="N226" s="157"/>
      <c r="O226" s="55"/>
      <c r="P226" s="55"/>
      <c r="Q226" s="55"/>
      <c r="R226" s="55"/>
      <c r="S226" s="55"/>
      <c r="T226" s="56"/>
      <c r="U226" s="34"/>
      <c r="V226" s="34"/>
      <c r="W226" s="34"/>
      <c r="X226" s="34"/>
      <c r="Y226" s="34"/>
      <c r="Z226" s="34"/>
      <c r="AA226" s="34"/>
      <c r="AB226" s="34"/>
      <c r="AC226" s="34"/>
      <c r="AD226" s="34"/>
      <c r="AE226" s="34"/>
      <c r="AT226" s="19" t="s">
        <v>187</v>
      </c>
      <c r="AU226" s="19" t="s">
        <v>87</v>
      </c>
    </row>
    <row r="227" spans="1:65" s="2" customFormat="1">
      <c r="A227" s="34"/>
      <c r="B227" s="35"/>
      <c r="C227" s="34"/>
      <c r="D227" s="158" t="s">
        <v>189</v>
      </c>
      <c r="E227" s="34"/>
      <c r="F227" s="159" t="s">
        <v>3224</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189</v>
      </c>
      <c r="AU227" s="19" t="s">
        <v>87</v>
      </c>
    </row>
    <row r="228" spans="1:65" s="2" customFormat="1" ht="78">
      <c r="A228" s="34"/>
      <c r="B228" s="35"/>
      <c r="C228" s="34"/>
      <c r="D228" s="153" t="s">
        <v>191</v>
      </c>
      <c r="E228" s="34"/>
      <c r="F228" s="160" t="s">
        <v>3225</v>
      </c>
      <c r="G228" s="34"/>
      <c r="H228" s="34"/>
      <c r="I228" s="155"/>
      <c r="J228" s="34"/>
      <c r="K228" s="34"/>
      <c r="L228" s="35"/>
      <c r="M228" s="156"/>
      <c r="N228" s="157"/>
      <c r="O228" s="55"/>
      <c r="P228" s="55"/>
      <c r="Q228" s="55"/>
      <c r="R228" s="55"/>
      <c r="S228" s="55"/>
      <c r="T228" s="56"/>
      <c r="U228" s="34"/>
      <c r="V228" s="34"/>
      <c r="W228" s="34"/>
      <c r="X228" s="34"/>
      <c r="Y228" s="34"/>
      <c r="Z228" s="34"/>
      <c r="AA228" s="34"/>
      <c r="AB228" s="34"/>
      <c r="AC228" s="34"/>
      <c r="AD228" s="34"/>
      <c r="AE228" s="34"/>
      <c r="AT228" s="19" t="s">
        <v>191</v>
      </c>
      <c r="AU228" s="19" t="s">
        <v>87</v>
      </c>
    </row>
    <row r="229" spans="1:65" s="2" customFormat="1" ht="16.5" customHeight="1">
      <c r="A229" s="34"/>
      <c r="B229" s="139"/>
      <c r="C229" s="140" t="s">
        <v>502</v>
      </c>
      <c r="D229" s="140" t="s">
        <v>180</v>
      </c>
      <c r="E229" s="141" t="s">
        <v>3226</v>
      </c>
      <c r="F229" s="142" t="s">
        <v>3227</v>
      </c>
      <c r="G229" s="143" t="s">
        <v>183</v>
      </c>
      <c r="H229" s="144">
        <v>1.034</v>
      </c>
      <c r="I229" s="145"/>
      <c r="J229" s="146">
        <f>ROUND(I229*H229,2)</f>
        <v>0</v>
      </c>
      <c r="K229" s="142" t="s">
        <v>184</v>
      </c>
      <c r="L229" s="35"/>
      <c r="M229" s="147" t="s">
        <v>3</v>
      </c>
      <c r="N229" s="148" t="s">
        <v>48</v>
      </c>
      <c r="O229" s="55"/>
      <c r="P229" s="149">
        <f>O229*H229</f>
        <v>0</v>
      </c>
      <c r="Q229" s="149">
        <v>0</v>
      </c>
      <c r="R229" s="149">
        <f>Q229*H229</f>
        <v>0</v>
      </c>
      <c r="S229" s="149">
        <v>0</v>
      </c>
      <c r="T229" s="150">
        <f>S229*H229</f>
        <v>0</v>
      </c>
      <c r="U229" s="34"/>
      <c r="V229" s="34"/>
      <c r="W229" s="34"/>
      <c r="X229" s="34"/>
      <c r="Y229" s="34"/>
      <c r="Z229" s="34"/>
      <c r="AA229" s="34"/>
      <c r="AB229" s="34"/>
      <c r="AC229" s="34"/>
      <c r="AD229" s="34"/>
      <c r="AE229" s="34"/>
      <c r="AR229" s="151" t="s">
        <v>237</v>
      </c>
      <c r="AT229" s="151" t="s">
        <v>180</v>
      </c>
      <c r="AU229" s="151" t="s">
        <v>87</v>
      </c>
      <c r="AY229" s="19" t="s">
        <v>177</v>
      </c>
      <c r="BE229" s="152">
        <f>IF(N229="základní",J229,0)</f>
        <v>0</v>
      </c>
      <c r="BF229" s="152">
        <f>IF(N229="snížená",J229,0)</f>
        <v>0</v>
      </c>
      <c r="BG229" s="152">
        <f>IF(N229="zákl. přenesená",J229,0)</f>
        <v>0</v>
      </c>
      <c r="BH229" s="152">
        <f>IF(N229="sníž. přenesená",J229,0)</f>
        <v>0</v>
      </c>
      <c r="BI229" s="152">
        <f>IF(N229="nulová",J229,0)</f>
        <v>0</v>
      </c>
      <c r="BJ229" s="19" t="s">
        <v>85</v>
      </c>
      <c r="BK229" s="152">
        <f>ROUND(I229*H229,2)</f>
        <v>0</v>
      </c>
      <c r="BL229" s="19" t="s">
        <v>237</v>
      </c>
      <c r="BM229" s="151" t="s">
        <v>3228</v>
      </c>
    </row>
    <row r="230" spans="1:65" s="2" customFormat="1" ht="19.5">
      <c r="A230" s="34"/>
      <c r="B230" s="35"/>
      <c r="C230" s="34"/>
      <c r="D230" s="153" t="s">
        <v>187</v>
      </c>
      <c r="E230" s="34"/>
      <c r="F230" s="154" t="s">
        <v>3229</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187</v>
      </c>
      <c r="AU230" s="19" t="s">
        <v>87</v>
      </c>
    </row>
    <row r="231" spans="1:65" s="2" customFormat="1">
      <c r="A231" s="34"/>
      <c r="B231" s="35"/>
      <c r="C231" s="34"/>
      <c r="D231" s="158" t="s">
        <v>189</v>
      </c>
      <c r="E231" s="34"/>
      <c r="F231" s="159" t="s">
        <v>3230</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189</v>
      </c>
      <c r="AU231" s="19" t="s">
        <v>87</v>
      </c>
    </row>
    <row r="232" spans="1:65" s="2" customFormat="1" ht="78">
      <c r="A232" s="34"/>
      <c r="B232" s="35"/>
      <c r="C232" s="34"/>
      <c r="D232" s="153" t="s">
        <v>191</v>
      </c>
      <c r="E232" s="34"/>
      <c r="F232" s="160" t="s">
        <v>3225</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191</v>
      </c>
      <c r="AU232" s="19" t="s">
        <v>87</v>
      </c>
    </row>
    <row r="233" spans="1:65" s="12" customFormat="1" ht="22.9" customHeight="1">
      <c r="B233" s="126"/>
      <c r="D233" s="127" t="s">
        <v>76</v>
      </c>
      <c r="E233" s="137" t="s">
        <v>1559</v>
      </c>
      <c r="F233" s="137" t="s">
        <v>1560</v>
      </c>
      <c r="I233" s="129"/>
      <c r="J233" s="138">
        <f>BK233</f>
        <v>0</v>
      </c>
      <c r="L233" s="126"/>
      <c r="M233" s="131"/>
      <c r="N233" s="132"/>
      <c r="O233" s="132"/>
      <c r="P233" s="133">
        <f>SUM(P234:P317)</f>
        <v>0</v>
      </c>
      <c r="Q233" s="132"/>
      <c r="R233" s="133">
        <f>SUM(R234:R317)</f>
        <v>1.1333600000000001</v>
      </c>
      <c r="S233" s="132"/>
      <c r="T233" s="134">
        <f>SUM(T234:T317)</f>
        <v>0</v>
      </c>
      <c r="AR233" s="127" t="s">
        <v>87</v>
      </c>
      <c r="AT233" s="135" t="s">
        <v>76</v>
      </c>
      <c r="AU233" s="135" t="s">
        <v>85</v>
      </c>
      <c r="AY233" s="127" t="s">
        <v>177</v>
      </c>
      <c r="BK233" s="136">
        <f>SUM(BK234:BK317)</f>
        <v>0</v>
      </c>
    </row>
    <row r="234" spans="1:65" s="2" customFormat="1" ht="16.5" customHeight="1">
      <c r="A234" s="34"/>
      <c r="B234" s="139"/>
      <c r="C234" s="140" t="s">
        <v>504</v>
      </c>
      <c r="D234" s="140" t="s">
        <v>180</v>
      </c>
      <c r="E234" s="141" t="s">
        <v>3231</v>
      </c>
      <c r="F234" s="142" t="s">
        <v>3232</v>
      </c>
      <c r="G234" s="143" t="s">
        <v>236</v>
      </c>
      <c r="H234" s="144">
        <v>11</v>
      </c>
      <c r="I234" s="145"/>
      <c r="J234" s="146">
        <f>ROUND(I234*H234,2)</f>
        <v>0</v>
      </c>
      <c r="K234" s="142" t="s">
        <v>184</v>
      </c>
      <c r="L234" s="35"/>
      <c r="M234" s="147" t="s">
        <v>3</v>
      </c>
      <c r="N234" s="148" t="s">
        <v>48</v>
      </c>
      <c r="O234" s="55"/>
      <c r="P234" s="149">
        <f>O234*H234</f>
        <v>0</v>
      </c>
      <c r="Q234" s="149">
        <v>0</v>
      </c>
      <c r="R234" s="149">
        <f>Q234*H234</f>
        <v>0</v>
      </c>
      <c r="S234" s="149">
        <v>0</v>
      </c>
      <c r="T234" s="150">
        <f>S234*H234</f>
        <v>0</v>
      </c>
      <c r="U234" s="34"/>
      <c r="V234" s="34"/>
      <c r="W234" s="34"/>
      <c r="X234" s="34"/>
      <c r="Y234" s="34"/>
      <c r="Z234" s="34"/>
      <c r="AA234" s="34"/>
      <c r="AB234" s="34"/>
      <c r="AC234" s="34"/>
      <c r="AD234" s="34"/>
      <c r="AE234" s="34"/>
      <c r="AR234" s="151" t="s">
        <v>237</v>
      </c>
      <c r="AT234" s="151" t="s">
        <v>180</v>
      </c>
      <c r="AU234" s="151" t="s">
        <v>87</v>
      </c>
      <c r="AY234" s="19" t="s">
        <v>177</v>
      </c>
      <c r="BE234" s="152">
        <f>IF(N234="základní",J234,0)</f>
        <v>0</v>
      </c>
      <c r="BF234" s="152">
        <f>IF(N234="snížená",J234,0)</f>
        <v>0</v>
      </c>
      <c r="BG234" s="152">
        <f>IF(N234="zákl. přenesená",J234,0)</f>
        <v>0</v>
      </c>
      <c r="BH234" s="152">
        <f>IF(N234="sníž. přenesená",J234,0)</f>
        <v>0</v>
      </c>
      <c r="BI234" s="152">
        <f>IF(N234="nulová",J234,0)</f>
        <v>0</v>
      </c>
      <c r="BJ234" s="19" t="s">
        <v>85</v>
      </c>
      <c r="BK234" s="152">
        <f>ROUND(I234*H234,2)</f>
        <v>0</v>
      </c>
      <c r="BL234" s="19" t="s">
        <v>237</v>
      </c>
      <c r="BM234" s="151" t="s">
        <v>3233</v>
      </c>
    </row>
    <row r="235" spans="1:65" s="2" customFormat="1" ht="19.5">
      <c r="A235" s="34"/>
      <c r="B235" s="35"/>
      <c r="C235" s="34"/>
      <c r="D235" s="153" t="s">
        <v>187</v>
      </c>
      <c r="E235" s="34"/>
      <c r="F235" s="154" t="s">
        <v>3234</v>
      </c>
      <c r="G235" s="34"/>
      <c r="H235" s="34"/>
      <c r="I235" s="155"/>
      <c r="J235" s="34"/>
      <c r="K235" s="34"/>
      <c r="L235" s="35"/>
      <c r="M235" s="156"/>
      <c r="N235" s="157"/>
      <c r="O235" s="55"/>
      <c r="P235" s="55"/>
      <c r="Q235" s="55"/>
      <c r="R235" s="55"/>
      <c r="S235" s="55"/>
      <c r="T235" s="56"/>
      <c r="U235" s="34"/>
      <c r="V235" s="34"/>
      <c r="W235" s="34"/>
      <c r="X235" s="34"/>
      <c r="Y235" s="34"/>
      <c r="Z235" s="34"/>
      <c r="AA235" s="34"/>
      <c r="AB235" s="34"/>
      <c r="AC235" s="34"/>
      <c r="AD235" s="34"/>
      <c r="AE235" s="34"/>
      <c r="AT235" s="19" t="s">
        <v>187</v>
      </c>
      <c r="AU235" s="19" t="s">
        <v>87</v>
      </c>
    </row>
    <row r="236" spans="1:65" s="2" customFormat="1">
      <c r="A236" s="34"/>
      <c r="B236" s="35"/>
      <c r="C236" s="34"/>
      <c r="D236" s="158" t="s">
        <v>189</v>
      </c>
      <c r="E236" s="34"/>
      <c r="F236" s="159" t="s">
        <v>3235</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189</v>
      </c>
      <c r="AU236" s="19" t="s">
        <v>87</v>
      </c>
    </row>
    <row r="237" spans="1:65" s="2" customFormat="1" ht="87.75">
      <c r="A237" s="34"/>
      <c r="B237" s="35"/>
      <c r="C237" s="34"/>
      <c r="D237" s="153" t="s">
        <v>191</v>
      </c>
      <c r="E237" s="34"/>
      <c r="F237" s="160" t="s">
        <v>2286</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191</v>
      </c>
      <c r="AU237" s="19" t="s">
        <v>87</v>
      </c>
    </row>
    <row r="238" spans="1:65" s="2" customFormat="1" ht="16.5" customHeight="1">
      <c r="A238" s="34"/>
      <c r="B238" s="139"/>
      <c r="C238" s="195" t="s">
        <v>507</v>
      </c>
      <c r="D238" s="195" t="s">
        <v>484</v>
      </c>
      <c r="E238" s="196" t="s">
        <v>3236</v>
      </c>
      <c r="F238" s="197" t="s">
        <v>3237</v>
      </c>
      <c r="G238" s="198" t="s">
        <v>236</v>
      </c>
      <c r="H238" s="199">
        <v>11</v>
      </c>
      <c r="I238" s="200"/>
      <c r="J238" s="201">
        <f>ROUND(I238*H238,2)</f>
        <v>0</v>
      </c>
      <c r="K238" s="197" t="s">
        <v>184</v>
      </c>
      <c r="L238" s="202"/>
      <c r="M238" s="203" t="s">
        <v>3</v>
      </c>
      <c r="N238" s="204" t="s">
        <v>48</v>
      </c>
      <c r="O238" s="55"/>
      <c r="P238" s="149">
        <f>O238*H238</f>
        <v>0</v>
      </c>
      <c r="Q238" s="149">
        <v>1.7500000000000002E-2</v>
      </c>
      <c r="R238" s="149">
        <f>Q238*H238</f>
        <v>0.1925</v>
      </c>
      <c r="S238" s="149">
        <v>0</v>
      </c>
      <c r="T238" s="150">
        <f>S238*H238</f>
        <v>0</v>
      </c>
      <c r="U238" s="34"/>
      <c r="V238" s="34"/>
      <c r="W238" s="34"/>
      <c r="X238" s="34"/>
      <c r="Y238" s="34"/>
      <c r="Z238" s="34"/>
      <c r="AA238" s="34"/>
      <c r="AB238" s="34"/>
      <c r="AC238" s="34"/>
      <c r="AD238" s="34"/>
      <c r="AE238" s="34"/>
      <c r="AR238" s="151" t="s">
        <v>537</v>
      </c>
      <c r="AT238" s="151" t="s">
        <v>484</v>
      </c>
      <c r="AU238" s="151" t="s">
        <v>87</v>
      </c>
      <c r="AY238" s="19" t="s">
        <v>177</v>
      </c>
      <c r="BE238" s="152">
        <f>IF(N238="základní",J238,0)</f>
        <v>0</v>
      </c>
      <c r="BF238" s="152">
        <f>IF(N238="snížená",J238,0)</f>
        <v>0</v>
      </c>
      <c r="BG238" s="152">
        <f>IF(N238="zákl. přenesená",J238,0)</f>
        <v>0</v>
      </c>
      <c r="BH238" s="152">
        <f>IF(N238="sníž. přenesená",J238,0)</f>
        <v>0</v>
      </c>
      <c r="BI238" s="152">
        <f>IF(N238="nulová",J238,0)</f>
        <v>0</v>
      </c>
      <c r="BJ238" s="19" t="s">
        <v>85</v>
      </c>
      <c r="BK238" s="152">
        <f>ROUND(I238*H238,2)</f>
        <v>0</v>
      </c>
      <c r="BL238" s="19" t="s">
        <v>237</v>
      </c>
      <c r="BM238" s="151" t="s">
        <v>3238</v>
      </c>
    </row>
    <row r="239" spans="1:65" s="2" customFormat="1">
      <c r="A239" s="34"/>
      <c r="B239" s="35"/>
      <c r="C239" s="34"/>
      <c r="D239" s="153" t="s">
        <v>187</v>
      </c>
      <c r="E239" s="34"/>
      <c r="F239" s="154" t="s">
        <v>3239</v>
      </c>
      <c r="G239" s="34"/>
      <c r="H239" s="34"/>
      <c r="I239" s="155"/>
      <c r="J239" s="34"/>
      <c r="K239" s="34"/>
      <c r="L239" s="35"/>
      <c r="M239" s="156"/>
      <c r="N239" s="157"/>
      <c r="O239" s="55"/>
      <c r="P239" s="55"/>
      <c r="Q239" s="55"/>
      <c r="R239" s="55"/>
      <c r="S239" s="55"/>
      <c r="T239" s="56"/>
      <c r="U239" s="34"/>
      <c r="V239" s="34"/>
      <c r="W239" s="34"/>
      <c r="X239" s="34"/>
      <c r="Y239" s="34"/>
      <c r="Z239" s="34"/>
      <c r="AA239" s="34"/>
      <c r="AB239" s="34"/>
      <c r="AC239" s="34"/>
      <c r="AD239" s="34"/>
      <c r="AE239" s="34"/>
      <c r="AT239" s="19" t="s">
        <v>187</v>
      </c>
      <c r="AU239" s="19" t="s">
        <v>87</v>
      </c>
    </row>
    <row r="240" spans="1:65" s="2" customFormat="1" ht="16.5" customHeight="1">
      <c r="A240" s="34"/>
      <c r="B240" s="139"/>
      <c r="C240" s="140" t="s">
        <v>509</v>
      </c>
      <c r="D240" s="140" t="s">
        <v>180</v>
      </c>
      <c r="E240" s="141" t="s">
        <v>3240</v>
      </c>
      <c r="F240" s="142" t="s">
        <v>3241</v>
      </c>
      <c r="G240" s="143" t="s">
        <v>236</v>
      </c>
      <c r="H240" s="144">
        <v>1</v>
      </c>
      <c r="I240" s="145"/>
      <c r="J240" s="146">
        <f>ROUND(I240*H240,2)</f>
        <v>0</v>
      </c>
      <c r="K240" s="142" t="s">
        <v>184</v>
      </c>
      <c r="L240" s="35"/>
      <c r="M240" s="147" t="s">
        <v>3</v>
      </c>
      <c r="N240" s="148" t="s">
        <v>48</v>
      </c>
      <c r="O240" s="55"/>
      <c r="P240" s="149">
        <f>O240*H240</f>
        <v>0</v>
      </c>
      <c r="Q240" s="149">
        <v>0</v>
      </c>
      <c r="R240" s="149">
        <f>Q240*H240</f>
        <v>0</v>
      </c>
      <c r="S240" s="149">
        <v>0</v>
      </c>
      <c r="T240" s="150">
        <f>S240*H240</f>
        <v>0</v>
      </c>
      <c r="U240" s="34"/>
      <c r="V240" s="34"/>
      <c r="W240" s="34"/>
      <c r="X240" s="34"/>
      <c r="Y240" s="34"/>
      <c r="Z240" s="34"/>
      <c r="AA240" s="34"/>
      <c r="AB240" s="34"/>
      <c r="AC240" s="34"/>
      <c r="AD240" s="34"/>
      <c r="AE240" s="34"/>
      <c r="AR240" s="151" t="s">
        <v>237</v>
      </c>
      <c r="AT240" s="151" t="s">
        <v>180</v>
      </c>
      <c r="AU240" s="151" t="s">
        <v>87</v>
      </c>
      <c r="AY240" s="19" t="s">
        <v>177</v>
      </c>
      <c r="BE240" s="152">
        <f>IF(N240="základní",J240,0)</f>
        <v>0</v>
      </c>
      <c r="BF240" s="152">
        <f>IF(N240="snížená",J240,0)</f>
        <v>0</v>
      </c>
      <c r="BG240" s="152">
        <f>IF(N240="zákl. přenesená",J240,0)</f>
        <v>0</v>
      </c>
      <c r="BH240" s="152">
        <f>IF(N240="sníž. přenesená",J240,0)</f>
        <v>0</v>
      </c>
      <c r="BI240" s="152">
        <f>IF(N240="nulová",J240,0)</f>
        <v>0</v>
      </c>
      <c r="BJ240" s="19" t="s">
        <v>85</v>
      </c>
      <c r="BK240" s="152">
        <f>ROUND(I240*H240,2)</f>
        <v>0</v>
      </c>
      <c r="BL240" s="19" t="s">
        <v>237</v>
      </c>
      <c r="BM240" s="151" t="s">
        <v>3242</v>
      </c>
    </row>
    <row r="241" spans="1:65" s="2" customFormat="1" ht="19.5">
      <c r="A241" s="34"/>
      <c r="B241" s="35"/>
      <c r="C241" s="34"/>
      <c r="D241" s="153" t="s">
        <v>187</v>
      </c>
      <c r="E241" s="34"/>
      <c r="F241" s="154" t="s">
        <v>3243</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187</v>
      </c>
      <c r="AU241" s="19" t="s">
        <v>87</v>
      </c>
    </row>
    <row r="242" spans="1:65" s="2" customFormat="1">
      <c r="A242" s="34"/>
      <c r="B242" s="35"/>
      <c r="C242" s="34"/>
      <c r="D242" s="158" t="s">
        <v>189</v>
      </c>
      <c r="E242" s="34"/>
      <c r="F242" s="159" t="s">
        <v>3244</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189</v>
      </c>
      <c r="AU242" s="19" t="s">
        <v>87</v>
      </c>
    </row>
    <row r="243" spans="1:65" s="2" customFormat="1" ht="87.75">
      <c r="A243" s="34"/>
      <c r="B243" s="35"/>
      <c r="C243" s="34"/>
      <c r="D243" s="153" t="s">
        <v>191</v>
      </c>
      <c r="E243" s="34"/>
      <c r="F243" s="160" t="s">
        <v>2286</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191</v>
      </c>
      <c r="AU243" s="19" t="s">
        <v>87</v>
      </c>
    </row>
    <row r="244" spans="1:65" s="2" customFormat="1" ht="16.5" customHeight="1">
      <c r="A244" s="34"/>
      <c r="B244" s="139"/>
      <c r="C244" s="195" t="s">
        <v>512</v>
      </c>
      <c r="D244" s="195" t="s">
        <v>484</v>
      </c>
      <c r="E244" s="196" t="s">
        <v>3245</v>
      </c>
      <c r="F244" s="197" t="s">
        <v>3246</v>
      </c>
      <c r="G244" s="198" t="s">
        <v>236</v>
      </c>
      <c r="H244" s="199">
        <v>1</v>
      </c>
      <c r="I244" s="200"/>
      <c r="J244" s="201">
        <f>ROUND(I244*H244,2)</f>
        <v>0</v>
      </c>
      <c r="K244" s="197" t="s">
        <v>184</v>
      </c>
      <c r="L244" s="202"/>
      <c r="M244" s="203" t="s">
        <v>3</v>
      </c>
      <c r="N244" s="204" t="s">
        <v>48</v>
      </c>
      <c r="O244" s="55"/>
      <c r="P244" s="149">
        <f>O244*H244</f>
        <v>0</v>
      </c>
      <c r="Q244" s="149">
        <v>2.0500000000000001E-2</v>
      </c>
      <c r="R244" s="149">
        <f>Q244*H244</f>
        <v>2.0500000000000001E-2</v>
      </c>
      <c r="S244" s="149">
        <v>0</v>
      </c>
      <c r="T244" s="150">
        <f>S244*H244</f>
        <v>0</v>
      </c>
      <c r="U244" s="34"/>
      <c r="V244" s="34"/>
      <c r="W244" s="34"/>
      <c r="X244" s="34"/>
      <c r="Y244" s="34"/>
      <c r="Z244" s="34"/>
      <c r="AA244" s="34"/>
      <c r="AB244" s="34"/>
      <c r="AC244" s="34"/>
      <c r="AD244" s="34"/>
      <c r="AE244" s="34"/>
      <c r="AR244" s="151" t="s">
        <v>537</v>
      </c>
      <c r="AT244" s="151" t="s">
        <v>484</v>
      </c>
      <c r="AU244" s="151" t="s">
        <v>87</v>
      </c>
      <c r="AY244" s="19" t="s">
        <v>177</v>
      </c>
      <c r="BE244" s="152">
        <f>IF(N244="základní",J244,0)</f>
        <v>0</v>
      </c>
      <c r="BF244" s="152">
        <f>IF(N244="snížená",J244,0)</f>
        <v>0</v>
      </c>
      <c r="BG244" s="152">
        <f>IF(N244="zákl. přenesená",J244,0)</f>
        <v>0</v>
      </c>
      <c r="BH244" s="152">
        <f>IF(N244="sníž. přenesená",J244,0)</f>
        <v>0</v>
      </c>
      <c r="BI244" s="152">
        <f>IF(N244="nulová",J244,0)</f>
        <v>0</v>
      </c>
      <c r="BJ244" s="19" t="s">
        <v>85</v>
      </c>
      <c r="BK244" s="152">
        <f>ROUND(I244*H244,2)</f>
        <v>0</v>
      </c>
      <c r="BL244" s="19" t="s">
        <v>237</v>
      </c>
      <c r="BM244" s="151" t="s">
        <v>3247</v>
      </c>
    </row>
    <row r="245" spans="1:65" s="2" customFormat="1">
      <c r="A245" s="34"/>
      <c r="B245" s="35"/>
      <c r="C245" s="34"/>
      <c r="D245" s="153" t="s">
        <v>187</v>
      </c>
      <c r="E245" s="34"/>
      <c r="F245" s="154" t="s">
        <v>3248</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187</v>
      </c>
      <c r="AU245" s="19" t="s">
        <v>87</v>
      </c>
    </row>
    <row r="246" spans="1:65" s="2" customFormat="1" ht="16.5" customHeight="1">
      <c r="A246" s="34"/>
      <c r="B246" s="139"/>
      <c r="C246" s="140" t="s">
        <v>520</v>
      </c>
      <c r="D246" s="140" t="s">
        <v>180</v>
      </c>
      <c r="E246" s="141" t="s">
        <v>3249</v>
      </c>
      <c r="F246" s="142" t="s">
        <v>3250</v>
      </c>
      <c r="G246" s="143" t="s">
        <v>236</v>
      </c>
      <c r="H246" s="144">
        <v>5</v>
      </c>
      <c r="I246" s="145"/>
      <c r="J246" s="146">
        <f>ROUND(I246*H246,2)</f>
        <v>0</v>
      </c>
      <c r="K246" s="142" t="s">
        <v>184</v>
      </c>
      <c r="L246" s="35"/>
      <c r="M246" s="147" t="s">
        <v>3</v>
      </c>
      <c r="N246" s="148" t="s">
        <v>48</v>
      </c>
      <c r="O246" s="55"/>
      <c r="P246" s="149">
        <f>O246*H246</f>
        <v>0</v>
      </c>
      <c r="Q246" s="149">
        <v>0</v>
      </c>
      <c r="R246" s="149">
        <f>Q246*H246</f>
        <v>0</v>
      </c>
      <c r="S246" s="149">
        <v>0</v>
      </c>
      <c r="T246" s="150">
        <f>S246*H246</f>
        <v>0</v>
      </c>
      <c r="U246" s="34"/>
      <c r="V246" s="34"/>
      <c r="W246" s="34"/>
      <c r="X246" s="34"/>
      <c r="Y246" s="34"/>
      <c r="Z246" s="34"/>
      <c r="AA246" s="34"/>
      <c r="AB246" s="34"/>
      <c r="AC246" s="34"/>
      <c r="AD246" s="34"/>
      <c r="AE246" s="34"/>
      <c r="AR246" s="151" t="s">
        <v>237</v>
      </c>
      <c r="AT246" s="151" t="s">
        <v>180</v>
      </c>
      <c r="AU246" s="151" t="s">
        <v>87</v>
      </c>
      <c r="AY246" s="19" t="s">
        <v>177</v>
      </c>
      <c r="BE246" s="152">
        <f>IF(N246="základní",J246,0)</f>
        <v>0</v>
      </c>
      <c r="BF246" s="152">
        <f>IF(N246="snížená",J246,0)</f>
        <v>0</v>
      </c>
      <c r="BG246" s="152">
        <f>IF(N246="zákl. přenesená",J246,0)</f>
        <v>0</v>
      </c>
      <c r="BH246" s="152">
        <f>IF(N246="sníž. přenesená",J246,0)</f>
        <v>0</v>
      </c>
      <c r="BI246" s="152">
        <f>IF(N246="nulová",J246,0)</f>
        <v>0</v>
      </c>
      <c r="BJ246" s="19" t="s">
        <v>85</v>
      </c>
      <c r="BK246" s="152">
        <f>ROUND(I246*H246,2)</f>
        <v>0</v>
      </c>
      <c r="BL246" s="19" t="s">
        <v>237</v>
      </c>
      <c r="BM246" s="151" t="s">
        <v>3251</v>
      </c>
    </row>
    <row r="247" spans="1:65" s="2" customFormat="1">
      <c r="A247" s="34"/>
      <c r="B247" s="35"/>
      <c r="C247" s="34"/>
      <c r="D247" s="153" t="s">
        <v>187</v>
      </c>
      <c r="E247" s="34"/>
      <c r="F247" s="154" t="s">
        <v>3252</v>
      </c>
      <c r="G247" s="34"/>
      <c r="H247" s="34"/>
      <c r="I247" s="155"/>
      <c r="J247" s="34"/>
      <c r="K247" s="34"/>
      <c r="L247" s="35"/>
      <c r="M247" s="156"/>
      <c r="N247" s="157"/>
      <c r="O247" s="55"/>
      <c r="P247" s="55"/>
      <c r="Q247" s="55"/>
      <c r="R247" s="55"/>
      <c r="S247" s="55"/>
      <c r="T247" s="56"/>
      <c r="U247" s="34"/>
      <c r="V247" s="34"/>
      <c r="W247" s="34"/>
      <c r="X247" s="34"/>
      <c r="Y247" s="34"/>
      <c r="Z247" s="34"/>
      <c r="AA247" s="34"/>
      <c r="AB247" s="34"/>
      <c r="AC247" s="34"/>
      <c r="AD247" s="34"/>
      <c r="AE247" s="34"/>
      <c r="AT247" s="19" t="s">
        <v>187</v>
      </c>
      <c r="AU247" s="19" t="s">
        <v>87</v>
      </c>
    </row>
    <row r="248" spans="1:65" s="2" customFormat="1">
      <c r="A248" s="34"/>
      <c r="B248" s="35"/>
      <c r="C248" s="34"/>
      <c r="D248" s="158" t="s">
        <v>189</v>
      </c>
      <c r="E248" s="34"/>
      <c r="F248" s="159" t="s">
        <v>3253</v>
      </c>
      <c r="G248" s="34"/>
      <c r="H248" s="34"/>
      <c r="I248" s="155"/>
      <c r="J248" s="34"/>
      <c r="K248" s="34"/>
      <c r="L248" s="35"/>
      <c r="M248" s="156"/>
      <c r="N248" s="157"/>
      <c r="O248" s="55"/>
      <c r="P248" s="55"/>
      <c r="Q248" s="55"/>
      <c r="R248" s="55"/>
      <c r="S248" s="55"/>
      <c r="T248" s="56"/>
      <c r="U248" s="34"/>
      <c r="V248" s="34"/>
      <c r="W248" s="34"/>
      <c r="X248" s="34"/>
      <c r="Y248" s="34"/>
      <c r="Z248" s="34"/>
      <c r="AA248" s="34"/>
      <c r="AB248" s="34"/>
      <c r="AC248" s="34"/>
      <c r="AD248" s="34"/>
      <c r="AE248" s="34"/>
      <c r="AT248" s="19" t="s">
        <v>189</v>
      </c>
      <c r="AU248" s="19" t="s">
        <v>87</v>
      </c>
    </row>
    <row r="249" spans="1:65" s="2" customFormat="1" ht="87.75">
      <c r="A249" s="34"/>
      <c r="B249" s="35"/>
      <c r="C249" s="34"/>
      <c r="D249" s="153" t="s">
        <v>191</v>
      </c>
      <c r="E249" s="34"/>
      <c r="F249" s="160" t="s">
        <v>2286</v>
      </c>
      <c r="G249" s="34"/>
      <c r="H249" s="34"/>
      <c r="I249" s="155"/>
      <c r="J249" s="34"/>
      <c r="K249" s="34"/>
      <c r="L249" s="35"/>
      <c r="M249" s="156"/>
      <c r="N249" s="157"/>
      <c r="O249" s="55"/>
      <c r="P249" s="55"/>
      <c r="Q249" s="55"/>
      <c r="R249" s="55"/>
      <c r="S249" s="55"/>
      <c r="T249" s="56"/>
      <c r="U249" s="34"/>
      <c r="V249" s="34"/>
      <c r="W249" s="34"/>
      <c r="X249" s="34"/>
      <c r="Y249" s="34"/>
      <c r="Z249" s="34"/>
      <c r="AA249" s="34"/>
      <c r="AB249" s="34"/>
      <c r="AC249" s="34"/>
      <c r="AD249" s="34"/>
      <c r="AE249" s="34"/>
      <c r="AT249" s="19" t="s">
        <v>191</v>
      </c>
      <c r="AU249" s="19" t="s">
        <v>87</v>
      </c>
    </row>
    <row r="250" spans="1:65" s="2" customFormat="1" ht="21.75" customHeight="1">
      <c r="A250" s="34"/>
      <c r="B250" s="139"/>
      <c r="C250" s="195" t="s">
        <v>527</v>
      </c>
      <c r="D250" s="195" t="s">
        <v>484</v>
      </c>
      <c r="E250" s="196" t="s">
        <v>3254</v>
      </c>
      <c r="F250" s="197" t="s">
        <v>3255</v>
      </c>
      <c r="G250" s="198" t="s">
        <v>236</v>
      </c>
      <c r="H250" s="199">
        <v>4</v>
      </c>
      <c r="I250" s="200"/>
      <c r="J250" s="201">
        <f>ROUND(I250*H250,2)</f>
        <v>0</v>
      </c>
      <c r="K250" s="197" t="s">
        <v>184</v>
      </c>
      <c r="L250" s="202"/>
      <c r="M250" s="203" t="s">
        <v>3</v>
      </c>
      <c r="N250" s="204" t="s">
        <v>48</v>
      </c>
      <c r="O250" s="55"/>
      <c r="P250" s="149">
        <f>O250*H250</f>
        <v>0</v>
      </c>
      <c r="Q250" s="149">
        <v>1.7500000000000002E-2</v>
      </c>
      <c r="R250" s="149">
        <f>Q250*H250</f>
        <v>7.0000000000000007E-2</v>
      </c>
      <c r="S250" s="149">
        <v>0</v>
      </c>
      <c r="T250" s="150">
        <f>S250*H250</f>
        <v>0</v>
      </c>
      <c r="U250" s="34"/>
      <c r="V250" s="34"/>
      <c r="W250" s="34"/>
      <c r="X250" s="34"/>
      <c r="Y250" s="34"/>
      <c r="Z250" s="34"/>
      <c r="AA250" s="34"/>
      <c r="AB250" s="34"/>
      <c r="AC250" s="34"/>
      <c r="AD250" s="34"/>
      <c r="AE250" s="34"/>
      <c r="AR250" s="151" t="s">
        <v>537</v>
      </c>
      <c r="AT250" s="151" t="s">
        <v>484</v>
      </c>
      <c r="AU250" s="151" t="s">
        <v>87</v>
      </c>
      <c r="AY250" s="19" t="s">
        <v>177</v>
      </c>
      <c r="BE250" s="152">
        <f>IF(N250="základní",J250,0)</f>
        <v>0</v>
      </c>
      <c r="BF250" s="152">
        <f>IF(N250="snížená",J250,0)</f>
        <v>0</v>
      </c>
      <c r="BG250" s="152">
        <f>IF(N250="zákl. přenesená",J250,0)</f>
        <v>0</v>
      </c>
      <c r="BH250" s="152">
        <f>IF(N250="sníž. přenesená",J250,0)</f>
        <v>0</v>
      </c>
      <c r="BI250" s="152">
        <f>IF(N250="nulová",J250,0)</f>
        <v>0</v>
      </c>
      <c r="BJ250" s="19" t="s">
        <v>85</v>
      </c>
      <c r="BK250" s="152">
        <f>ROUND(I250*H250,2)</f>
        <v>0</v>
      </c>
      <c r="BL250" s="19" t="s">
        <v>237</v>
      </c>
      <c r="BM250" s="151" t="s">
        <v>3256</v>
      </c>
    </row>
    <row r="251" spans="1:65" s="2" customFormat="1">
      <c r="A251" s="34"/>
      <c r="B251" s="35"/>
      <c r="C251" s="34"/>
      <c r="D251" s="153" t="s">
        <v>187</v>
      </c>
      <c r="E251" s="34"/>
      <c r="F251" s="154" t="s">
        <v>3257</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187</v>
      </c>
      <c r="AU251" s="19" t="s">
        <v>87</v>
      </c>
    </row>
    <row r="252" spans="1:65" s="2" customFormat="1" ht="21.75" customHeight="1">
      <c r="A252" s="34"/>
      <c r="B252" s="139"/>
      <c r="C252" s="195" t="s">
        <v>537</v>
      </c>
      <c r="D252" s="195" t="s">
        <v>484</v>
      </c>
      <c r="E252" s="196" t="s">
        <v>3258</v>
      </c>
      <c r="F252" s="197" t="s">
        <v>3259</v>
      </c>
      <c r="G252" s="198" t="s">
        <v>236</v>
      </c>
      <c r="H252" s="199">
        <v>1</v>
      </c>
      <c r="I252" s="200"/>
      <c r="J252" s="201">
        <f>ROUND(I252*H252,2)</f>
        <v>0</v>
      </c>
      <c r="K252" s="197" t="s">
        <v>184</v>
      </c>
      <c r="L252" s="202"/>
      <c r="M252" s="203" t="s">
        <v>3</v>
      </c>
      <c r="N252" s="204" t="s">
        <v>48</v>
      </c>
      <c r="O252" s="55"/>
      <c r="P252" s="149">
        <f>O252*H252</f>
        <v>0</v>
      </c>
      <c r="Q252" s="149">
        <v>1.95E-2</v>
      </c>
      <c r="R252" s="149">
        <f>Q252*H252</f>
        <v>1.95E-2</v>
      </c>
      <c r="S252" s="149">
        <v>0</v>
      </c>
      <c r="T252" s="150">
        <f>S252*H252</f>
        <v>0</v>
      </c>
      <c r="U252" s="34"/>
      <c r="V252" s="34"/>
      <c r="W252" s="34"/>
      <c r="X252" s="34"/>
      <c r="Y252" s="34"/>
      <c r="Z252" s="34"/>
      <c r="AA252" s="34"/>
      <c r="AB252" s="34"/>
      <c r="AC252" s="34"/>
      <c r="AD252" s="34"/>
      <c r="AE252" s="34"/>
      <c r="AR252" s="151" t="s">
        <v>537</v>
      </c>
      <c r="AT252" s="151" t="s">
        <v>484</v>
      </c>
      <c r="AU252" s="151" t="s">
        <v>87</v>
      </c>
      <c r="AY252" s="19" t="s">
        <v>177</v>
      </c>
      <c r="BE252" s="152">
        <f>IF(N252="základní",J252,0)</f>
        <v>0</v>
      </c>
      <c r="BF252" s="152">
        <f>IF(N252="snížená",J252,0)</f>
        <v>0</v>
      </c>
      <c r="BG252" s="152">
        <f>IF(N252="zákl. přenesená",J252,0)</f>
        <v>0</v>
      </c>
      <c r="BH252" s="152">
        <f>IF(N252="sníž. přenesená",J252,0)</f>
        <v>0</v>
      </c>
      <c r="BI252" s="152">
        <f>IF(N252="nulová",J252,0)</f>
        <v>0</v>
      </c>
      <c r="BJ252" s="19" t="s">
        <v>85</v>
      </c>
      <c r="BK252" s="152">
        <f>ROUND(I252*H252,2)</f>
        <v>0</v>
      </c>
      <c r="BL252" s="19" t="s">
        <v>237</v>
      </c>
      <c r="BM252" s="151" t="s">
        <v>3260</v>
      </c>
    </row>
    <row r="253" spans="1:65" s="2" customFormat="1">
      <c r="A253" s="34"/>
      <c r="B253" s="35"/>
      <c r="C253" s="34"/>
      <c r="D253" s="153" t="s">
        <v>187</v>
      </c>
      <c r="E253" s="34"/>
      <c r="F253" s="154" t="s">
        <v>3261</v>
      </c>
      <c r="G253" s="34"/>
      <c r="H253" s="34"/>
      <c r="I253" s="155"/>
      <c r="J253" s="34"/>
      <c r="K253" s="34"/>
      <c r="L253" s="35"/>
      <c r="M253" s="156"/>
      <c r="N253" s="157"/>
      <c r="O253" s="55"/>
      <c r="P253" s="55"/>
      <c r="Q253" s="55"/>
      <c r="R253" s="55"/>
      <c r="S253" s="55"/>
      <c r="T253" s="56"/>
      <c r="U253" s="34"/>
      <c r="V253" s="34"/>
      <c r="W253" s="34"/>
      <c r="X253" s="34"/>
      <c r="Y253" s="34"/>
      <c r="Z253" s="34"/>
      <c r="AA253" s="34"/>
      <c r="AB253" s="34"/>
      <c r="AC253" s="34"/>
      <c r="AD253" s="34"/>
      <c r="AE253" s="34"/>
      <c r="AT253" s="19" t="s">
        <v>187</v>
      </c>
      <c r="AU253" s="19" t="s">
        <v>87</v>
      </c>
    </row>
    <row r="254" spans="1:65" s="2" customFormat="1" ht="16.5" customHeight="1">
      <c r="A254" s="34"/>
      <c r="B254" s="139"/>
      <c r="C254" s="140" t="s">
        <v>757</v>
      </c>
      <c r="D254" s="140" t="s">
        <v>180</v>
      </c>
      <c r="E254" s="141" t="s">
        <v>3262</v>
      </c>
      <c r="F254" s="142" t="s">
        <v>3263</v>
      </c>
      <c r="G254" s="143" t="s">
        <v>236</v>
      </c>
      <c r="H254" s="144">
        <v>2</v>
      </c>
      <c r="I254" s="145"/>
      <c r="J254" s="146">
        <f>ROUND(I254*H254,2)</f>
        <v>0</v>
      </c>
      <c r="K254" s="142" t="s">
        <v>184</v>
      </c>
      <c r="L254" s="35"/>
      <c r="M254" s="147" t="s">
        <v>3</v>
      </c>
      <c r="N254" s="148" t="s">
        <v>48</v>
      </c>
      <c r="O254" s="55"/>
      <c r="P254" s="149">
        <f>O254*H254</f>
        <v>0</v>
      </c>
      <c r="Q254" s="149">
        <v>0</v>
      </c>
      <c r="R254" s="149">
        <f>Q254*H254</f>
        <v>0</v>
      </c>
      <c r="S254" s="149">
        <v>0</v>
      </c>
      <c r="T254" s="150">
        <f>S254*H254</f>
        <v>0</v>
      </c>
      <c r="U254" s="34"/>
      <c r="V254" s="34"/>
      <c r="W254" s="34"/>
      <c r="X254" s="34"/>
      <c r="Y254" s="34"/>
      <c r="Z254" s="34"/>
      <c r="AA254" s="34"/>
      <c r="AB254" s="34"/>
      <c r="AC254" s="34"/>
      <c r="AD254" s="34"/>
      <c r="AE254" s="34"/>
      <c r="AR254" s="151" t="s">
        <v>237</v>
      </c>
      <c r="AT254" s="151" t="s">
        <v>180</v>
      </c>
      <c r="AU254" s="151" t="s">
        <v>87</v>
      </c>
      <c r="AY254" s="19" t="s">
        <v>177</v>
      </c>
      <c r="BE254" s="152">
        <f>IF(N254="základní",J254,0)</f>
        <v>0</v>
      </c>
      <c r="BF254" s="152">
        <f>IF(N254="snížená",J254,0)</f>
        <v>0</v>
      </c>
      <c r="BG254" s="152">
        <f>IF(N254="zákl. přenesená",J254,0)</f>
        <v>0</v>
      </c>
      <c r="BH254" s="152">
        <f>IF(N254="sníž. přenesená",J254,0)</f>
        <v>0</v>
      </c>
      <c r="BI254" s="152">
        <f>IF(N254="nulová",J254,0)</f>
        <v>0</v>
      </c>
      <c r="BJ254" s="19" t="s">
        <v>85</v>
      </c>
      <c r="BK254" s="152">
        <f>ROUND(I254*H254,2)</f>
        <v>0</v>
      </c>
      <c r="BL254" s="19" t="s">
        <v>237</v>
      </c>
      <c r="BM254" s="151" t="s">
        <v>3264</v>
      </c>
    </row>
    <row r="255" spans="1:65" s="2" customFormat="1">
      <c r="A255" s="34"/>
      <c r="B255" s="35"/>
      <c r="C255" s="34"/>
      <c r="D255" s="153" t="s">
        <v>187</v>
      </c>
      <c r="E255" s="34"/>
      <c r="F255" s="154" t="s">
        <v>3265</v>
      </c>
      <c r="G255" s="34"/>
      <c r="H255" s="34"/>
      <c r="I255" s="155"/>
      <c r="J255" s="34"/>
      <c r="K255" s="34"/>
      <c r="L255" s="35"/>
      <c r="M255" s="156"/>
      <c r="N255" s="157"/>
      <c r="O255" s="55"/>
      <c r="P255" s="55"/>
      <c r="Q255" s="55"/>
      <c r="R255" s="55"/>
      <c r="S255" s="55"/>
      <c r="T255" s="56"/>
      <c r="U255" s="34"/>
      <c r="V255" s="34"/>
      <c r="W255" s="34"/>
      <c r="X255" s="34"/>
      <c r="Y255" s="34"/>
      <c r="Z255" s="34"/>
      <c r="AA255" s="34"/>
      <c r="AB255" s="34"/>
      <c r="AC255" s="34"/>
      <c r="AD255" s="34"/>
      <c r="AE255" s="34"/>
      <c r="AT255" s="19" t="s">
        <v>187</v>
      </c>
      <c r="AU255" s="19" t="s">
        <v>87</v>
      </c>
    </row>
    <row r="256" spans="1:65" s="2" customFormat="1">
      <c r="A256" s="34"/>
      <c r="B256" s="35"/>
      <c r="C256" s="34"/>
      <c r="D256" s="158" t="s">
        <v>189</v>
      </c>
      <c r="E256" s="34"/>
      <c r="F256" s="159" t="s">
        <v>3266</v>
      </c>
      <c r="G256" s="34"/>
      <c r="H256" s="34"/>
      <c r="I256" s="155"/>
      <c r="J256" s="34"/>
      <c r="K256" s="34"/>
      <c r="L256" s="35"/>
      <c r="M256" s="156"/>
      <c r="N256" s="157"/>
      <c r="O256" s="55"/>
      <c r="P256" s="55"/>
      <c r="Q256" s="55"/>
      <c r="R256" s="55"/>
      <c r="S256" s="55"/>
      <c r="T256" s="56"/>
      <c r="U256" s="34"/>
      <c r="V256" s="34"/>
      <c r="W256" s="34"/>
      <c r="X256" s="34"/>
      <c r="Y256" s="34"/>
      <c r="Z256" s="34"/>
      <c r="AA256" s="34"/>
      <c r="AB256" s="34"/>
      <c r="AC256" s="34"/>
      <c r="AD256" s="34"/>
      <c r="AE256" s="34"/>
      <c r="AT256" s="19" t="s">
        <v>189</v>
      </c>
      <c r="AU256" s="19" t="s">
        <v>87</v>
      </c>
    </row>
    <row r="257" spans="1:65" s="2" customFormat="1" ht="87.75">
      <c r="A257" s="34"/>
      <c r="B257" s="35"/>
      <c r="C257" s="34"/>
      <c r="D257" s="153" t="s">
        <v>191</v>
      </c>
      <c r="E257" s="34"/>
      <c r="F257" s="160" t="s">
        <v>2286</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191</v>
      </c>
      <c r="AU257" s="19" t="s">
        <v>87</v>
      </c>
    </row>
    <row r="258" spans="1:65" s="2" customFormat="1" ht="21.75" customHeight="1">
      <c r="A258" s="34"/>
      <c r="B258" s="139"/>
      <c r="C258" s="195" t="s">
        <v>764</v>
      </c>
      <c r="D258" s="195" t="s">
        <v>484</v>
      </c>
      <c r="E258" s="196" t="s">
        <v>3267</v>
      </c>
      <c r="F258" s="197" t="s">
        <v>3268</v>
      </c>
      <c r="G258" s="198" t="s">
        <v>236</v>
      </c>
      <c r="H258" s="199">
        <v>2</v>
      </c>
      <c r="I258" s="200"/>
      <c r="J258" s="201">
        <f>ROUND(I258*H258,2)</f>
        <v>0</v>
      </c>
      <c r="K258" s="197" t="s">
        <v>184</v>
      </c>
      <c r="L258" s="202"/>
      <c r="M258" s="203" t="s">
        <v>3</v>
      </c>
      <c r="N258" s="204" t="s">
        <v>48</v>
      </c>
      <c r="O258" s="55"/>
      <c r="P258" s="149">
        <f>O258*H258</f>
        <v>0</v>
      </c>
      <c r="Q258" s="149">
        <v>4.2999999999999997E-2</v>
      </c>
      <c r="R258" s="149">
        <f>Q258*H258</f>
        <v>8.5999999999999993E-2</v>
      </c>
      <c r="S258" s="149">
        <v>0</v>
      </c>
      <c r="T258" s="150">
        <f>S258*H258</f>
        <v>0</v>
      </c>
      <c r="U258" s="34"/>
      <c r="V258" s="34"/>
      <c r="W258" s="34"/>
      <c r="X258" s="34"/>
      <c r="Y258" s="34"/>
      <c r="Z258" s="34"/>
      <c r="AA258" s="34"/>
      <c r="AB258" s="34"/>
      <c r="AC258" s="34"/>
      <c r="AD258" s="34"/>
      <c r="AE258" s="34"/>
      <c r="AR258" s="151" t="s">
        <v>537</v>
      </c>
      <c r="AT258" s="151" t="s">
        <v>484</v>
      </c>
      <c r="AU258" s="151" t="s">
        <v>87</v>
      </c>
      <c r="AY258" s="19" t="s">
        <v>177</v>
      </c>
      <c r="BE258" s="152">
        <f>IF(N258="základní",J258,0)</f>
        <v>0</v>
      </c>
      <c r="BF258" s="152">
        <f>IF(N258="snížená",J258,0)</f>
        <v>0</v>
      </c>
      <c r="BG258" s="152">
        <f>IF(N258="zákl. přenesená",J258,0)</f>
        <v>0</v>
      </c>
      <c r="BH258" s="152">
        <f>IF(N258="sníž. přenesená",J258,0)</f>
        <v>0</v>
      </c>
      <c r="BI258" s="152">
        <f>IF(N258="nulová",J258,0)</f>
        <v>0</v>
      </c>
      <c r="BJ258" s="19" t="s">
        <v>85</v>
      </c>
      <c r="BK258" s="152">
        <f>ROUND(I258*H258,2)</f>
        <v>0</v>
      </c>
      <c r="BL258" s="19" t="s">
        <v>237</v>
      </c>
      <c r="BM258" s="151" t="s">
        <v>3269</v>
      </c>
    </row>
    <row r="259" spans="1:65" s="2" customFormat="1">
      <c r="A259" s="34"/>
      <c r="B259" s="35"/>
      <c r="C259" s="34"/>
      <c r="D259" s="153" t="s">
        <v>187</v>
      </c>
      <c r="E259" s="34"/>
      <c r="F259" s="154" t="s">
        <v>3270</v>
      </c>
      <c r="G259" s="34"/>
      <c r="H259" s="34"/>
      <c r="I259" s="155"/>
      <c r="J259" s="34"/>
      <c r="K259" s="34"/>
      <c r="L259" s="35"/>
      <c r="M259" s="156"/>
      <c r="N259" s="157"/>
      <c r="O259" s="55"/>
      <c r="P259" s="55"/>
      <c r="Q259" s="55"/>
      <c r="R259" s="55"/>
      <c r="S259" s="55"/>
      <c r="T259" s="56"/>
      <c r="U259" s="34"/>
      <c r="V259" s="34"/>
      <c r="W259" s="34"/>
      <c r="X259" s="34"/>
      <c r="Y259" s="34"/>
      <c r="Z259" s="34"/>
      <c r="AA259" s="34"/>
      <c r="AB259" s="34"/>
      <c r="AC259" s="34"/>
      <c r="AD259" s="34"/>
      <c r="AE259" s="34"/>
      <c r="AT259" s="19" t="s">
        <v>187</v>
      </c>
      <c r="AU259" s="19" t="s">
        <v>87</v>
      </c>
    </row>
    <row r="260" spans="1:65" s="2" customFormat="1" ht="16.5" customHeight="1">
      <c r="A260" s="34"/>
      <c r="B260" s="139"/>
      <c r="C260" s="140" t="s">
        <v>772</v>
      </c>
      <c r="D260" s="140" t="s">
        <v>180</v>
      </c>
      <c r="E260" s="141" t="s">
        <v>3271</v>
      </c>
      <c r="F260" s="142" t="s">
        <v>3272</v>
      </c>
      <c r="G260" s="143" t="s">
        <v>236</v>
      </c>
      <c r="H260" s="144">
        <v>9</v>
      </c>
      <c r="I260" s="145"/>
      <c r="J260" s="146">
        <f>ROUND(I260*H260,2)</f>
        <v>0</v>
      </c>
      <c r="K260" s="142" t="s">
        <v>184</v>
      </c>
      <c r="L260" s="35"/>
      <c r="M260" s="147" t="s">
        <v>3</v>
      </c>
      <c r="N260" s="148" t="s">
        <v>48</v>
      </c>
      <c r="O260" s="55"/>
      <c r="P260" s="149">
        <f>O260*H260</f>
        <v>0</v>
      </c>
      <c r="Q260" s="149">
        <v>0</v>
      </c>
      <c r="R260" s="149">
        <f>Q260*H260</f>
        <v>0</v>
      </c>
      <c r="S260" s="149">
        <v>0</v>
      </c>
      <c r="T260" s="150">
        <f>S260*H260</f>
        <v>0</v>
      </c>
      <c r="U260" s="34"/>
      <c r="V260" s="34"/>
      <c r="W260" s="34"/>
      <c r="X260" s="34"/>
      <c r="Y260" s="34"/>
      <c r="Z260" s="34"/>
      <c r="AA260" s="34"/>
      <c r="AB260" s="34"/>
      <c r="AC260" s="34"/>
      <c r="AD260" s="34"/>
      <c r="AE260" s="34"/>
      <c r="AR260" s="151" t="s">
        <v>237</v>
      </c>
      <c r="AT260" s="151" t="s">
        <v>180</v>
      </c>
      <c r="AU260" s="151" t="s">
        <v>87</v>
      </c>
      <c r="AY260" s="19" t="s">
        <v>177</v>
      </c>
      <c r="BE260" s="152">
        <f>IF(N260="základní",J260,0)</f>
        <v>0</v>
      </c>
      <c r="BF260" s="152">
        <f>IF(N260="snížená",J260,0)</f>
        <v>0</v>
      </c>
      <c r="BG260" s="152">
        <f>IF(N260="zákl. přenesená",J260,0)</f>
        <v>0</v>
      </c>
      <c r="BH260" s="152">
        <f>IF(N260="sníž. přenesená",J260,0)</f>
        <v>0</v>
      </c>
      <c r="BI260" s="152">
        <f>IF(N260="nulová",J260,0)</f>
        <v>0</v>
      </c>
      <c r="BJ260" s="19" t="s">
        <v>85</v>
      </c>
      <c r="BK260" s="152">
        <f>ROUND(I260*H260,2)</f>
        <v>0</v>
      </c>
      <c r="BL260" s="19" t="s">
        <v>237</v>
      </c>
      <c r="BM260" s="151" t="s">
        <v>3273</v>
      </c>
    </row>
    <row r="261" spans="1:65" s="2" customFormat="1">
      <c r="A261" s="34"/>
      <c r="B261" s="35"/>
      <c r="C261" s="34"/>
      <c r="D261" s="153" t="s">
        <v>187</v>
      </c>
      <c r="E261" s="34"/>
      <c r="F261" s="154" t="s">
        <v>3274</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187</v>
      </c>
      <c r="AU261" s="19" t="s">
        <v>87</v>
      </c>
    </row>
    <row r="262" spans="1:65" s="2" customFormat="1">
      <c r="A262" s="34"/>
      <c r="B262" s="35"/>
      <c r="C262" s="34"/>
      <c r="D262" s="158" t="s">
        <v>189</v>
      </c>
      <c r="E262" s="34"/>
      <c r="F262" s="159" t="s">
        <v>3275</v>
      </c>
      <c r="G262" s="34"/>
      <c r="H262" s="34"/>
      <c r="I262" s="155"/>
      <c r="J262" s="34"/>
      <c r="K262" s="34"/>
      <c r="L262" s="35"/>
      <c r="M262" s="156"/>
      <c r="N262" s="157"/>
      <c r="O262" s="55"/>
      <c r="P262" s="55"/>
      <c r="Q262" s="55"/>
      <c r="R262" s="55"/>
      <c r="S262" s="55"/>
      <c r="T262" s="56"/>
      <c r="U262" s="34"/>
      <c r="V262" s="34"/>
      <c r="W262" s="34"/>
      <c r="X262" s="34"/>
      <c r="Y262" s="34"/>
      <c r="Z262" s="34"/>
      <c r="AA262" s="34"/>
      <c r="AB262" s="34"/>
      <c r="AC262" s="34"/>
      <c r="AD262" s="34"/>
      <c r="AE262" s="34"/>
      <c r="AT262" s="19" t="s">
        <v>189</v>
      </c>
      <c r="AU262" s="19" t="s">
        <v>87</v>
      </c>
    </row>
    <row r="263" spans="1:65" s="2" customFormat="1" ht="87.75">
      <c r="A263" s="34"/>
      <c r="B263" s="35"/>
      <c r="C263" s="34"/>
      <c r="D263" s="153" t="s">
        <v>191</v>
      </c>
      <c r="E263" s="34"/>
      <c r="F263" s="160" t="s">
        <v>2286</v>
      </c>
      <c r="G263" s="34"/>
      <c r="H263" s="34"/>
      <c r="I263" s="155"/>
      <c r="J263" s="34"/>
      <c r="K263" s="34"/>
      <c r="L263" s="35"/>
      <c r="M263" s="156"/>
      <c r="N263" s="157"/>
      <c r="O263" s="55"/>
      <c r="P263" s="55"/>
      <c r="Q263" s="55"/>
      <c r="R263" s="55"/>
      <c r="S263" s="55"/>
      <c r="T263" s="56"/>
      <c r="U263" s="34"/>
      <c r="V263" s="34"/>
      <c r="W263" s="34"/>
      <c r="X263" s="34"/>
      <c r="Y263" s="34"/>
      <c r="Z263" s="34"/>
      <c r="AA263" s="34"/>
      <c r="AB263" s="34"/>
      <c r="AC263" s="34"/>
      <c r="AD263" s="34"/>
      <c r="AE263" s="34"/>
      <c r="AT263" s="19" t="s">
        <v>191</v>
      </c>
      <c r="AU263" s="19" t="s">
        <v>87</v>
      </c>
    </row>
    <row r="264" spans="1:65" s="2" customFormat="1" ht="21.75" customHeight="1">
      <c r="A264" s="34"/>
      <c r="B264" s="139"/>
      <c r="C264" s="195" t="s">
        <v>781</v>
      </c>
      <c r="D264" s="195" t="s">
        <v>484</v>
      </c>
      <c r="E264" s="196" t="s">
        <v>3276</v>
      </c>
      <c r="F264" s="197" t="s">
        <v>3277</v>
      </c>
      <c r="G264" s="198" t="s">
        <v>236</v>
      </c>
      <c r="H264" s="199">
        <v>7</v>
      </c>
      <c r="I264" s="200"/>
      <c r="J264" s="201">
        <f>ROUND(I264*H264,2)</f>
        <v>0</v>
      </c>
      <c r="K264" s="197" t="s">
        <v>244</v>
      </c>
      <c r="L264" s="202"/>
      <c r="M264" s="203" t="s">
        <v>3</v>
      </c>
      <c r="N264" s="204" t="s">
        <v>48</v>
      </c>
      <c r="O264" s="55"/>
      <c r="P264" s="149">
        <f>O264*H264</f>
        <v>0</v>
      </c>
      <c r="Q264" s="149">
        <v>6.5000000000000002E-2</v>
      </c>
      <c r="R264" s="149">
        <f>Q264*H264</f>
        <v>0.45500000000000002</v>
      </c>
      <c r="S264" s="149">
        <v>0</v>
      </c>
      <c r="T264" s="150">
        <f>S264*H264</f>
        <v>0</v>
      </c>
      <c r="U264" s="34"/>
      <c r="V264" s="34"/>
      <c r="W264" s="34"/>
      <c r="X264" s="34"/>
      <c r="Y264" s="34"/>
      <c r="Z264" s="34"/>
      <c r="AA264" s="34"/>
      <c r="AB264" s="34"/>
      <c r="AC264" s="34"/>
      <c r="AD264" s="34"/>
      <c r="AE264" s="34"/>
      <c r="AR264" s="151" t="s">
        <v>537</v>
      </c>
      <c r="AT264" s="151" t="s">
        <v>484</v>
      </c>
      <c r="AU264" s="151" t="s">
        <v>87</v>
      </c>
      <c r="AY264" s="19" t="s">
        <v>177</v>
      </c>
      <c r="BE264" s="152">
        <f>IF(N264="základní",J264,0)</f>
        <v>0</v>
      </c>
      <c r="BF264" s="152">
        <f>IF(N264="snížená",J264,0)</f>
        <v>0</v>
      </c>
      <c r="BG264" s="152">
        <f>IF(N264="zákl. přenesená",J264,0)</f>
        <v>0</v>
      </c>
      <c r="BH264" s="152">
        <f>IF(N264="sníž. přenesená",J264,0)</f>
        <v>0</v>
      </c>
      <c r="BI264" s="152">
        <f>IF(N264="nulová",J264,0)</f>
        <v>0</v>
      </c>
      <c r="BJ264" s="19" t="s">
        <v>85</v>
      </c>
      <c r="BK264" s="152">
        <f>ROUND(I264*H264,2)</f>
        <v>0</v>
      </c>
      <c r="BL264" s="19" t="s">
        <v>237</v>
      </c>
      <c r="BM264" s="151" t="s">
        <v>3278</v>
      </c>
    </row>
    <row r="265" spans="1:65" s="2" customFormat="1">
      <c r="A265" s="34"/>
      <c r="B265" s="35"/>
      <c r="C265" s="34"/>
      <c r="D265" s="153" t="s">
        <v>187</v>
      </c>
      <c r="E265" s="34"/>
      <c r="F265" s="154" t="s">
        <v>3277</v>
      </c>
      <c r="G265" s="34"/>
      <c r="H265" s="34"/>
      <c r="I265" s="155"/>
      <c r="J265" s="34"/>
      <c r="K265" s="34"/>
      <c r="L265" s="35"/>
      <c r="M265" s="156"/>
      <c r="N265" s="157"/>
      <c r="O265" s="55"/>
      <c r="P265" s="55"/>
      <c r="Q265" s="55"/>
      <c r="R265" s="55"/>
      <c r="S265" s="55"/>
      <c r="T265" s="56"/>
      <c r="U265" s="34"/>
      <c r="V265" s="34"/>
      <c r="W265" s="34"/>
      <c r="X265" s="34"/>
      <c r="Y265" s="34"/>
      <c r="Z265" s="34"/>
      <c r="AA265" s="34"/>
      <c r="AB265" s="34"/>
      <c r="AC265" s="34"/>
      <c r="AD265" s="34"/>
      <c r="AE265" s="34"/>
      <c r="AT265" s="19" t="s">
        <v>187</v>
      </c>
      <c r="AU265" s="19" t="s">
        <v>87</v>
      </c>
    </row>
    <row r="266" spans="1:65" s="2" customFormat="1" ht="21.75" customHeight="1">
      <c r="A266" s="34"/>
      <c r="B266" s="139"/>
      <c r="C266" s="195" t="s">
        <v>787</v>
      </c>
      <c r="D266" s="195" t="s">
        <v>484</v>
      </c>
      <c r="E266" s="196" t="s">
        <v>3279</v>
      </c>
      <c r="F266" s="197" t="s">
        <v>3280</v>
      </c>
      <c r="G266" s="198" t="s">
        <v>236</v>
      </c>
      <c r="H266" s="199">
        <v>2</v>
      </c>
      <c r="I266" s="200"/>
      <c r="J266" s="201">
        <f>ROUND(I266*H266,2)</f>
        <v>0</v>
      </c>
      <c r="K266" s="197" t="s">
        <v>244</v>
      </c>
      <c r="L266" s="202"/>
      <c r="M266" s="203" t="s">
        <v>3</v>
      </c>
      <c r="N266" s="204" t="s">
        <v>48</v>
      </c>
      <c r="O266" s="55"/>
      <c r="P266" s="149">
        <f>O266*H266</f>
        <v>0</v>
      </c>
      <c r="Q266" s="149">
        <v>4.4999999999999998E-2</v>
      </c>
      <c r="R266" s="149">
        <f>Q266*H266</f>
        <v>0.09</v>
      </c>
      <c r="S266" s="149">
        <v>0</v>
      </c>
      <c r="T266" s="150">
        <f>S266*H266</f>
        <v>0</v>
      </c>
      <c r="U266" s="34"/>
      <c r="V266" s="34"/>
      <c r="W266" s="34"/>
      <c r="X266" s="34"/>
      <c r="Y266" s="34"/>
      <c r="Z266" s="34"/>
      <c r="AA266" s="34"/>
      <c r="AB266" s="34"/>
      <c r="AC266" s="34"/>
      <c r="AD266" s="34"/>
      <c r="AE266" s="34"/>
      <c r="AR266" s="151" t="s">
        <v>537</v>
      </c>
      <c r="AT266" s="151" t="s">
        <v>484</v>
      </c>
      <c r="AU266" s="151" t="s">
        <v>87</v>
      </c>
      <c r="AY266" s="19" t="s">
        <v>177</v>
      </c>
      <c r="BE266" s="152">
        <f>IF(N266="základní",J266,0)</f>
        <v>0</v>
      </c>
      <c r="BF266" s="152">
        <f>IF(N266="snížená",J266,0)</f>
        <v>0</v>
      </c>
      <c r="BG266" s="152">
        <f>IF(N266="zákl. přenesená",J266,0)</f>
        <v>0</v>
      </c>
      <c r="BH266" s="152">
        <f>IF(N266="sníž. přenesená",J266,0)</f>
        <v>0</v>
      </c>
      <c r="BI266" s="152">
        <f>IF(N266="nulová",J266,0)</f>
        <v>0</v>
      </c>
      <c r="BJ266" s="19" t="s">
        <v>85</v>
      </c>
      <c r="BK266" s="152">
        <f>ROUND(I266*H266,2)</f>
        <v>0</v>
      </c>
      <c r="BL266" s="19" t="s">
        <v>237</v>
      </c>
      <c r="BM266" s="151" t="s">
        <v>3281</v>
      </c>
    </row>
    <row r="267" spans="1:65" s="2" customFormat="1">
      <c r="A267" s="34"/>
      <c r="B267" s="35"/>
      <c r="C267" s="34"/>
      <c r="D267" s="153" t="s">
        <v>187</v>
      </c>
      <c r="E267" s="34"/>
      <c r="F267" s="154" t="s">
        <v>3280</v>
      </c>
      <c r="G267" s="34"/>
      <c r="H267" s="34"/>
      <c r="I267" s="155"/>
      <c r="J267" s="34"/>
      <c r="K267" s="34"/>
      <c r="L267" s="35"/>
      <c r="M267" s="156"/>
      <c r="N267" s="157"/>
      <c r="O267" s="55"/>
      <c r="P267" s="55"/>
      <c r="Q267" s="55"/>
      <c r="R267" s="55"/>
      <c r="S267" s="55"/>
      <c r="T267" s="56"/>
      <c r="U267" s="34"/>
      <c r="V267" s="34"/>
      <c r="W267" s="34"/>
      <c r="X267" s="34"/>
      <c r="Y267" s="34"/>
      <c r="Z267" s="34"/>
      <c r="AA267" s="34"/>
      <c r="AB267" s="34"/>
      <c r="AC267" s="34"/>
      <c r="AD267" s="34"/>
      <c r="AE267" s="34"/>
      <c r="AT267" s="19" t="s">
        <v>187</v>
      </c>
      <c r="AU267" s="19" t="s">
        <v>87</v>
      </c>
    </row>
    <row r="268" spans="1:65" s="2" customFormat="1" ht="16.5" customHeight="1">
      <c r="A268" s="34"/>
      <c r="B268" s="139"/>
      <c r="C268" s="140" t="s">
        <v>794</v>
      </c>
      <c r="D268" s="140" t="s">
        <v>180</v>
      </c>
      <c r="E268" s="141" t="s">
        <v>3282</v>
      </c>
      <c r="F268" s="142" t="s">
        <v>3283</v>
      </c>
      <c r="G268" s="143" t="s">
        <v>236</v>
      </c>
      <c r="H268" s="144">
        <v>11</v>
      </c>
      <c r="I268" s="145"/>
      <c r="J268" s="146">
        <f>ROUND(I268*H268,2)</f>
        <v>0</v>
      </c>
      <c r="K268" s="142" t="s">
        <v>184</v>
      </c>
      <c r="L268" s="35"/>
      <c r="M268" s="147" t="s">
        <v>3</v>
      </c>
      <c r="N268" s="148" t="s">
        <v>48</v>
      </c>
      <c r="O268" s="55"/>
      <c r="P268" s="149">
        <f>O268*H268</f>
        <v>0</v>
      </c>
      <c r="Q268" s="149">
        <v>0</v>
      </c>
      <c r="R268" s="149">
        <f>Q268*H268</f>
        <v>0</v>
      </c>
      <c r="S268" s="149">
        <v>0</v>
      </c>
      <c r="T268" s="150">
        <f>S268*H268</f>
        <v>0</v>
      </c>
      <c r="U268" s="34"/>
      <c r="V268" s="34"/>
      <c r="W268" s="34"/>
      <c r="X268" s="34"/>
      <c r="Y268" s="34"/>
      <c r="Z268" s="34"/>
      <c r="AA268" s="34"/>
      <c r="AB268" s="34"/>
      <c r="AC268" s="34"/>
      <c r="AD268" s="34"/>
      <c r="AE268" s="34"/>
      <c r="AR268" s="151" t="s">
        <v>237</v>
      </c>
      <c r="AT268" s="151" t="s">
        <v>180</v>
      </c>
      <c r="AU268" s="151" t="s">
        <v>87</v>
      </c>
      <c r="AY268" s="19" t="s">
        <v>177</v>
      </c>
      <c r="BE268" s="152">
        <f>IF(N268="základní",J268,0)</f>
        <v>0</v>
      </c>
      <c r="BF268" s="152">
        <f>IF(N268="snížená",J268,0)</f>
        <v>0</v>
      </c>
      <c r="BG268" s="152">
        <f>IF(N268="zákl. přenesená",J268,0)</f>
        <v>0</v>
      </c>
      <c r="BH268" s="152">
        <f>IF(N268="sníž. přenesená",J268,0)</f>
        <v>0</v>
      </c>
      <c r="BI268" s="152">
        <f>IF(N268="nulová",J268,0)</f>
        <v>0</v>
      </c>
      <c r="BJ268" s="19" t="s">
        <v>85</v>
      </c>
      <c r="BK268" s="152">
        <f>ROUND(I268*H268,2)</f>
        <v>0</v>
      </c>
      <c r="BL268" s="19" t="s">
        <v>237</v>
      </c>
      <c r="BM268" s="151" t="s">
        <v>3284</v>
      </c>
    </row>
    <row r="269" spans="1:65" s="2" customFormat="1">
      <c r="A269" s="34"/>
      <c r="B269" s="35"/>
      <c r="C269" s="34"/>
      <c r="D269" s="153" t="s">
        <v>187</v>
      </c>
      <c r="E269" s="34"/>
      <c r="F269" s="154" t="s">
        <v>3285</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187</v>
      </c>
      <c r="AU269" s="19" t="s">
        <v>87</v>
      </c>
    </row>
    <row r="270" spans="1:65" s="2" customFormat="1">
      <c r="A270" s="34"/>
      <c r="B270" s="35"/>
      <c r="C270" s="34"/>
      <c r="D270" s="158" t="s">
        <v>189</v>
      </c>
      <c r="E270" s="34"/>
      <c r="F270" s="159" t="s">
        <v>3286</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189</v>
      </c>
      <c r="AU270" s="19" t="s">
        <v>87</v>
      </c>
    </row>
    <row r="271" spans="1:65" s="2" customFormat="1" ht="16.5" customHeight="1">
      <c r="A271" s="34"/>
      <c r="B271" s="139"/>
      <c r="C271" s="195" t="s">
        <v>800</v>
      </c>
      <c r="D271" s="195" t="s">
        <v>484</v>
      </c>
      <c r="E271" s="196" t="s">
        <v>3287</v>
      </c>
      <c r="F271" s="197" t="s">
        <v>3288</v>
      </c>
      <c r="G271" s="198" t="s">
        <v>236</v>
      </c>
      <c r="H271" s="199">
        <v>11</v>
      </c>
      <c r="I271" s="200"/>
      <c r="J271" s="201">
        <f>ROUND(I271*H271,2)</f>
        <v>0</v>
      </c>
      <c r="K271" s="197" t="s">
        <v>184</v>
      </c>
      <c r="L271" s="202"/>
      <c r="M271" s="203" t="s">
        <v>3</v>
      </c>
      <c r="N271" s="204" t="s">
        <v>48</v>
      </c>
      <c r="O271" s="55"/>
      <c r="P271" s="149">
        <f>O271*H271</f>
        <v>0</v>
      </c>
      <c r="Q271" s="149">
        <v>2.3999999999999998E-3</v>
      </c>
      <c r="R271" s="149">
        <f>Q271*H271</f>
        <v>2.6399999999999996E-2</v>
      </c>
      <c r="S271" s="149">
        <v>0</v>
      </c>
      <c r="T271" s="150">
        <f>S271*H271</f>
        <v>0</v>
      </c>
      <c r="U271" s="34"/>
      <c r="V271" s="34"/>
      <c r="W271" s="34"/>
      <c r="X271" s="34"/>
      <c r="Y271" s="34"/>
      <c r="Z271" s="34"/>
      <c r="AA271" s="34"/>
      <c r="AB271" s="34"/>
      <c r="AC271" s="34"/>
      <c r="AD271" s="34"/>
      <c r="AE271" s="34"/>
      <c r="AR271" s="151" t="s">
        <v>537</v>
      </c>
      <c r="AT271" s="151" t="s">
        <v>484</v>
      </c>
      <c r="AU271" s="151" t="s">
        <v>87</v>
      </c>
      <c r="AY271" s="19" t="s">
        <v>177</v>
      </c>
      <c r="BE271" s="152">
        <f>IF(N271="základní",J271,0)</f>
        <v>0</v>
      </c>
      <c r="BF271" s="152">
        <f>IF(N271="snížená",J271,0)</f>
        <v>0</v>
      </c>
      <c r="BG271" s="152">
        <f>IF(N271="zákl. přenesená",J271,0)</f>
        <v>0</v>
      </c>
      <c r="BH271" s="152">
        <f>IF(N271="sníž. přenesená",J271,0)</f>
        <v>0</v>
      </c>
      <c r="BI271" s="152">
        <f>IF(N271="nulová",J271,0)</f>
        <v>0</v>
      </c>
      <c r="BJ271" s="19" t="s">
        <v>85</v>
      </c>
      <c r="BK271" s="152">
        <f>ROUND(I271*H271,2)</f>
        <v>0</v>
      </c>
      <c r="BL271" s="19" t="s">
        <v>237</v>
      </c>
      <c r="BM271" s="151" t="s">
        <v>3289</v>
      </c>
    </row>
    <row r="272" spans="1:65" s="2" customFormat="1">
      <c r="A272" s="34"/>
      <c r="B272" s="35"/>
      <c r="C272" s="34"/>
      <c r="D272" s="153" t="s">
        <v>187</v>
      </c>
      <c r="E272" s="34"/>
      <c r="F272" s="154" t="s">
        <v>3290</v>
      </c>
      <c r="G272" s="34"/>
      <c r="H272" s="34"/>
      <c r="I272" s="155"/>
      <c r="J272" s="34"/>
      <c r="K272" s="34"/>
      <c r="L272" s="35"/>
      <c r="M272" s="156"/>
      <c r="N272" s="157"/>
      <c r="O272" s="55"/>
      <c r="P272" s="55"/>
      <c r="Q272" s="55"/>
      <c r="R272" s="55"/>
      <c r="S272" s="55"/>
      <c r="T272" s="56"/>
      <c r="U272" s="34"/>
      <c r="V272" s="34"/>
      <c r="W272" s="34"/>
      <c r="X272" s="34"/>
      <c r="Y272" s="34"/>
      <c r="Z272" s="34"/>
      <c r="AA272" s="34"/>
      <c r="AB272" s="34"/>
      <c r="AC272" s="34"/>
      <c r="AD272" s="34"/>
      <c r="AE272" s="34"/>
      <c r="AT272" s="19" t="s">
        <v>187</v>
      </c>
      <c r="AU272" s="19" t="s">
        <v>87</v>
      </c>
    </row>
    <row r="273" spans="1:65" s="2" customFormat="1" ht="16.5" customHeight="1">
      <c r="A273" s="34"/>
      <c r="B273" s="139"/>
      <c r="C273" s="140" t="s">
        <v>1117</v>
      </c>
      <c r="D273" s="140" t="s">
        <v>180</v>
      </c>
      <c r="E273" s="141" t="s">
        <v>3291</v>
      </c>
      <c r="F273" s="142" t="s">
        <v>3292</v>
      </c>
      <c r="G273" s="143" t="s">
        <v>236</v>
      </c>
      <c r="H273" s="144">
        <v>28</v>
      </c>
      <c r="I273" s="145"/>
      <c r="J273" s="146">
        <f>ROUND(I273*H273,2)</f>
        <v>0</v>
      </c>
      <c r="K273" s="142" t="s">
        <v>184</v>
      </c>
      <c r="L273" s="35"/>
      <c r="M273" s="147" t="s">
        <v>3</v>
      </c>
      <c r="N273" s="148" t="s">
        <v>48</v>
      </c>
      <c r="O273" s="55"/>
      <c r="P273" s="149">
        <f>O273*H273</f>
        <v>0</v>
      </c>
      <c r="Q273" s="149">
        <v>0</v>
      </c>
      <c r="R273" s="149">
        <f>Q273*H273</f>
        <v>0</v>
      </c>
      <c r="S273" s="149">
        <v>0</v>
      </c>
      <c r="T273" s="150">
        <f>S273*H273</f>
        <v>0</v>
      </c>
      <c r="U273" s="34"/>
      <c r="V273" s="34"/>
      <c r="W273" s="34"/>
      <c r="X273" s="34"/>
      <c r="Y273" s="34"/>
      <c r="Z273" s="34"/>
      <c r="AA273" s="34"/>
      <c r="AB273" s="34"/>
      <c r="AC273" s="34"/>
      <c r="AD273" s="34"/>
      <c r="AE273" s="34"/>
      <c r="AR273" s="151" t="s">
        <v>237</v>
      </c>
      <c r="AT273" s="151" t="s">
        <v>180</v>
      </c>
      <c r="AU273" s="151" t="s">
        <v>87</v>
      </c>
      <c r="AY273" s="19" t="s">
        <v>177</v>
      </c>
      <c r="BE273" s="152">
        <f>IF(N273="základní",J273,0)</f>
        <v>0</v>
      </c>
      <c r="BF273" s="152">
        <f>IF(N273="snížená",J273,0)</f>
        <v>0</v>
      </c>
      <c r="BG273" s="152">
        <f>IF(N273="zákl. přenesená",J273,0)</f>
        <v>0</v>
      </c>
      <c r="BH273" s="152">
        <f>IF(N273="sníž. přenesená",J273,0)</f>
        <v>0</v>
      </c>
      <c r="BI273" s="152">
        <f>IF(N273="nulová",J273,0)</f>
        <v>0</v>
      </c>
      <c r="BJ273" s="19" t="s">
        <v>85</v>
      </c>
      <c r="BK273" s="152">
        <f>ROUND(I273*H273,2)</f>
        <v>0</v>
      </c>
      <c r="BL273" s="19" t="s">
        <v>237</v>
      </c>
      <c r="BM273" s="151" t="s">
        <v>3293</v>
      </c>
    </row>
    <row r="274" spans="1:65" s="2" customFormat="1">
      <c r="A274" s="34"/>
      <c r="B274" s="35"/>
      <c r="C274" s="34"/>
      <c r="D274" s="153" t="s">
        <v>187</v>
      </c>
      <c r="E274" s="34"/>
      <c r="F274" s="154" t="s">
        <v>3294</v>
      </c>
      <c r="G274" s="34"/>
      <c r="H274" s="34"/>
      <c r="I274" s="155"/>
      <c r="J274" s="34"/>
      <c r="K274" s="34"/>
      <c r="L274" s="35"/>
      <c r="M274" s="156"/>
      <c r="N274" s="157"/>
      <c r="O274" s="55"/>
      <c r="P274" s="55"/>
      <c r="Q274" s="55"/>
      <c r="R274" s="55"/>
      <c r="S274" s="55"/>
      <c r="T274" s="56"/>
      <c r="U274" s="34"/>
      <c r="V274" s="34"/>
      <c r="W274" s="34"/>
      <c r="X274" s="34"/>
      <c r="Y274" s="34"/>
      <c r="Z274" s="34"/>
      <c r="AA274" s="34"/>
      <c r="AB274" s="34"/>
      <c r="AC274" s="34"/>
      <c r="AD274" s="34"/>
      <c r="AE274" s="34"/>
      <c r="AT274" s="19" t="s">
        <v>187</v>
      </c>
      <c r="AU274" s="19" t="s">
        <v>87</v>
      </c>
    </row>
    <row r="275" spans="1:65" s="2" customFormat="1">
      <c r="A275" s="34"/>
      <c r="B275" s="35"/>
      <c r="C275" s="34"/>
      <c r="D275" s="158" t="s">
        <v>189</v>
      </c>
      <c r="E275" s="34"/>
      <c r="F275" s="159" t="s">
        <v>3295</v>
      </c>
      <c r="G275" s="34"/>
      <c r="H275" s="34"/>
      <c r="I275" s="155"/>
      <c r="J275" s="34"/>
      <c r="K275" s="34"/>
      <c r="L275" s="35"/>
      <c r="M275" s="156"/>
      <c r="N275" s="157"/>
      <c r="O275" s="55"/>
      <c r="P275" s="55"/>
      <c r="Q275" s="55"/>
      <c r="R275" s="55"/>
      <c r="S275" s="55"/>
      <c r="T275" s="56"/>
      <c r="U275" s="34"/>
      <c r="V275" s="34"/>
      <c r="W275" s="34"/>
      <c r="X275" s="34"/>
      <c r="Y275" s="34"/>
      <c r="Z275" s="34"/>
      <c r="AA275" s="34"/>
      <c r="AB275" s="34"/>
      <c r="AC275" s="34"/>
      <c r="AD275" s="34"/>
      <c r="AE275" s="34"/>
      <c r="AT275" s="19" t="s">
        <v>189</v>
      </c>
      <c r="AU275" s="19" t="s">
        <v>87</v>
      </c>
    </row>
    <row r="276" spans="1:65" s="2" customFormat="1" ht="16.5" customHeight="1">
      <c r="A276" s="34"/>
      <c r="B276" s="139"/>
      <c r="C276" s="195" t="s">
        <v>1119</v>
      </c>
      <c r="D276" s="195" t="s">
        <v>484</v>
      </c>
      <c r="E276" s="196" t="s">
        <v>3296</v>
      </c>
      <c r="F276" s="197" t="s">
        <v>3297</v>
      </c>
      <c r="G276" s="198" t="s">
        <v>236</v>
      </c>
      <c r="H276" s="199">
        <v>28</v>
      </c>
      <c r="I276" s="200"/>
      <c r="J276" s="201">
        <f>ROUND(I276*H276,2)</f>
        <v>0</v>
      </c>
      <c r="K276" s="197" t="s">
        <v>184</v>
      </c>
      <c r="L276" s="202"/>
      <c r="M276" s="203" t="s">
        <v>3</v>
      </c>
      <c r="N276" s="204" t="s">
        <v>48</v>
      </c>
      <c r="O276" s="55"/>
      <c r="P276" s="149">
        <f>O276*H276</f>
        <v>0</v>
      </c>
      <c r="Q276" s="149">
        <v>1.4999999999999999E-4</v>
      </c>
      <c r="R276" s="149">
        <f>Q276*H276</f>
        <v>4.1999999999999997E-3</v>
      </c>
      <c r="S276" s="149">
        <v>0</v>
      </c>
      <c r="T276" s="150">
        <f>S276*H276</f>
        <v>0</v>
      </c>
      <c r="U276" s="34"/>
      <c r="V276" s="34"/>
      <c r="W276" s="34"/>
      <c r="X276" s="34"/>
      <c r="Y276" s="34"/>
      <c r="Z276" s="34"/>
      <c r="AA276" s="34"/>
      <c r="AB276" s="34"/>
      <c r="AC276" s="34"/>
      <c r="AD276" s="34"/>
      <c r="AE276" s="34"/>
      <c r="AR276" s="151" t="s">
        <v>537</v>
      </c>
      <c r="AT276" s="151" t="s">
        <v>484</v>
      </c>
      <c r="AU276" s="151" t="s">
        <v>87</v>
      </c>
      <c r="AY276" s="19" t="s">
        <v>177</v>
      </c>
      <c r="BE276" s="152">
        <f>IF(N276="základní",J276,0)</f>
        <v>0</v>
      </c>
      <c r="BF276" s="152">
        <f>IF(N276="snížená",J276,0)</f>
        <v>0</v>
      </c>
      <c r="BG276" s="152">
        <f>IF(N276="zákl. přenesená",J276,0)</f>
        <v>0</v>
      </c>
      <c r="BH276" s="152">
        <f>IF(N276="sníž. přenesená",J276,0)</f>
        <v>0</v>
      </c>
      <c r="BI276" s="152">
        <f>IF(N276="nulová",J276,0)</f>
        <v>0</v>
      </c>
      <c r="BJ276" s="19" t="s">
        <v>85</v>
      </c>
      <c r="BK276" s="152">
        <f>ROUND(I276*H276,2)</f>
        <v>0</v>
      </c>
      <c r="BL276" s="19" t="s">
        <v>237</v>
      </c>
      <c r="BM276" s="151" t="s">
        <v>3298</v>
      </c>
    </row>
    <row r="277" spans="1:65" s="2" customFormat="1">
      <c r="A277" s="34"/>
      <c r="B277" s="35"/>
      <c r="C277" s="34"/>
      <c r="D277" s="153" t="s">
        <v>187</v>
      </c>
      <c r="E277" s="34"/>
      <c r="F277" s="154" t="s">
        <v>3299</v>
      </c>
      <c r="G277" s="34"/>
      <c r="H277" s="34"/>
      <c r="I277" s="155"/>
      <c r="J277" s="34"/>
      <c r="K277" s="34"/>
      <c r="L277" s="35"/>
      <c r="M277" s="156"/>
      <c r="N277" s="157"/>
      <c r="O277" s="55"/>
      <c r="P277" s="55"/>
      <c r="Q277" s="55"/>
      <c r="R277" s="55"/>
      <c r="S277" s="55"/>
      <c r="T277" s="56"/>
      <c r="U277" s="34"/>
      <c r="V277" s="34"/>
      <c r="W277" s="34"/>
      <c r="X277" s="34"/>
      <c r="Y277" s="34"/>
      <c r="Z277" s="34"/>
      <c r="AA277" s="34"/>
      <c r="AB277" s="34"/>
      <c r="AC277" s="34"/>
      <c r="AD277" s="34"/>
      <c r="AE277" s="34"/>
      <c r="AT277" s="19" t="s">
        <v>187</v>
      </c>
      <c r="AU277" s="19" t="s">
        <v>87</v>
      </c>
    </row>
    <row r="278" spans="1:65" s="2" customFormat="1" ht="16.5" customHeight="1">
      <c r="A278" s="34"/>
      <c r="B278" s="139"/>
      <c r="C278" s="140" t="s">
        <v>1126</v>
      </c>
      <c r="D278" s="140" t="s">
        <v>180</v>
      </c>
      <c r="E278" s="141" t="s">
        <v>3300</v>
      </c>
      <c r="F278" s="142" t="s">
        <v>3301</v>
      </c>
      <c r="G278" s="143" t="s">
        <v>236</v>
      </c>
      <c r="H278" s="144">
        <v>28</v>
      </c>
      <c r="I278" s="145"/>
      <c r="J278" s="146">
        <f>ROUND(I278*H278,2)</f>
        <v>0</v>
      </c>
      <c r="K278" s="142" t="s">
        <v>184</v>
      </c>
      <c r="L278" s="35"/>
      <c r="M278" s="147" t="s">
        <v>3</v>
      </c>
      <c r="N278" s="148" t="s">
        <v>48</v>
      </c>
      <c r="O278" s="55"/>
      <c r="P278" s="149">
        <f>O278*H278</f>
        <v>0</v>
      </c>
      <c r="Q278" s="149">
        <v>0</v>
      </c>
      <c r="R278" s="149">
        <f>Q278*H278</f>
        <v>0</v>
      </c>
      <c r="S278" s="149">
        <v>0</v>
      </c>
      <c r="T278" s="150">
        <f>S278*H278</f>
        <v>0</v>
      </c>
      <c r="U278" s="34"/>
      <c r="V278" s="34"/>
      <c r="W278" s="34"/>
      <c r="X278" s="34"/>
      <c r="Y278" s="34"/>
      <c r="Z278" s="34"/>
      <c r="AA278" s="34"/>
      <c r="AB278" s="34"/>
      <c r="AC278" s="34"/>
      <c r="AD278" s="34"/>
      <c r="AE278" s="34"/>
      <c r="AR278" s="151" t="s">
        <v>237</v>
      </c>
      <c r="AT278" s="151" t="s">
        <v>180</v>
      </c>
      <c r="AU278" s="151" t="s">
        <v>87</v>
      </c>
      <c r="AY278" s="19" t="s">
        <v>177</v>
      </c>
      <c r="BE278" s="152">
        <f>IF(N278="základní",J278,0)</f>
        <v>0</v>
      </c>
      <c r="BF278" s="152">
        <f>IF(N278="snížená",J278,0)</f>
        <v>0</v>
      </c>
      <c r="BG278" s="152">
        <f>IF(N278="zákl. přenesená",J278,0)</f>
        <v>0</v>
      </c>
      <c r="BH278" s="152">
        <f>IF(N278="sníž. přenesená",J278,0)</f>
        <v>0</v>
      </c>
      <c r="BI278" s="152">
        <f>IF(N278="nulová",J278,0)</f>
        <v>0</v>
      </c>
      <c r="BJ278" s="19" t="s">
        <v>85</v>
      </c>
      <c r="BK278" s="152">
        <f>ROUND(I278*H278,2)</f>
        <v>0</v>
      </c>
      <c r="BL278" s="19" t="s">
        <v>237</v>
      </c>
      <c r="BM278" s="151" t="s">
        <v>3302</v>
      </c>
    </row>
    <row r="279" spans="1:65" s="2" customFormat="1">
      <c r="A279" s="34"/>
      <c r="B279" s="35"/>
      <c r="C279" s="34"/>
      <c r="D279" s="153" t="s">
        <v>187</v>
      </c>
      <c r="E279" s="34"/>
      <c r="F279" s="154" t="s">
        <v>3303</v>
      </c>
      <c r="G279" s="34"/>
      <c r="H279" s="34"/>
      <c r="I279" s="155"/>
      <c r="J279" s="34"/>
      <c r="K279" s="34"/>
      <c r="L279" s="35"/>
      <c r="M279" s="156"/>
      <c r="N279" s="157"/>
      <c r="O279" s="55"/>
      <c r="P279" s="55"/>
      <c r="Q279" s="55"/>
      <c r="R279" s="55"/>
      <c r="S279" s="55"/>
      <c r="T279" s="56"/>
      <c r="U279" s="34"/>
      <c r="V279" s="34"/>
      <c r="W279" s="34"/>
      <c r="X279" s="34"/>
      <c r="Y279" s="34"/>
      <c r="Z279" s="34"/>
      <c r="AA279" s="34"/>
      <c r="AB279" s="34"/>
      <c r="AC279" s="34"/>
      <c r="AD279" s="34"/>
      <c r="AE279" s="34"/>
      <c r="AT279" s="19" t="s">
        <v>187</v>
      </c>
      <c r="AU279" s="19" t="s">
        <v>87</v>
      </c>
    </row>
    <row r="280" spans="1:65" s="2" customFormat="1">
      <c r="A280" s="34"/>
      <c r="B280" s="35"/>
      <c r="C280" s="34"/>
      <c r="D280" s="158" t="s">
        <v>189</v>
      </c>
      <c r="E280" s="34"/>
      <c r="F280" s="159" t="s">
        <v>3304</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189</v>
      </c>
      <c r="AU280" s="19" t="s">
        <v>87</v>
      </c>
    </row>
    <row r="281" spans="1:65" s="13" customFormat="1">
      <c r="B281" s="161"/>
      <c r="D281" s="153" t="s">
        <v>193</v>
      </c>
      <c r="E281" s="162" t="s">
        <v>3</v>
      </c>
      <c r="F281" s="163" t="s">
        <v>3305</v>
      </c>
      <c r="H281" s="164">
        <v>28</v>
      </c>
      <c r="I281" s="165"/>
      <c r="L281" s="161"/>
      <c r="M281" s="166"/>
      <c r="N281" s="167"/>
      <c r="O281" s="167"/>
      <c r="P281" s="167"/>
      <c r="Q281" s="167"/>
      <c r="R281" s="167"/>
      <c r="S281" s="167"/>
      <c r="T281" s="168"/>
      <c r="AT281" s="162" t="s">
        <v>193</v>
      </c>
      <c r="AU281" s="162" t="s">
        <v>87</v>
      </c>
      <c r="AV281" s="13" t="s">
        <v>87</v>
      </c>
      <c r="AW281" s="13" t="s">
        <v>36</v>
      </c>
      <c r="AX281" s="13" t="s">
        <v>85</v>
      </c>
      <c r="AY281" s="162" t="s">
        <v>177</v>
      </c>
    </row>
    <row r="282" spans="1:65" s="2" customFormat="1" ht="16.5" customHeight="1">
      <c r="A282" s="34"/>
      <c r="B282" s="139"/>
      <c r="C282" s="195" t="s">
        <v>1132</v>
      </c>
      <c r="D282" s="195" t="s">
        <v>484</v>
      </c>
      <c r="E282" s="196" t="s">
        <v>3306</v>
      </c>
      <c r="F282" s="197" t="s">
        <v>3307</v>
      </c>
      <c r="G282" s="198" t="s">
        <v>236</v>
      </c>
      <c r="H282" s="199">
        <v>28</v>
      </c>
      <c r="I282" s="200"/>
      <c r="J282" s="201">
        <f>ROUND(I282*H282,2)</f>
        <v>0</v>
      </c>
      <c r="K282" s="197" t="s">
        <v>184</v>
      </c>
      <c r="L282" s="202"/>
      <c r="M282" s="203" t="s">
        <v>3</v>
      </c>
      <c r="N282" s="204" t="s">
        <v>48</v>
      </c>
      <c r="O282" s="55"/>
      <c r="P282" s="149">
        <f>O282*H282</f>
        <v>0</v>
      </c>
      <c r="Q282" s="149">
        <v>2.2000000000000001E-3</v>
      </c>
      <c r="R282" s="149">
        <f>Q282*H282</f>
        <v>6.1600000000000002E-2</v>
      </c>
      <c r="S282" s="149">
        <v>0</v>
      </c>
      <c r="T282" s="150">
        <f>S282*H282</f>
        <v>0</v>
      </c>
      <c r="U282" s="34"/>
      <c r="V282" s="34"/>
      <c r="W282" s="34"/>
      <c r="X282" s="34"/>
      <c r="Y282" s="34"/>
      <c r="Z282" s="34"/>
      <c r="AA282" s="34"/>
      <c r="AB282" s="34"/>
      <c r="AC282" s="34"/>
      <c r="AD282" s="34"/>
      <c r="AE282" s="34"/>
      <c r="AR282" s="151" t="s">
        <v>537</v>
      </c>
      <c r="AT282" s="151" t="s">
        <v>484</v>
      </c>
      <c r="AU282" s="151" t="s">
        <v>87</v>
      </c>
      <c r="AY282" s="19" t="s">
        <v>177</v>
      </c>
      <c r="BE282" s="152">
        <f>IF(N282="základní",J282,0)</f>
        <v>0</v>
      </c>
      <c r="BF282" s="152">
        <f>IF(N282="snížená",J282,0)</f>
        <v>0</v>
      </c>
      <c r="BG282" s="152">
        <f>IF(N282="zákl. přenesená",J282,0)</f>
        <v>0</v>
      </c>
      <c r="BH282" s="152">
        <f>IF(N282="sníž. přenesená",J282,0)</f>
        <v>0</v>
      </c>
      <c r="BI282" s="152">
        <f>IF(N282="nulová",J282,0)</f>
        <v>0</v>
      </c>
      <c r="BJ282" s="19" t="s">
        <v>85</v>
      </c>
      <c r="BK282" s="152">
        <f>ROUND(I282*H282,2)</f>
        <v>0</v>
      </c>
      <c r="BL282" s="19" t="s">
        <v>237</v>
      </c>
      <c r="BM282" s="151" t="s">
        <v>3308</v>
      </c>
    </row>
    <row r="283" spans="1:65" s="2" customFormat="1">
      <c r="A283" s="34"/>
      <c r="B283" s="35"/>
      <c r="C283" s="34"/>
      <c r="D283" s="153" t="s">
        <v>187</v>
      </c>
      <c r="E283" s="34"/>
      <c r="F283" s="154" t="s">
        <v>3309</v>
      </c>
      <c r="G283" s="34"/>
      <c r="H283" s="34"/>
      <c r="I283" s="155"/>
      <c r="J283" s="34"/>
      <c r="K283" s="34"/>
      <c r="L283" s="35"/>
      <c r="M283" s="156"/>
      <c r="N283" s="157"/>
      <c r="O283" s="55"/>
      <c r="P283" s="55"/>
      <c r="Q283" s="55"/>
      <c r="R283" s="55"/>
      <c r="S283" s="55"/>
      <c r="T283" s="56"/>
      <c r="U283" s="34"/>
      <c r="V283" s="34"/>
      <c r="W283" s="34"/>
      <c r="X283" s="34"/>
      <c r="Y283" s="34"/>
      <c r="Z283" s="34"/>
      <c r="AA283" s="34"/>
      <c r="AB283" s="34"/>
      <c r="AC283" s="34"/>
      <c r="AD283" s="34"/>
      <c r="AE283" s="34"/>
      <c r="AT283" s="19" t="s">
        <v>187</v>
      </c>
      <c r="AU283" s="19" t="s">
        <v>87</v>
      </c>
    </row>
    <row r="284" spans="1:65" s="2" customFormat="1" ht="16.5" customHeight="1">
      <c r="A284" s="34"/>
      <c r="B284" s="139"/>
      <c r="C284" s="140" t="s">
        <v>1134</v>
      </c>
      <c r="D284" s="140" t="s">
        <v>180</v>
      </c>
      <c r="E284" s="141" t="s">
        <v>3310</v>
      </c>
      <c r="F284" s="142" t="s">
        <v>3311</v>
      </c>
      <c r="G284" s="143" t="s">
        <v>236</v>
      </c>
      <c r="H284" s="144">
        <v>8</v>
      </c>
      <c r="I284" s="145"/>
      <c r="J284" s="146">
        <f>ROUND(I284*H284,2)</f>
        <v>0</v>
      </c>
      <c r="K284" s="142" t="s">
        <v>184</v>
      </c>
      <c r="L284" s="35"/>
      <c r="M284" s="147" t="s">
        <v>3</v>
      </c>
      <c r="N284" s="148" t="s">
        <v>48</v>
      </c>
      <c r="O284" s="55"/>
      <c r="P284" s="149">
        <f>O284*H284</f>
        <v>0</v>
      </c>
      <c r="Q284" s="149">
        <v>0</v>
      </c>
      <c r="R284" s="149">
        <f>Q284*H284</f>
        <v>0</v>
      </c>
      <c r="S284" s="149">
        <v>0</v>
      </c>
      <c r="T284" s="150">
        <f>S284*H284</f>
        <v>0</v>
      </c>
      <c r="U284" s="34"/>
      <c r="V284" s="34"/>
      <c r="W284" s="34"/>
      <c r="X284" s="34"/>
      <c r="Y284" s="34"/>
      <c r="Z284" s="34"/>
      <c r="AA284" s="34"/>
      <c r="AB284" s="34"/>
      <c r="AC284" s="34"/>
      <c r="AD284" s="34"/>
      <c r="AE284" s="34"/>
      <c r="AR284" s="151" t="s">
        <v>237</v>
      </c>
      <c r="AT284" s="151" t="s">
        <v>180</v>
      </c>
      <c r="AU284" s="151" t="s">
        <v>87</v>
      </c>
      <c r="AY284" s="19" t="s">
        <v>177</v>
      </c>
      <c r="BE284" s="152">
        <f>IF(N284="základní",J284,0)</f>
        <v>0</v>
      </c>
      <c r="BF284" s="152">
        <f>IF(N284="snížená",J284,0)</f>
        <v>0</v>
      </c>
      <c r="BG284" s="152">
        <f>IF(N284="zákl. přenesená",J284,0)</f>
        <v>0</v>
      </c>
      <c r="BH284" s="152">
        <f>IF(N284="sníž. přenesená",J284,0)</f>
        <v>0</v>
      </c>
      <c r="BI284" s="152">
        <f>IF(N284="nulová",J284,0)</f>
        <v>0</v>
      </c>
      <c r="BJ284" s="19" t="s">
        <v>85</v>
      </c>
      <c r="BK284" s="152">
        <f>ROUND(I284*H284,2)</f>
        <v>0</v>
      </c>
      <c r="BL284" s="19" t="s">
        <v>237</v>
      </c>
      <c r="BM284" s="151" t="s">
        <v>3312</v>
      </c>
    </row>
    <row r="285" spans="1:65" s="2" customFormat="1">
      <c r="A285" s="34"/>
      <c r="B285" s="35"/>
      <c r="C285" s="34"/>
      <c r="D285" s="153" t="s">
        <v>187</v>
      </c>
      <c r="E285" s="34"/>
      <c r="F285" s="154" t="s">
        <v>3313</v>
      </c>
      <c r="G285" s="34"/>
      <c r="H285" s="34"/>
      <c r="I285" s="155"/>
      <c r="J285" s="34"/>
      <c r="K285" s="34"/>
      <c r="L285" s="35"/>
      <c r="M285" s="156"/>
      <c r="N285" s="157"/>
      <c r="O285" s="55"/>
      <c r="P285" s="55"/>
      <c r="Q285" s="55"/>
      <c r="R285" s="55"/>
      <c r="S285" s="55"/>
      <c r="T285" s="56"/>
      <c r="U285" s="34"/>
      <c r="V285" s="34"/>
      <c r="W285" s="34"/>
      <c r="X285" s="34"/>
      <c r="Y285" s="34"/>
      <c r="Z285" s="34"/>
      <c r="AA285" s="34"/>
      <c r="AB285" s="34"/>
      <c r="AC285" s="34"/>
      <c r="AD285" s="34"/>
      <c r="AE285" s="34"/>
      <c r="AT285" s="19" t="s">
        <v>187</v>
      </c>
      <c r="AU285" s="19" t="s">
        <v>87</v>
      </c>
    </row>
    <row r="286" spans="1:65" s="2" customFormat="1">
      <c r="A286" s="34"/>
      <c r="B286" s="35"/>
      <c r="C286" s="34"/>
      <c r="D286" s="158" t="s">
        <v>189</v>
      </c>
      <c r="E286" s="34"/>
      <c r="F286" s="159" t="s">
        <v>3314</v>
      </c>
      <c r="G286" s="34"/>
      <c r="H286" s="34"/>
      <c r="I286" s="155"/>
      <c r="J286" s="34"/>
      <c r="K286" s="34"/>
      <c r="L286" s="35"/>
      <c r="M286" s="156"/>
      <c r="N286" s="157"/>
      <c r="O286" s="55"/>
      <c r="P286" s="55"/>
      <c r="Q286" s="55"/>
      <c r="R286" s="55"/>
      <c r="S286" s="55"/>
      <c r="T286" s="56"/>
      <c r="U286" s="34"/>
      <c r="V286" s="34"/>
      <c r="W286" s="34"/>
      <c r="X286" s="34"/>
      <c r="Y286" s="34"/>
      <c r="Z286" s="34"/>
      <c r="AA286" s="34"/>
      <c r="AB286" s="34"/>
      <c r="AC286" s="34"/>
      <c r="AD286" s="34"/>
      <c r="AE286" s="34"/>
      <c r="AT286" s="19" t="s">
        <v>189</v>
      </c>
      <c r="AU286" s="19" t="s">
        <v>87</v>
      </c>
    </row>
    <row r="287" spans="1:65" s="2" customFormat="1" ht="58.5">
      <c r="A287" s="34"/>
      <c r="B287" s="35"/>
      <c r="C287" s="34"/>
      <c r="D287" s="153" t="s">
        <v>191</v>
      </c>
      <c r="E287" s="34"/>
      <c r="F287" s="160" t="s">
        <v>3315</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191</v>
      </c>
      <c r="AU287" s="19" t="s">
        <v>87</v>
      </c>
    </row>
    <row r="288" spans="1:65" s="2" customFormat="1" ht="16.5" customHeight="1">
      <c r="A288" s="34"/>
      <c r="B288" s="139"/>
      <c r="C288" s="140" t="s">
        <v>1136</v>
      </c>
      <c r="D288" s="140" t="s">
        <v>180</v>
      </c>
      <c r="E288" s="141" t="s">
        <v>3316</v>
      </c>
      <c r="F288" s="142" t="s">
        <v>3317</v>
      </c>
      <c r="G288" s="143" t="s">
        <v>236</v>
      </c>
      <c r="H288" s="144">
        <v>19</v>
      </c>
      <c r="I288" s="145"/>
      <c r="J288" s="146">
        <f>ROUND(I288*H288,2)</f>
        <v>0</v>
      </c>
      <c r="K288" s="142" t="s">
        <v>184</v>
      </c>
      <c r="L288" s="35"/>
      <c r="M288" s="147" t="s">
        <v>3</v>
      </c>
      <c r="N288" s="148" t="s">
        <v>48</v>
      </c>
      <c r="O288" s="55"/>
      <c r="P288" s="149">
        <f>O288*H288</f>
        <v>0</v>
      </c>
      <c r="Q288" s="149">
        <v>0</v>
      </c>
      <c r="R288" s="149">
        <f>Q288*H288</f>
        <v>0</v>
      </c>
      <c r="S288" s="149">
        <v>0</v>
      </c>
      <c r="T288" s="150">
        <f>S288*H288</f>
        <v>0</v>
      </c>
      <c r="U288" s="34"/>
      <c r="V288" s="34"/>
      <c r="W288" s="34"/>
      <c r="X288" s="34"/>
      <c r="Y288" s="34"/>
      <c r="Z288" s="34"/>
      <c r="AA288" s="34"/>
      <c r="AB288" s="34"/>
      <c r="AC288" s="34"/>
      <c r="AD288" s="34"/>
      <c r="AE288" s="34"/>
      <c r="AR288" s="151" t="s">
        <v>237</v>
      </c>
      <c r="AT288" s="151" t="s">
        <v>180</v>
      </c>
      <c r="AU288" s="151" t="s">
        <v>87</v>
      </c>
      <c r="AY288" s="19" t="s">
        <v>177</v>
      </c>
      <c r="BE288" s="152">
        <f>IF(N288="základní",J288,0)</f>
        <v>0</v>
      </c>
      <c r="BF288" s="152">
        <f>IF(N288="snížená",J288,0)</f>
        <v>0</v>
      </c>
      <c r="BG288" s="152">
        <f>IF(N288="zákl. přenesená",J288,0)</f>
        <v>0</v>
      </c>
      <c r="BH288" s="152">
        <f>IF(N288="sníž. přenesená",J288,0)</f>
        <v>0</v>
      </c>
      <c r="BI288" s="152">
        <f>IF(N288="nulová",J288,0)</f>
        <v>0</v>
      </c>
      <c r="BJ288" s="19" t="s">
        <v>85</v>
      </c>
      <c r="BK288" s="152">
        <f>ROUND(I288*H288,2)</f>
        <v>0</v>
      </c>
      <c r="BL288" s="19" t="s">
        <v>237</v>
      </c>
      <c r="BM288" s="151" t="s">
        <v>3318</v>
      </c>
    </row>
    <row r="289" spans="1:65" s="2" customFormat="1">
      <c r="A289" s="34"/>
      <c r="B289" s="35"/>
      <c r="C289" s="34"/>
      <c r="D289" s="153" t="s">
        <v>187</v>
      </c>
      <c r="E289" s="34"/>
      <c r="F289" s="154" t="s">
        <v>3319</v>
      </c>
      <c r="G289" s="34"/>
      <c r="H289" s="34"/>
      <c r="I289" s="155"/>
      <c r="J289" s="34"/>
      <c r="K289" s="34"/>
      <c r="L289" s="35"/>
      <c r="M289" s="156"/>
      <c r="N289" s="157"/>
      <c r="O289" s="55"/>
      <c r="P289" s="55"/>
      <c r="Q289" s="55"/>
      <c r="R289" s="55"/>
      <c r="S289" s="55"/>
      <c r="T289" s="56"/>
      <c r="U289" s="34"/>
      <c r="V289" s="34"/>
      <c r="W289" s="34"/>
      <c r="X289" s="34"/>
      <c r="Y289" s="34"/>
      <c r="Z289" s="34"/>
      <c r="AA289" s="34"/>
      <c r="AB289" s="34"/>
      <c r="AC289" s="34"/>
      <c r="AD289" s="34"/>
      <c r="AE289" s="34"/>
      <c r="AT289" s="19" t="s">
        <v>187</v>
      </c>
      <c r="AU289" s="19" t="s">
        <v>87</v>
      </c>
    </row>
    <row r="290" spans="1:65" s="2" customFormat="1">
      <c r="A290" s="34"/>
      <c r="B290" s="35"/>
      <c r="C290" s="34"/>
      <c r="D290" s="158" t="s">
        <v>189</v>
      </c>
      <c r="E290" s="34"/>
      <c r="F290" s="159" t="s">
        <v>3320</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189</v>
      </c>
      <c r="AU290" s="19" t="s">
        <v>87</v>
      </c>
    </row>
    <row r="291" spans="1:65" s="2" customFormat="1" ht="58.5">
      <c r="A291" s="34"/>
      <c r="B291" s="35"/>
      <c r="C291" s="34"/>
      <c r="D291" s="153" t="s">
        <v>191</v>
      </c>
      <c r="E291" s="34"/>
      <c r="F291" s="160" t="s">
        <v>3315</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191</v>
      </c>
      <c r="AU291" s="19" t="s">
        <v>87</v>
      </c>
    </row>
    <row r="292" spans="1:65" s="13" customFormat="1">
      <c r="B292" s="161"/>
      <c r="D292" s="153" t="s">
        <v>193</v>
      </c>
      <c r="E292" s="162" t="s">
        <v>3</v>
      </c>
      <c r="F292" s="163" t="s">
        <v>3321</v>
      </c>
      <c r="H292" s="164">
        <v>11</v>
      </c>
      <c r="I292" s="165"/>
      <c r="L292" s="161"/>
      <c r="M292" s="166"/>
      <c r="N292" s="167"/>
      <c r="O292" s="167"/>
      <c r="P292" s="167"/>
      <c r="Q292" s="167"/>
      <c r="R292" s="167"/>
      <c r="S292" s="167"/>
      <c r="T292" s="168"/>
      <c r="AT292" s="162" t="s">
        <v>193</v>
      </c>
      <c r="AU292" s="162" t="s">
        <v>87</v>
      </c>
      <c r="AV292" s="13" t="s">
        <v>87</v>
      </c>
      <c r="AW292" s="13" t="s">
        <v>36</v>
      </c>
      <c r="AX292" s="13" t="s">
        <v>77</v>
      </c>
      <c r="AY292" s="162" t="s">
        <v>177</v>
      </c>
    </row>
    <row r="293" spans="1:65" s="13" customFormat="1">
      <c r="B293" s="161"/>
      <c r="D293" s="153" t="s">
        <v>193</v>
      </c>
      <c r="E293" s="162" t="s">
        <v>3</v>
      </c>
      <c r="F293" s="163" t="s">
        <v>248</v>
      </c>
      <c r="H293" s="164">
        <v>8</v>
      </c>
      <c r="I293" s="165"/>
      <c r="L293" s="161"/>
      <c r="M293" s="166"/>
      <c r="N293" s="167"/>
      <c r="O293" s="167"/>
      <c r="P293" s="167"/>
      <c r="Q293" s="167"/>
      <c r="R293" s="167"/>
      <c r="S293" s="167"/>
      <c r="T293" s="168"/>
      <c r="AT293" s="162" t="s">
        <v>193</v>
      </c>
      <c r="AU293" s="162" t="s">
        <v>87</v>
      </c>
      <c r="AV293" s="13" t="s">
        <v>87</v>
      </c>
      <c r="AW293" s="13" t="s">
        <v>36</v>
      </c>
      <c r="AX293" s="13" t="s">
        <v>77</v>
      </c>
      <c r="AY293" s="162" t="s">
        <v>177</v>
      </c>
    </row>
    <row r="294" spans="1:65" s="16" customFormat="1">
      <c r="B294" s="184"/>
      <c r="D294" s="153" t="s">
        <v>193</v>
      </c>
      <c r="E294" s="185" t="s">
        <v>3</v>
      </c>
      <c r="F294" s="186" t="s">
        <v>201</v>
      </c>
      <c r="H294" s="187">
        <v>19</v>
      </c>
      <c r="I294" s="188"/>
      <c r="L294" s="184"/>
      <c r="M294" s="189"/>
      <c r="N294" s="190"/>
      <c r="O294" s="190"/>
      <c r="P294" s="190"/>
      <c r="Q294" s="190"/>
      <c r="R294" s="190"/>
      <c r="S294" s="190"/>
      <c r="T294" s="191"/>
      <c r="AT294" s="185" t="s">
        <v>193</v>
      </c>
      <c r="AU294" s="185" t="s">
        <v>87</v>
      </c>
      <c r="AV294" s="16" t="s">
        <v>185</v>
      </c>
      <c r="AW294" s="16" t="s">
        <v>36</v>
      </c>
      <c r="AX294" s="16" t="s">
        <v>85</v>
      </c>
      <c r="AY294" s="185" t="s">
        <v>177</v>
      </c>
    </row>
    <row r="295" spans="1:65" s="2" customFormat="1" ht="16.5" customHeight="1">
      <c r="A295" s="34"/>
      <c r="B295" s="139"/>
      <c r="C295" s="140" t="s">
        <v>1142</v>
      </c>
      <c r="D295" s="140" t="s">
        <v>180</v>
      </c>
      <c r="E295" s="141" t="s">
        <v>3322</v>
      </c>
      <c r="F295" s="142" t="s">
        <v>3323</v>
      </c>
      <c r="G295" s="143" t="s">
        <v>236</v>
      </c>
      <c r="H295" s="144">
        <v>2</v>
      </c>
      <c r="I295" s="145"/>
      <c r="J295" s="146">
        <f>ROUND(I295*H295,2)</f>
        <v>0</v>
      </c>
      <c r="K295" s="142" t="s">
        <v>184</v>
      </c>
      <c r="L295" s="35"/>
      <c r="M295" s="147" t="s">
        <v>3</v>
      </c>
      <c r="N295" s="148" t="s">
        <v>48</v>
      </c>
      <c r="O295" s="55"/>
      <c r="P295" s="149">
        <f>O295*H295</f>
        <v>0</v>
      </c>
      <c r="Q295" s="149">
        <v>0</v>
      </c>
      <c r="R295" s="149">
        <f>Q295*H295</f>
        <v>0</v>
      </c>
      <c r="S295" s="149">
        <v>0</v>
      </c>
      <c r="T295" s="150">
        <f>S295*H295</f>
        <v>0</v>
      </c>
      <c r="U295" s="34"/>
      <c r="V295" s="34"/>
      <c r="W295" s="34"/>
      <c r="X295" s="34"/>
      <c r="Y295" s="34"/>
      <c r="Z295" s="34"/>
      <c r="AA295" s="34"/>
      <c r="AB295" s="34"/>
      <c r="AC295" s="34"/>
      <c r="AD295" s="34"/>
      <c r="AE295" s="34"/>
      <c r="AR295" s="151" t="s">
        <v>237</v>
      </c>
      <c r="AT295" s="151" t="s">
        <v>180</v>
      </c>
      <c r="AU295" s="151" t="s">
        <v>87</v>
      </c>
      <c r="AY295" s="19" t="s">
        <v>177</v>
      </c>
      <c r="BE295" s="152">
        <f>IF(N295="základní",J295,0)</f>
        <v>0</v>
      </c>
      <c r="BF295" s="152">
        <f>IF(N295="snížená",J295,0)</f>
        <v>0</v>
      </c>
      <c r="BG295" s="152">
        <f>IF(N295="zákl. přenesená",J295,0)</f>
        <v>0</v>
      </c>
      <c r="BH295" s="152">
        <f>IF(N295="sníž. přenesená",J295,0)</f>
        <v>0</v>
      </c>
      <c r="BI295" s="152">
        <f>IF(N295="nulová",J295,0)</f>
        <v>0</v>
      </c>
      <c r="BJ295" s="19" t="s">
        <v>85</v>
      </c>
      <c r="BK295" s="152">
        <f>ROUND(I295*H295,2)</f>
        <v>0</v>
      </c>
      <c r="BL295" s="19" t="s">
        <v>237</v>
      </c>
      <c r="BM295" s="151" t="s">
        <v>3324</v>
      </c>
    </row>
    <row r="296" spans="1:65" s="2" customFormat="1">
      <c r="A296" s="34"/>
      <c r="B296" s="35"/>
      <c r="C296" s="34"/>
      <c r="D296" s="153" t="s">
        <v>187</v>
      </c>
      <c r="E296" s="34"/>
      <c r="F296" s="154" t="s">
        <v>3325</v>
      </c>
      <c r="G296" s="34"/>
      <c r="H296" s="34"/>
      <c r="I296" s="155"/>
      <c r="J296" s="34"/>
      <c r="K296" s="34"/>
      <c r="L296" s="35"/>
      <c r="M296" s="156"/>
      <c r="N296" s="157"/>
      <c r="O296" s="55"/>
      <c r="P296" s="55"/>
      <c r="Q296" s="55"/>
      <c r="R296" s="55"/>
      <c r="S296" s="55"/>
      <c r="T296" s="56"/>
      <c r="U296" s="34"/>
      <c r="V296" s="34"/>
      <c r="W296" s="34"/>
      <c r="X296" s="34"/>
      <c r="Y296" s="34"/>
      <c r="Z296" s="34"/>
      <c r="AA296" s="34"/>
      <c r="AB296" s="34"/>
      <c r="AC296" s="34"/>
      <c r="AD296" s="34"/>
      <c r="AE296" s="34"/>
      <c r="AT296" s="19" t="s">
        <v>187</v>
      </c>
      <c r="AU296" s="19" t="s">
        <v>87</v>
      </c>
    </row>
    <row r="297" spans="1:65" s="2" customFormat="1">
      <c r="A297" s="34"/>
      <c r="B297" s="35"/>
      <c r="C297" s="34"/>
      <c r="D297" s="158" t="s">
        <v>189</v>
      </c>
      <c r="E297" s="34"/>
      <c r="F297" s="159" t="s">
        <v>3326</v>
      </c>
      <c r="G297" s="34"/>
      <c r="H297" s="34"/>
      <c r="I297" s="155"/>
      <c r="J297" s="34"/>
      <c r="K297" s="34"/>
      <c r="L297" s="35"/>
      <c r="M297" s="156"/>
      <c r="N297" s="157"/>
      <c r="O297" s="55"/>
      <c r="P297" s="55"/>
      <c r="Q297" s="55"/>
      <c r="R297" s="55"/>
      <c r="S297" s="55"/>
      <c r="T297" s="56"/>
      <c r="U297" s="34"/>
      <c r="V297" s="34"/>
      <c r="W297" s="34"/>
      <c r="X297" s="34"/>
      <c r="Y297" s="34"/>
      <c r="Z297" s="34"/>
      <c r="AA297" s="34"/>
      <c r="AB297" s="34"/>
      <c r="AC297" s="34"/>
      <c r="AD297" s="34"/>
      <c r="AE297" s="34"/>
      <c r="AT297" s="19" t="s">
        <v>189</v>
      </c>
      <c r="AU297" s="19" t="s">
        <v>87</v>
      </c>
    </row>
    <row r="298" spans="1:65" s="2" customFormat="1" ht="58.5">
      <c r="A298" s="34"/>
      <c r="B298" s="35"/>
      <c r="C298" s="34"/>
      <c r="D298" s="153" t="s">
        <v>191</v>
      </c>
      <c r="E298" s="34"/>
      <c r="F298" s="160" t="s">
        <v>3315</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191</v>
      </c>
      <c r="AU298" s="19" t="s">
        <v>87</v>
      </c>
    </row>
    <row r="299" spans="1:65" s="2" customFormat="1" ht="16.5" customHeight="1">
      <c r="A299" s="34"/>
      <c r="B299" s="139"/>
      <c r="C299" s="195" t="s">
        <v>1146</v>
      </c>
      <c r="D299" s="195" t="s">
        <v>484</v>
      </c>
      <c r="E299" s="196" t="s">
        <v>3327</v>
      </c>
      <c r="F299" s="197" t="s">
        <v>3328</v>
      </c>
      <c r="G299" s="198" t="s">
        <v>476</v>
      </c>
      <c r="H299" s="199">
        <v>56.7</v>
      </c>
      <c r="I299" s="200"/>
      <c r="J299" s="201">
        <f>ROUND(I299*H299,2)</f>
        <v>0</v>
      </c>
      <c r="K299" s="197" t="s">
        <v>184</v>
      </c>
      <c r="L299" s="202"/>
      <c r="M299" s="203" t="s">
        <v>3</v>
      </c>
      <c r="N299" s="204" t="s">
        <v>48</v>
      </c>
      <c r="O299" s="55"/>
      <c r="P299" s="149">
        <f>O299*H299</f>
        <v>0</v>
      </c>
      <c r="Q299" s="149">
        <v>1.8E-3</v>
      </c>
      <c r="R299" s="149">
        <f>Q299*H299</f>
        <v>0.10206</v>
      </c>
      <c r="S299" s="149">
        <v>0</v>
      </c>
      <c r="T299" s="150">
        <f>S299*H299</f>
        <v>0</v>
      </c>
      <c r="U299" s="34"/>
      <c r="V299" s="34"/>
      <c r="W299" s="34"/>
      <c r="X299" s="34"/>
      <c r="Y299" s="34"/>
      <c r="Z299" s="34"/>
      <c r="AA299" s="34"/>
      <c r="AB299" s="34"/>
      <c r="AC299" s="34"/>
      <c r="AD299" s="34"/>
      <c r="AE299" s="34"/>
      <c r="AR299" s="151" t="s">
        <v>537</v>
      </c>
      <c r="AT299" s="151" t="s">
        <v>484</v>
      </c>
      <c r="AU299" s="151" t="s">
        <v>87</v>
      </c>
      <c r="AY299" s="19" t="s">
        <v>177</v>
      </c>
      <c r="BE299" s="152">
        <f>IF(N299="základní",J299,0)</f>
        <v>0</v>
      </c>
      <c r="BF299" s="152">
        <f>IF(N299="snížená",J299,0)</f>
        <v>0</v>
      </c>
      <c r="BG299" s="152">
        <f>IF(N299="zákl. přenesená",J299,0)</f>
        <v>0</v>
      </c>
      <c r="BH299" s="152">
        <f>IF(N299="sníž. přenesená",J299,0)</f>
        <v>0</v>
      </c>
      <c r="BI299" s="152">
        <f>IF(N299="nulová",J299,0)</f>
        <v>0</v>
      </c>
      <c r="BJ299" s="19" t="s">
        <v>85</v>
      </c>
      <c r="BK299" s="152">
        <f>ROUND(I299*H299,2)</f>
        <v>0</v>
      </c>
      <c r="BL299" s="19" t="s">
        <v>237</v>
      </c>
      <c r="BM299" s="151" t="s">
        <v>3329</v>
      </c>
    </row>
    <row r="300" spans="1:65" s="2" customFormat="1">
      <c r="A300" s="34"/>
      <c r="B300" s="35"/>
      <c r="C300" s="34"/>
      <c r="D300" s="153" t="s">
        <v>187</v>
      </c>
      <c r="E300" s="34"/>
      <c r="F300" s="154" t="s">
        <v>3330</v>
      </c>
      <c r="G300" s="34"/>
      <c r="H300" s="34"/>
      <c r="I300" s="155"/>
      <c r="J300" s="34"/>
      <c r="K300" s="34"/>
      <c r="L300" s="35"/>
      <c r="M300" s="156"/>
      <c r="N300" s="157"/>
      <c r="O300" s="55"/>
      <c r="P300" s="55"/>
      <c r="Q300" s="55"/>
      <c r="R300" s="55"/>
      <c r="S300" s="55"/>
      <c r="T300" s="56"/>
      <c r="U300" s="34"/>
      <c r="V300" s="34"/>
      <c r="W300" s="34"/>
      <c r="X300" s="34"/>
      <c r="Y300" s="34"/>
      <c r="Z300" s="34"/>
      <c r="AA300" s="34"/>
      <c r="AB300" s="34"/>
      <c r="AC300" s="34"/>
      <c r="AD300" s="34"/>
      <c r="AE300" s="34"/>
      <c r="AT300" s="19" t="s">
        <v>187</v>
      </c>
      <c r="AU300" s="19" t="s">
        <v>87</v>
      </c>
    </row>
    <row r="301" spans="1:65" s="13" customFormat="1">
      <c r="B301" s="161"/>
      <c r="D301" s="153" t="s">
        <v>193</v>
      </c>
      <c r="E301" s="162" t="s">
        <v>3</v>
      </c>
      <c r="F301" s="163" t="s">
        <v>2531</v>
      </c>
      <c r="H301" s="164">
        <v>6.9</v>
      </c>
      <c r="I301" s="165"/>
      <c r="L301" s="161"/>
      <c r="M301" s="166"/>
      <c r="N301" s="167"/>
      <c r="O301" s="167"/>
      <c r="P301" s="167"/>
      <c r="Q301" s="167"/>
      <c r="R301" s="167"/>
      <c r="S301" s="167"/>
      <c r="T301" s="168"/>
      <c r="AT301" s="162" t="s">
        <v>193</v>
      </c>
      <c r="AU301" s="162" t="s">
        <v>87</v>
      </c>
      <c r="AV301" s="13" t="s">
        <v>87</v>
      </c>
      <c r="AW301" s="13" t="s">
        <v>36</v>
      </c>
      <c r="AX301" s="13" t="s">
        <v>77</v>
      </c>
      <c r="AY301" s="162" t="s">
        <v>177</v>
      </c>
    </row>
    <row r="302" spans="1:65" s="13" customFormat="1">
      <c r="B302" s="161"/>
      <c r="D302" s="153" t="s">
        <v>193</v>
      </c>
      <c r="E302" s="162" t="s">
        <v>3</v>
      </c>
      <c r="F302" s="163" t="s">
        <v>2530</v>
      </c>
      <c r="H302" s="164">
        <v>19.2</v>
      </c>
      <c r="I302" s="165"/>
      <c r="L302" s="161"/>
      <c r="M302" s="166"/>
      <c r="N302" s="167"/>
      <c r="O302" s="167"/>
      <c r="P302" s="167"/>
      <c r="Q302" s="167"/>
      <c r="R302" s="167"/>
      <c r="S302" s="167"/>
      <c r="T302" s="168"/>
      <c r="AT302" s="162" t="s">
        <v>193</v>
      </c>
      <c r="AU302" s="162" t="s">
        <v>87</v>
      </c>
      <c r="AV302" s="13" t="s">
        <v>87</v>
      </c>
      <c r="AW302" s="13" t="s">
        <v>36</v>
      </c>
      <c r="AX302" s="13" t="s">
        <v>77</v>
      </c>
      <c r="AY302" s="162" t="s">
        <v>177</v>
      </c>
    </row>
    <row r="303" spans="1:65" s="13" customFormat="1">
      <c r="B303" s="161"/>
      <c r="D303" s="153" t="s">
        <v>193</v>
      </c>
      <c r="E303" s="162" t="s">
        <v>3</v>
      </c>
      <c r="F303" s="163" t="s">
        <v>3331</v>
      </c>
      <c r="H303" s="164">
        <v>30.6</v>
      </c>
      <c r="I303" s="165"/>
      <c r="L303" s="161"/>
      <c r="M303" s="166"/>
      <c r="N303" s="167"/>
      <c r="O303" s="167"/>
      <c r="P303" s="167"/>
      <c r="Q303" s="167"/>
      <c r="R303" s="167"/>
      <c r="S303" s="167"/>
      <c r="T303" s="168"/>
      <c r="AT303" s="162" t="s">
        <v>193</v>
      </c>
      <c r="AU303" s="162" t="s">
        <v>87</v>
      </c>
      <c r="AV303" s="13" t="s">
        <v>87</v>
      </c>
      <c r="AW303" s="13" t="s">
        <v>36</v>
      </c>
      <c r="AX303" s="13" t="s">
        <v>77</v>
      </c>
      <c r="AY303" s="162" t="s">
        <v>177</v>
      </c>
    </row>
    <row r="304" spans="1:65" s="16" customFormat="1">
      <c r="B304" s="184"/>
      <c r="D304" s="153" t="s">
        <v>193</v>
      </c>
      <c r="E304" s="185" t="s">
        <v>3</v>
      </c>
      <c r="F304" s="186" t="s">
        <v>201</v>
      </c>
      <c r="H304" s="187">
        <v>56.7</v>
      </c>
      <c r="I304" s="188"/>
      <c r="L304" s="184"/>
      <c r="M304" s="189"/>
      <c r="N304" s="190"/>
      <c r="O304" s="190"/>
      <c r="P304" s="190"/>
      <c r="Q304" s="190"/>
      <c r="R304" s="190"/>
      <c r="S304" s="190"/>
      <c r="T304" s="191"/>
      <c r="AT304" s="185" t="s">
        <v>193</v>
      </c>
      <c r="AU304" s="185" t="s">
        <v>87</v>
      </c>
      <c r="AV304" s="16" t="s">
        <v>185</v>
      </c>
      <c r="AW304" s="16" t="s">
        <v>36</v>
      </c>
      <c r="AX304" s="16" t="s">
        <v>85</v>
      </c>
      <c r="AY304" s="185" t="s">
        <v>177</v>
      </c>
    </row>
    <row r="305" spans="1:65" s="2" customFormat="1" ht="16.5" customHeight="1">
      <c r="A305" s="34"/>
      <c r="B305" s="139"/>
      <c r="C305" s="195" t="s">
        <v>1150</v>
      </c>
      <c r="D305" s="195" t="s">
        <v>484</v>
      </c>
      <c r="E305" s="196" t="s">
        <v>3332</v>
      </c>
      <c r="F305" s="197" t="s">
        <v>3333</v>
      </c>
      <c r="G305" s="198" t="s">
        <v>3334</v>
      </c>
      <c r="H305" s="199">
        <v>28</v>
      </c>
      <c r="I305" s="200"/>
      <c r="J305" s="201">
        <f>ROUND(I305*H305,2)</f>
        <v>0</v>
      </c>
      <c r="K305" s="197" t="s">
        <v>184</v>
      </c>
      <c r="L305" s="202"/>
      <c r="M305" s="203" t="s">
        <v>3</v>
      </c>
      <c r="N305" s="204" t="s">
        <v>48</v>
      </c>
      <c r="O305" s="55"/>
      <c r="P305" s="149">
        <f>O305*H305</f>
        <v>0</v>
      </c>
      <c r="Q305" s="149">
        <v>2.0000000000000001E-4</v>
      </c>
      <c r="R305" s="149">
        <f>Q305*H305</f>
        <v>5.5999999999999999E-3</v>
      </c>
      <c r="S305" s="149">
        <v>0</v>
      </c>
      <c r="T305" s="150">
        <f>S305*H305</f>
        <v>0</v>
      </c>
      <c r="U305" s="34"/>
      <c r="V305" s="34"/>
      <c r="W305" s="34"/>
      <c r="X305" s="34"/>
      <c r="Y305" s="34"/>
      <c r="Z305" s="34"/>
      <c r="AA305" s="34"/>
      <c r="AB305" s="34"/>
      <c r="AC305" s="34"/>
      <c r="AD305" s="34"/>
      <c r="AE305" s="34"/>
      <c r="AR305" s="151" t="s">
        <v>537</v>
      </c>
      <c r="AT305" s="151" t="s">
        <v>484</v>
      </c>
      <c r="AU305" s="151" t="s">
        <v>87</v>
      </c>
      <c r="AY305" s="19" t="s">
        <v>177</v>
      </c>
      <c r="BE305" s="152">
        <f>IF(N305="základní",J305,0)</f>
        <v>0</v>
      </c>
      <c r="BF305" s="152">
        <f>IF(N305="snížená",J305,0)</f>
        <v>0</v>
      </c>
      <c r="BG305" s="152">
        <f>IF(N305="zákl. přenesená",J305,0)</f>
        <v>0</v>
      </c>
      <c r="BH305" s="152">
        <f>IF(N305="sníž. přenesená",J305,0)</f>
        <v>0</v>
      </c>
      <c r="BI305" s="152">
        <f>IF(N305="nulová",J305,0)</f>
        <v>0</v>
      </c>
      <c r="BJ305" s="19" t="s">
        <v>85</v>
      </c>
      <c r="BK305" s="152">
        <f>ROUND(I305*H305,2)</f>
        <v>0</v>
      </c>
      <c r="BL305" s="19" t="s">
        <v>237</v>
      </c>
      <c r="BM305" s="151" t="s">
        <v>3335</v>
      </c>
    </row>
    <row r="306" spans="1:65" s="2" customFormat="1">
      <c r="A306" s="34"/>
      <c r="B306" s="35"/>
      <c r="C306" s="34"/>
      <c r="D306" s="153" t="s">
        <v>187</v>
      </c>
      <c r="E306" s="34"/>
      <c r="F306" s="154" t="s">
        <v>3333</v>
      </c>
      <c r="G306" s="34"/>
      <c r="H306" s="34"/>
      <c r="I306" s="155"/>
      <c r="J306" s="34"/>
      <c r="K306" s="34"/>
      <c r="L306" s="35"/>
      <c r="M306" s="156"/>
      <c r="N306" s="157"/>
      <c r="O306" s="55"/>
      <c r="P306" s="55"/>
      <c r="Q306" s="55"/>
      <c r="R306" s="55"/>
      <c r="S306" s="55"/>
      <c r="T306" s="56"/>
      <c r="U306" s="34"/>
      <c r="V306" s="34"/>
      <c r="W306" s="34"/>
      <c r="X306" s="34"/>
      <c r="Y306" s="34"/>
      <c r="Z306" s="34"/>
      <c r="AA306" s="34"/>
      <c r="AB306" s="34"/>
      <c r="AC306" s="34"/>
      <c r="AD306" s="34"/>
      <c r="AE306" s="34"/>
      <c r="AT306" s="19" t="s">
        <v>187</v>
      </c>
      <c r="AU306" s="19" t="s">
        <v>87</v>
      </c>
    </row>
    <row r="307" spans="1:65" s="13" customFormat="1">
      <c r="B307" s="161"/>
      <c r="D307" s="153" t="s">
        <v>193</v>
      </c>
      <c r="E307" s="162" t="s">
        <v>3</v>
      </c>
      <c r="F307" s="163" t="s">
        <v>3336</v>
      </c>
      <c r="H307" s="164">
        <v>16</v>
      </c>
      <c r="I307" s="165"/>
      <c r="L307" s="161"/>
      <c r="M307" s="166"/>
      <c r="N307" s="167"/>
      <c r="O307" s="167"/>
      <c r="P307" s="167"/>
      <c r="Q307" s="167"/>
      <c r="R307" s="167"/>
      <c r="S307" s="167"/>
      <c r="T307" s="168"/>
      <c r="AT307" s="162" t="s">
        <v>193</v>
      </c>
      <c r="AU307" s="162" t="s">
        <v>87</v>
      </c>
      <c r="AV307" s="13" t="s">
        <v>87</v>
      </c>
      <c r="AW307" s="13" t="s">
        <v>36</v>
      </c>
      <c r="AX307" s="13" t="s">
        <v>77</v>
      </c>
      <c r="AY307" s="162" t="s">
        <v>177</v>
      </c>
    </row>
    <row r="308" spans="1:65" s="13" customFormat="1">
      <c r="B308" s="161"/>
      <c r="D308" s="153" t="s">
        <v>193</v>
      </c>
      <c r="E308" s="162" t="s">
        <v>3</v>
      </c>
      <c r="F308" s="163" t="s">
        <v>3337</v>
      </c>
      <c r="H308" s="164">
        <v>12</v>
      </c>
      <c r="I308" s="165"/>
      <c r="L308" s="161"/>
      <c r="M308" s="166"/>
      <c r="N308" s="167"/>
      <c r="O308" s="167"/>
      <c r="P308" s="167"/>
      <c r="Q308" s="167"/>
      <c r="R308" s="167"/>
      <c r="S308" s="167"/>
      <c r="T308" s="168"/>
      <c r="AT308" s="162" t="s">
        <v>193</v>
      </c>
      <c r="AU308" s="162" t="s">
        <v>87</v>
      </c>
      <c r="AV308" s="13" t="s">
        <v>87</v>
      </c>
      <c r="AW308" s="13" t="s">
        <v>36</v>
      </c>
      <c r="AX308" s="13" t="s">
        <v>77</v>
      </c>
      <c r="AY308" s="162" t="s">
        <v>177</v>
      </c>
    </row>
    <row r="309" spans="1:65" s="16" customFormat="1">
      <c r="B309" s="184"/>
      <c r="D309" s="153" t="s">
        <v>193</v>
      </c>
      <c r="E309" s="185" t="s">
        <v>3</v>
      </c>
      <c r="F309" s="186" t="s">
        <v>201</v>
      </c>
      <c r="H309" s="187">
        <v>28</v>
      </c>
      <c r="I309" s="188"/>
      <c r="L309" s="184"/>
      <c r="M309" s="189"/>
      <c r="N309" s="190"/>
      <c r="O309" s="190"/>
      <c r="P309" s="190"/>
      <c r="Q309" s="190"/>
      <c r="R309" s="190"/>
      <c r="S309" s="190"/>
      <c r="T309" s="191"/>
      <c r="AT309" s="185" t="s">
        <v>193</v>
      </c>
      <c r="AU309" s="185" t="s">
        <v>87</v>
      </c>
      <c r="AV309" s="16" t="s">
        <v>185</v>
      </c>
      <c r="AW309" s="16" t="s">
        <v>36</v>
      </c>
      <c r="AX309" s="16" t="s">
        <v>85</v>
      </c>
      <c r="AY309" s="185" t="s">
        <v>177</v>
      </c>
    </row>
    <row r="310" spans="1:65" s="2" customFormat="1" ht="16.5" customHeight="1">
      <c r="A310" s="34"/>
      <c r="B310" s="139"/>
      <c r="C310" s="140" t="s">
        <v>1158</v>
      </c>
      <c r="D310" s="140" t="s">
        <v>180</v>
      </c>
      <c r="E310" s="141" t="s">
        <v>2296</v>
      </c>
      <c r="F310" s="142" t="s">
        <v>2297</v>
      </c>
      <c r="G310" s="143" t="s">
        <v>183</v>
      </c>
      <c r="H310" s="144">
        <v>1.133</v>
      </c>
      <c r="I310" s="145"/>
      <c r="J310" s="146">
        <f>ROUND(I310*H310,2)</f>
        <v>0</v>
      </c>
      <c r="K310" s="142" t="s">
        <v>184</v>
      </c>
      <c r="L310" s="35"/>
      <c r="M310" s="147" t="s">
        <v>3</v>
      </c>
      <c r="N310" s="148" t="s">
        <v>48</v>
      </c>
      <c r="O310" s="55"/>
      <c r="P310" s="149">
        <f>O310*H310</f>
        <v>0</v>
      </c>
      <c r="Q310" s="149">
        <v>0</v>
      </c>
      <c r="R310" s="149">
        <f>Q310*H310</f>
        <v>0</v>
      </c>
      <c r="S310" s="149">
        <v>0</v>
      </c>
      <c r="T310" s="150">
        <f>S310*H310</f>
        <v>0</v>
      </c>
      <c r="U310" s="34"/>
      <c r="V310" s="34"/>
      <c r="W310" s="34"/>
      <c r="X310" s="34"/>
      <c r="Y310" s="34"/>
      <c r="Z310" s="34"/>
      <c r="AA310" s="34"/>
      <c r="AB310" s="34"/>
      <c r="AC310" s="34"/>
      <c r="AD310" s="34"/>
      <c r="AE310" s="34"/>
      <c r="AR310" s="151" t="s">
        <v>237</v>
      </c>
      <c r="AT310" s="151" t="s">
        <v>180</v>
      </c>
      <c r="AU310" s="151" t="s">
        <v>87</v>
      </c>
      <c r="AY310" s="19" t="s">
        <v>177</v>
      </c>
      <c r="BE310" s="152">
        <f>IF(N310="základní",J310,0)</f>
        <v>0</v>
      </c>
      <c r="BF310" s="152">
        <f>IF(N310="snížená",J310,0)</f>
        <v>0</v>
      </c>
      <c r="BG310" s="152">
        <f>IF(N310="zákl. přenesená",J310,0)</f>
        <v>0</v>
      </c>
      <c r="BH310" s="152">
        <f>IF(N310="sníž. přenesená",J310,0)</f>
        <v>0</v>
      </c>
      <c r="BI310" s="152">
        <f>IF(N310="nulová",J310,0)</f>
        <v>0</v>
      </c>
      <c r="BJ310" s="19" t="s">
        <v>85</v>
      </c>
      <c r="BK310" s="152">
        <f>ROUND(I310*H310,2)</f>
        <v>0</v>
      </c>
      <c r="BL310" s="19" t="s">
        <v>237</v>
      </c>
      <c r="BM310" s="151" t="s">
        <v>3338</v>
      </c>
    </row>
    <row r="311" spans="1:65" s="2" customFormat="1" ht="19.5">
      <c r="A311" s="34"/>
      <c r="B311" s="35"/>
      <c r="C311" s="34"/>
      <c r="D311" s="153" t="s">
        <v>187</v>
      </c>
      <c r="E311" s="34"/>
      <c r="F311" s="154" t="s">
        <v>2299</v>
      </c>
      <c r="G311" s="34"/>
      <c r="H311" s="34"/>
      <c r="I311" s="155"/>
      <c r="J311" s="34"/>
      <c r="K311" s="34"/>
      <c r="L311" s="35"/>
      <c r="M311" s="156"/>
      <c r="N311" s="157"/>
      <c r="O311" s="55"/>
      <c r="P311" s="55"/>
      <c r="Q311" s="55"/>
      <c r="R311" s="55"/>
      <c r="S311" s="55"/>
      <c r="T311" s="56"/>
      <c r="U311" s="34"/>
      <c r="V311" s="34"/>
      <c r="W311" s="34"/>
      <c r="X311" s="34"/>
      <c r="Y311" s="34"/>
      <c r="Z311" s="34"/>
      <c r="AA311" s="34"/>
      <c r="AB311" s="34"/>
      <c r="AC311" s="34"/>
      <c r="AD311" s="34"/>
      <c r="AE311" s="34"/>
      <c r="AT311" s="19" t="s">
        <v>187</v>
      </c>
      <c r="AU311" s="19" t="s">
        <v>87</v>
      </c>
    </row>
    <row r="312" spans="1:65" s="2" customFormat="1">
      <c r="A312" s="34"/>
      <c r="B312" s="35"/>
      <c r="C312" s="34"/>
      <c r="D312" s="158" t="s">
        <v>189</v>
      </c>
      <c r="E312" s="34"/>
      <c r="F312" s="159" t="s">
        <v>2300</v>
      </c>
      <c r="G312" s="34"/>
      <c r="H312" s="34"/>
      <c r="I312" s="155"/>
      <c r="J312" s="34"/>
      <c r="K312" s="34"/>
      <c r="L312" s="35"/>
      <c r="M312" s="156"/>
      <c r="N312" s="157"/>
      <c r="O312" s="55"/>
      <c r="P312" s="55"/>
      <c r="Q312" s="55"/>
      <c r="R312" s="55"/>
      <c r="S312" s="55"/>
      <c r="T312" s="56"/>
      <c r="U312" s="34"/>
      <c r="V312" s="34"/>
      <c r="W312" s="34"/>
      <c r="X312" s="34"/>
      <c r="Y312" s="34"/>
      <c r="Z312" s="34"/>
      <c r="AA312" s="34"/>
      <c r="AB312" s="34"/>
      <c r="AC312" s="34"/>
      <c r="AD312" s="34"/>
      <c r="AE312" s="34"/>
      <c r="AT312" s="19" t="s">
        <v>189</v>
      </c>
      <c r="AU312" s="19" t="s">
        <v>87</v>
      </c>
    </row>
    <row r="313" spans="1:65" s="2" customFormat="1" ht="78">
      <c r="A313" s="34"/>
      <c r="B313" s="35"/>
      <c r="C313" s="34"/>
      <c r="D313" s="153" t="s">
        <v>191</v>
      </c>
      <c r="E313" s="34"/>
      <c r="F313" s="160" t="s">
        <v>2301</v>
      </c>
      <c r="G313" s="34"/>
      <c r="H313" s="34"/>
      <c r="I313" s="155"/>
      <c r="J313" s="34"/>
      <c r="K313" s="34"/>
      <c r="L313" s="35"/>
      <c r="M313" s="156"/>
      <c r="N313" s="157"/>
      <c r="O313" s="55"/>
      <c r="P313" s="55"/>
      <c r="Q313" s="55"/>
      <c r="R313" s="55"/>
      <c r="S313" s="55"/>
      <c r="T313" s="56"/>
      <c r="U313" s="34"/>
      <c r="V313" s="34"/>
      <c r="W313" s="34"/>
      <c r="X313" s="34"/>
      <c r="Y313" s="34"/>
      <c r="Z313" s="34"/>
      <c r="AA313" s="34"/>
      <c r="AB313" s="34"/>
      <c r="AC313" s="34"/>
      <c r="AD313" s="34"/>
      <c r="AE313" s="34"/>
      <c r="AT313" s="19" t="s">
        <v>191</v>
      </c>
      <c r="AU313" s="19" t="s">
        <v>87</v>
      </c>
    </row>
    <row r="314" spans="1:65" s="2" customFormat="1" ht="16.5" customHeight="1">
      <c r="A314" s="34"/>
      <c r="B314" s="139"/>
      <c r="C314" s="140" t="s">
        <v>1166</v>
      </c>
      <c r="D314" s="140" t="s">
        <v>180</v>
      </c>
      <c r="E314" s="141" t="s">
        <v>2302</v>
      </c>
      <c r="F314" s="142" t="s">
        <v>2303</v>
      </c>
      <c r="G314" s="143" t="s">
        <v>183</v>
      </c>
      <c r="H314" s="144">
        <v>1.133</v>
      </c>
      <c r="I314" s="145"/>
      <c r="J314" s="146">
        <f>ROUND(I314*H314,2)</f>
        <v>0</v>
      </c>
      <c r="K314" s="142" t="s">
        <v>184</v>
      </c>
      <c r="L314" s="35"/>
      <c r="M314" s="147" t="s">
        <v>3</v>
      </c>
      <c r="N314" s="148" t="s">
        <v>48</v>
      </c>
      <c r="O314" s="55"/>
      <c r="P314" s="149">
        <f>O314*H314</f>
        <v>0</v>
      </c>
      <c r="Q314" s="149">
        <v>0</v>
      </c>
      <c r="R314" s="149">
        <f>Q314*H314</f>
        <v>0</v>
      </c>
      <c r="S314" s="149">
        <v>0</v>
      </c>
      <c r="T314" s="150">
        <f>S314*H314</f>
        <v>0</v>
      </c>
      <c r="U314" s="34"/>
      <c r="V314" s="34"/>
      <c r="W314" s="34"/>
      <c r="X314" s="34"/>
      <c r="Y314" s="34"/>
      <c r="Z314" s="34"/>
      <c r="AA314" s="34"/>
      <c r="AB314" s="34"/>
      <c r="AC314" s="34"/>
      <c r="AD314" s="34"/>
      <c r="AE314" s="34"/>
      <c r="AR314" s="151" t="s">
        <v>237</v>
      </c>
      <c r="AT314" s="151" t="s">
        <v>180</v>
      </c>
      <c r="AU314" s="151" t="s">
        <v>87</v>
      </c>
      <c r="AY314" s="19" t="s">
        <v>177</v>
      </c>
      <c r="BE314" s="152">
        <f>IF(N314="základní",J314,0)</f>
        <v>0</v>
      </c>
      <c r="BF314" s="152">
        <f>IF(N314="snížená",J314,0)</f>
        <v>0</v>
      </c>
      <c r="BG314" s="152">
        <f>IF(N314="zákl. přenesená",J314,0)</f>
        <v>0</v>
      </c>
      <c r="BH314" s="152">
        <f>IF(N314="sníž. přenesená",J314,0)</f>
        <v>0</v>
      </c>
      <c r="BI314" s="152">
        <f>IF(N314="nulová",J314,0)</f>
        <v>0</v>
      </c>
      <c r="BJ314" s="19" t="s">
        <v>85</v>
      </c>
      <c r="BK314" s="152">
        <f>ROUND(I314*H314,2)</f>
        <v>0</v>
      </c>
      <c r="BL314" s="19" t="s">
        <v>237</v>
      </c>
      <c r="BM314" s="151" t="s">
        <v>3339</v>
      </c>
    </row>
    <row r="315" spans="1:65" s="2" customFormat="1" ht="19.5">
      <c r="A315" s="34"/>
      <c r="B315" s="35"/>
      <c r="C315" s="34"/>
      <c r="D315" s="153" t="s">
        <v>187</v>
      </c>
      <c r="E315" s="34"/>
      <c r="F315" s="154" t="s">
        <v>2305</v>
      </c>
      <c r="G315" s="34"/>
      <c r="H315" s="34"/>
      <c r="I315" s="155"/>
      <c r="J315" s="34"/>
      <c r="K315" s="34"/>
      <c r="L315" s="35"/>
      <c r="M315" s="156"/>
      <c r="N315" s="157"/>
      <c r="O315" s="55"/>
      <c r="P315" s="55"/>
      <c r="Q315" s="55"/>
      <c r="R315" s="55"/>
      <c r="S315" s="55"/>
      <c r="T315" s="56"/>
      <c r="U315" s="34"/>
      <c r="V315" s="34"/>
      <c r="W315" s="34"/>
      <c r="X315" s="34"/>
      <c r="Y315" s="34"/>
      <c r="Z315" s="34"/>
      <c r="AA315" s="34"/>
      <c r="AB315" s="34"/>
      <c r="AC315" s="34"/>
      <c r="AD315" s="34"/>
      <c r="AE315" s="34"/>
      <c r="AT315" s="19" t="s">
        <v>187</v>
      </c>
      <c r="AU315" s="19" t="s">
        <v>87</v>
      </c>
    </row>
    <row r="316" spans="1:65" s="2" customFormat="1">
      <c r="A316" s="34"/>
      <c r="B316" s="35"/>
      <c r="C316" s="34"/>
      <c r="D316" s="158" t="s">
        <v>189</v>
      </c>
      <c r="E316" s="34"/>
      <c r="F316" s="159" t="s">
        <v>2306</v>
      </c>
      <c r="G316" s="34"/>
      <c r="H316" s="34"/>
      <c r="I316" s="155"/>
      <c r="J316" s="34"/>
      <c r="K316" s="34"/>
      <c r="L316" s="35"/>
      <c r="M316" s="156"/>
      <c r="N316" s="157"/>
      <c r="O316" s="55"/>
      <c r="P316" s="55"/>
      <c r="Q316" s="55"/>
      <c r="R316" s="55"/>
      <c r="S316" s="55"/>
      <c r="T316" s="56"/>
      <c r="U316" s="34"/>
      <c r="V316" s="34"/>
      <c r="W316" s="34"/>
      <c r="X316" s="34"/>
      <c r="Y316" s="34"/>
      <c r="Z316" s="34"/>
      <c r="AA316" s="34"/>
      <c r="AB316" s="34"/>
      <c r="AC316" s="34"/>
      <c r="AD316" s="34"/>
      <c r="AE316" s="34"/>
      <c r="AT316" s="19" t="s">
        <v>189</v>
      </c>
      <c r="AU316" s="19" t="s">
        <v>87</v>
      </c>
    </row>
    <row r="317" spans="1:65" s="2" customFormat="1" ht="78">
      <c r="A317" s="34"/>
      <c r="B317" s="35"/>
      <c r="C317" s="34"/>
      <c r="D317" s="153" t="s">
        <v>191</v>
      </c>
      <c r="E317" s="34"/>
      <c r="F317" s="160" t="s">
        <v>2301</v>
      </c>
      <c r="G317" s="34"/>
      <c r="H317" s="34"/>
      <c r="I317" s="155"/>
      <c r="J317" s="34"/>
      <c r="K317" s="34"/>
      <c r="L317" s="35"/>
      <c r="M317" s="156"/>
      <c r="N317" s="157"/>
      <c r="O317" s="55"/>
      <c r="P317" s="55"/>
      <c r="Q317" s="55"/>
      <c r="R317" s="55"/>
      <c r="S317" s="55"/>
      <c r="T317" s="56"/>
      <c r="U317" s="34"/>
      <c r="V317" s="34"/>
      <c r="W317" s="34"/>
      <c r="X317" s="34"/>
      <c r="Y317" s="34"/>
      <c r="Z317" s="34"/>
      <c r="AA317" s="34"/>
      <c r="AB317" s="34"/>
      <c r="AC317" s="34"/>
      <c r="AD317" s="34"/>
      <c r="AE317" s="34"/>
      <c r="AT317" s="19" t="s">
        <v>191</v>
      </c>
      <c r="AU317" s="19" t="s">
        <v>87</v>
      </c>
    </row>
    <row r="318" spans="1:65" s="12" customFormat="1" ht="22.9" customHeight="1">
      <c r="B318" s="126"/>
      <c r="D318" s="127" t="s">
        <v>76</v>
      </c>
      <c r="E318" s="137" t="s">
        <v>1324</v>
      </c>
      <c r="F318" s="137" t="s">
        <v>1325</v>
      </c>
      <c r="I318" s="129"/>
      <c r="J318" s="138">
        <f>BK318</f>
        <v>0</v>
      </c>
      <c r="L318" s="126"/>
      <c r="M318" s="131"/>
      <c r="N318" s="132"/>
      <c r="O318" s="132"/>
      <c r="P318" s="133">
        <f>SUM(P319:P353)</f>
        <v>0</v>
      </c>
      <c r="Q318" s="132"/>
      <c r="R318" s="133">
        <f>SUM(R319:R353)</f>
        <v>0.61017100000000002</v>
      </c>
      <c r="S318" s="132"/>
      <c r="T318" s="134">
        <f>SUM(T319:T353)</f>
        <v>0</v>
      </c>
      <c r="AR318" s="127" t="s">
        <v>87</v>
      </c>
      <c r="AT318" s="135" t="s">
        <v>76</v>
      </c>
      <c r="AU318" s="135" t="s">
        <v>85</v>
      </c>
      <c r="AY318" s="127" t="s">
        <v>177</v>
      </c>
      <c r="BK318" s="136">
        <f>SUM(BK319:BK353)</f>
        <v>0</v>
      </c>
    </row>
    <row r="319" spans="1:65" s="2" customFormat="1" ht="16.5" customHeight="1">
      <c r="A319" s="34"/>
      <c r="B319" s="139"/>
      <c r="C319" s="140" t="s">
        <v>1169</v>
      </c>
      <c r="D319" s="140" t="s">
        <v>180</v>
      </c>
      <c r="E319" s="141" t="s">
        <v>2941</v>
      </c>
      <c r="F319" s="142" t="s">
        <v>2942</v>
      </c>
      <c r="G319" s="143" t="s">
        <v>476</v>
      </c>
      <c r="H319" s="144">
        <v>17.425999999999998</v>
      </c>
      <c r="I319" s="145"/>
      <c r="J319" s="146">
        <f>ROUND(I319*H319,2)</f>
        <v>0</v>
      </c>
      <c r="K319" s="142" t="s">
        <v>184</v>
      </c>
      <c r="L319" s="35"/>
      <c r="M319" s="147" t="s">
        <v>3</v>
      </c>
      <c r="N319" s="148" t="s">
        <v>48</v>
      </c>
      <c r="O319" s="55"/>
      <c r="P319" s="149">
        <f>O319*H319</f>
        <v>0</v>
      </c>
      <c r="Q319" s="149">
        <v>0</v>
      </c>
      <c r="R319" s="149">
        <f>Q319*H319</f>
        <v>0</v>
      </c>
      <c r="S319" s="149">
        <v>0</v>
      </c>
      <c r="T319" s="150">
        <f>S319*H319</f>
        <v>0</v>
      </c>
      <c r="U319" s="34"/>
      <c r="V319" s="34"/>
      <c r="W319" s="34"/>
      <c r="X319" s="34"/>
      <c r="Y319" s="34"/>
      <c r="Z319" s="34"/>
      <c r="AA319" s="34"/>
      <c r="AB319" s="34"/>
      <c r="AC319" s="34"/>
      <c r="AD319" s="34"/>
      <c r="AE319" s="34"/>
      <c r="AR319" s="151" t="s">
        <v>237</v>
      </c>
      <c r="AT319" s="151" t="s">
        <v>180</v>
      </c>
      <c r="AU319" s="151" t="s">
        <v>87</v>
      </c>
      <c r="AY319" s="19" t="s">
        <v>177</v>
      </c>
      <c r="BE319" s="152">
        <f>IF(N319="základní",J319,0)</f>
        <v>0</v>
      </c>
      <c r="BF319" s="152">
        <f>IF(N319="snížená",J319,0)</f>
        <v>0</v>
      </c>
      <c r="BG319" s="152">
        <f>IF(N319="zákl. přenesená",J319,0)</f>
        <v>0</v>
      </c>
      <c r="BH319" s="152">
        <f>IF(N319="sníž. přenesená",J319,0)</f>
        <v>0</v>
      </c>
      <c r="BI319" s="152">
        <f>IF(N319="nulová",J319,0)</f>
        <v>0</v>
      </c>
      <c r="BJ319" s="19" t="s">
        <v>85</v>
      </c>
      <c r="BK319" s="152">
        <f>ROUND(I319*H319,2)</f>
        <v>0</v>
      </c>
      <c r="BL319" s="19" t="s">
        <v>237</v>
      </c>
      <c r="BM319" s="151" t="s">
        <v>3340</v>
      </c>
    </row>
    <row r="320" spans="1:65" s="2" customFormat="1">
      <c r="A320" s="34"/>
      <c r="B320" s="35"/>
      <c r="C320" s="34"/>
      <c r="D320" s="153" t="s">
        <v>187</v>
      </c>
      <c r="E320" s="34"/>
      <c r="F320" s="154" t="s">
        <v>2944</v>
      </c>
      <c r="G320" s="34"/>
      <c r="H320" s="34"/>
      <c r="I320" s="155"/>
      <c r="J320" s="34"/>
      <c r="K320" s="34"/>
      <c r="L320" s="35"/>
      <c r="M320" s="156"/>
      <c r="N320" s="157"/>
      <c r="O320" s="55"/>
      <c r="P320" s="55"/>
      <c r="Q320" s="55"/>
      <c r="R320" s="55"/>
      <c r="S320" s="55"/>
      <c r="T320" s="56"/>
      <c r="U320" s="34"/>
      <c r="V320" s="34"/>
      <c r="W320" s="34"/>
      <c r="X320" s="34"/>
      <c r="Y320" s="34"/>
      <c r="Z320" s="34"/>
      <c r="AA320" s="34"/>
      <c r="AB320" s="34"/>
      <c r="AC320" s="34"/>
      <c r="AD320" s="34"/>
      <c r="AE320" s="34"/>
      <c r="AT320" s="19" t="s">
        <v>187</v>
      </c>
      <c r="AU320" s="19" t="s">
        <v>87</v>
      </c>
    </row>
    <row r="321" spans="1:65" s="2" customFormat="1">
      <c r="A321" s="34"/>
      <c r="B321" s="35"/>
      <c r="C321" s="34"/>
      <c r="D321" s="158" t="s">
        <v>189</v>
      </c>
      <c r="E321" s="34"/>
      <c r="F321" s="159" t="s">
        <v>2945</v>
      </c>
      <c r="G321" s="34"/>
      <c r="H321" s="34"/>
      <c r="I321" s="155"/>
      <c r="J321" s="34"/>
      <c r="K321" s="34"/>
      <c r="L321" s="35"/>
      <c r="M321" s="156"/>
      <c r="N321" s="157"/>
      <c r="O321" s="55"/>
      <c r="P321" s="55"/>
      <c r="Q321" s="55"/>
      <c r="R321" s="55"/>
      <c r="S321" s="55"/>
      <c r="T321" s="56"/>
      <c r="U321" s="34"/>
      <c r="V321" s="34"/>
      <c r="W321" s="34"/>
      <c r="X321" s="34"/>
      <c r="Y321" s="34"/>
      <c r="Z321" s="34"/>
      <c r="AA321" s="34"/>
      <c r="AB321" s="34"/>
      <c r="AC321" s="34"/>
      <c r="AD321" s="34"/>
      <c r="AE321" s="34"/>
      <c r="AT321" s="19" t="s">
        <v>189</v>
      </c>
      <c r="AU321" s="19" t="s">
        <v>87</v>
      </c>
    </row>
    <row r="322" spans="1:65" s="2" customFormat="1" ht="87.75">
      <c r="A322" s="34"/>
      <c r="B322" s="35"/>
      <c r="C322" s="34"/>
      <c r="D322" s="153" t="s">
        <v>191</v>
      </c>
      <c r="E322" s="34"/>
      <c r="F322" s="160" t="s">
        <v>2946</v>
      </c>
      <c r="G322" s="34"/>
      <c r="H322" s="34"/>
      <c r="I322" s="155"/>
      <c r="J322" s="34"/>
      <c r="K322" s="34"/>
      <c r="L322" s="35"/>
      <c r="M322" s="156"/>
      <c r="N322" s="157"/>
      <c r="O322" s="55"/>
      <c r="P322" s="55"/>
      <c r="Q322" s="55"/>
      <c r="R322" s="55"/>
      <c r="S322" s="55"/>
      <c r="T322" s="56"/>
      <c r="U322" s="34"/>
      <c r="V322" s="34"/>
      <c r="W322" s="34"/>
      <c r="X322" s="34"/>
      <c r="Y322" s="34"/>
      <c r="Z322" s="34"/>
      <c r="AA322" s="34"/>
      <c r="AB322" s="34"/>
      <c r="AC322" s="34"/>
      <c r="AD322" s="34"/>
      <c r="AE322" s="34"/>
      <c r="AT322" s="19" t="s">
        <v>191</v>
      </c>
      <c r="AU322" s="19" t="s">
        <v>87</v>
      </c>
    </row>
    <row r="323" spans="1:65" s="14" customFormat="1">
      <c r="B323" s="169"/>
      <c r="D323" s="153" t="s">
        <v>193</v>
      </c>
      <c r="E323" s="170" t="s">
        <v>3</v>
      </c>
      <c r="F323" s="171" t="s">
        <v>3341</v>
      </c>
      <c r="H323" s="170" t="s">
        <v>3</v>
      </c>
      <c r="I323" s="172"/>
      <c r="L323" s="169"/>
      <c r="M323" s="173"/>
      <c r="N323" s="174"/>
      <c r="O323" s="174"/>
      <c r="P323" s="174"/>
      <c r="Q323" s="174"/>
      <c r="R323" s="174"/>
      <c r="S323" s="174"/>
      <c r="T323" s="175"/>
      <c r="AT323" s="170" t="s">
        <v>193</v>
      </c>
      <c r="AU323" s="170" t="s">
        <v>87</v>
      </c>
      <c r="AV323" s="14" t="s">
        <v>85</v>
      </c>
      <c r="AW323" s="14" t="s">
        <v>36</v>
      </c>
      <c r="AX323" s="14" t="s">
        <v>77</v>
      </c>
      <c r="AY323" s="170" t="s">
        <v>177</v>
      </c>
    </row>
    <row r="324" spans="1:65" s="13" customFormat="1">
      <c r="B324" s="161"/>
      <c r="D324" s="153" t="s">
        <v>193</v>
      </c>
      <c r="E324" s="162" t="s">
        <v>3</v>
      </c>
      <c r="F324" s="163" t="s">
        <v>3342</v>
      </c>
      <c r="H324" s="164">
        <v>8.2260000000000009</v>
      </c>
      <c r="I324" s="165"/>
      <c r="L324" s="161"/>
      <c r="M324" s="166"/>
      <c r="N324" s="167"/>
      <c r="O324" s="167"/>
      <c r="P324" s="167"/>
      <c r="Q324" s="167"/>
      <c r="R324" s="167"/>
      <c r="S324" s="167"/>
      <c r="T324" s="168"/>
      <c r="AT324" s="162" t="s">
        <v>193</v>
      </c>
      <c r="AU324" s="162" t="s">
        <v>87</v>
      </c>
      <c r="AV324" s="13" t="s">
        <v>87</v>
      </c>
      <c r="AW324" s="13" t="s">
        <v>36</v>
      </c>
      <c r="AX324" s="13" t="s">
        <v>77</v>
      </c>
      <c r="AY324" s="162" t="s">
        <v>177</v>
      </c>
    </row>
    <row r="325" spans="1:65" s="14" customFormat="1">
      <c r="B325" s="169"/>
      <c r="D325" s="153" t="s">
        <v>193</v>
      </c>
      <c r="E325" s="170" t="s">
        <v>3</v>
      </c>
      <c r="F325" s="171" t="s">
        <v>3343</v>
      </c>
      <c r="H325" s="170" t="s">
        <v>3</v>
      </c>
      <c r="I325" s="172"/>
      <c r="L325" s="169"/>
      <c r="M325" s="173"/>
      <c r="N325" s="174"/>
      <c r="O325" s="174"/>
      <c r="P325" s="174"/>
      <c r="Q325" s="174"/>
      <c r="R325" s="174"/>
      <c r="S325" s="174"/>
      <c r="T325" s="175"/>
      <c r="AT325" s="170" t="s">
        <v>193</v>
      </c>
      <c r="AU325" s="170" t="s">
        <v>87</v>
      </c>
      <c r="AV325" s="14" t="s">
        <v>85</v>
      </c>
      <c r="AW325" s="14" t="s">
        <v>36</v>
      </c>
      <c r="AX325" s="14" t="s">
        <v>77</v>
      </c>
      <c r="AY325" s="170" t="s">
        <v>177</v>
      </c>
    </row>
    <row r="326" spans="1:65" s="13" customFormat="1">
      <c r="B326" s="161"/>
      <c r="D326" s="153" t="s">
        <v>193</v>
      </c>
      <c r="E326" s="162" t="s">
        <v>3</v>
      </c>
      <c r="F326" s="163" t="s">
        <v>3344</v>
      </c>
      <c r="H326" s="164">
        <v>9.1999999999999993</v>
      </c>
      <c r="I326" s="165"/>
      <c r="L326" s="161"/>
      <c r="M326" s="166"/>
      <c r="N326" s="167"/>
      <c r="O326" s="167"/>
      <c r="P326" s="167"/>
      <c r="Q326" s="167"/>
      <c r="R326" s="167"/>
      <c r="S326" s="167"/>
      <c r="T326" s="168"/>
      <c r="AT326" s="162" t="s">
        <v>193</v>
      </c>
      <c r="AU326" s="162" t="s">
        <v>87</v>
      </c>
      <c r="AV326" s="13" t="s">
        <v>87</v>
      </c>
      <c r="AW326" s="13" t="s">
        <v>36</v>
      </c>
      <c r="AX326" s="13" t="s">
        <v>77</v>
      </c>
      <c r="AY326" s="162" t="s">
        <v>177</v>
      </c>
    </row>
    <row r="327" spans="1:65" s="16" customFormat="1">
      <c r="B327" s="184"/>
      <c r="D327" s="153" t="s">
        <v>193</v>
      </c>
      <c r="E327" s="185" t="s">
        <v>3</v>
      </c>
      <c r="F327" s="186" t="s">
        <v>201</v>
      </c>
      <c r="H327" s="187">
        <v>17.426000000000002</v>
      </c>
      <c r="I327" s="188"/>
      <c r="L327" s="184"/>
      <c r="M327" s="189"/>
      <c r="N327" s="190"/>
      <c r="O327" s="190"/>
      <c r="P327" s="190"/>
      <c r="Q327" s="190"/>
      <c r="R327" s="190"/>
      <c r="S327" s="190"/>
      <c r="T327" s="191"/>
      <c r="AT327" s="185" t="s">
        <v>193</v>
      </c>
      <c r="AU327" s="185" t="s">
        <v>87</v>
      </c>
      <c r="AV327" s="16" t="s">
        <v>185</v>
      </c>
      <c r="AW327" s="16" t="s">
        <v>36</v>
      </c>
      <c r="AX327" s="16" t="s">
        <v>85</v>
      </c>
      <c r="AY327" s="185" t="s">
        <v>177</v>
      </c>
    </row>
    <row r="328" spans="1:65" s="2" customFormat="1" ht="16.5" customHeight="1">
      <c r="A328" s="34"/>
      <c r="B328" s="139"/>
      <c r="C328" s="195" t="s">
        <v>1175</v>
      </c>
      <c r="D328" s="195" t="s">
        <v>484</v>
      </c>
      <c r="E328" s="196" t="s">
        <v>3345</v>
      </c>
      <c r="F328" s="197" t="s">
        <v>3346</v>
      </c>
      <c r="G328" s="198" t="s">
        <v>1630</v>
      </c>
      <c r="H328" s="199">
        <v>150.17099999999999</v>
      </c>
      <c r="I328" s="200"/>
      <c r="J328" s="201">
        <f>ROUND(I328*H328,2)</f>
        <v>0</v>
      </c>
      <c r="K328" s="197" t="s">
        <v>244</v>
      </c>
      <c r="L328" s="202"/>
      <c r="M328" s="203" t="s">
        <v>3</v>
      </c>
      <c r="N328" s="204" t="s">
        <v>48</v>
      </c>
      <c r="O328" s="55"/>
      <c r="P328" s="149">
        <f>O328*H328</f>
        <v>0</v>
      </c>
      <c r="Q328" s="149">
        <v>1E-3</v>
      </c>
      <c r="R328" s="149">
        <f>Q328*H328</f>
        <v>0.150171</v>
      </c>
      <c r="S328" s="149">
        <v>0</v>
      </c>
      <c r="T328" s="150">
        <f>S328*H328</f>
        <v>0</v>
      </c>
      <c r="U328" s="34"/>
      <c r="V328" s="34"/>
      <c r="W328" s="34"/>
      <c r="X328" s="34"/>
      <c r="Y328" s="34"/>
      <c r="Z328" s="34"/>
      <c r="AA328" s="34"/>
      <c r="AB328" s="34"/>
      <c r="AC328" s="34"/>
      <c r="AD328" s="34"/>
      <c r="AE328" s="34"/>
      <c r="AR328" s="151" t="s">
        <v>537</v>
      </c>
      <c r="AT328" s="151" t="s">
        <v>484</v>
      </c>
      <c r="AU328" s="151" t="s">
        <v>87</v>
      </c>
      <c r="AY328" s="19" t="s">
        <v>177</v>
      </c>
      <c r="BE328" s="152">
        <f>IF(N328="základní",J328,0)</f>
        <v>0</v>
      </c>
      <c r="BF328" s="152">
        <f>IF(N328="snížená",J328,0)</f>
        <v>0</v>
      </c>
      <c r="BG328" s="152">
        <f>IF(N328="zákl. přenesená",J328,0)</f>
        <v>0</v>
      </c>
      <c r="BH328" s="152">
        <f>IF(N328="sníž. přenesená",J328,0)</f>
        <v>0</v>
      </c>
      <c r="BI328" s="152">
        <f>IF(N328="nulová",J328,0)</f>
        <v>0</v>
      </c>
      <c r="BJ328" s="19" t="s">
        <v>85</v>
      </c>
      <c r="BK328" s="152">
        <f>ROUND(I328*H328,2)</f>
        <v>0</v>
      </c>
      <c r="BL328" s="19" t="s">
        <v>237</v>
      </c>
      <c r="BM328" s="151" t="s">
        <v>3347</v>
      </c>
    </row>
    <row r="329" spans="1:65" s="2" customFormat="1">
      <c r="A329" s="34"/>
      <c r="B329" s="35"/>
      <c r="C329" s="34"/>
      <c r="D329" s="153" t="s">
        <v>187</v>
      </c>
      <c r="E329" s="34"/>
      <c r="F329" s="154" t="s">
        <v>3346</v>
      </c>
      <c r="G329" s="34"/>
      <c r="H329" s="34"/>
      <c r="I329" s="155"/>
      <c r="J329" s="34"/>
      <c r="K329" s="34"/>
      <c r="L329" s="35"/>
      <c r="M329" s="156"/>
      <c r="N329" s="157"/>
      <c r="O329" s="55"/>
      <c r="P329" s="55"/>
      <c r="Q329" s="55"/>
      <c r="R329" s="55"/>
      <c r="S329" s="55"/>
      <c r="T329" s="56"/>
      <c r="U329" s="34"/>
      <c r="V329" s="34"/>
      <c r="W329" s="34"/>
      <c r="X329" s="34"/>
      <c r="Y329" s="34"/>
      <c r="Z329" s="34"/>
      <c r="AA329" s="34"/>
      <c r="AB329" s="34"/>
      <c r="AC329" s="34"/>
      <c r="AD329" s="34"/>
      <c r="AE329" s="34"/>
      <c r="AT329" s="19" t="s">
        <v>187</v>
      </c>
      <c r="AU329" s="19" t="s">
        <v>87</v>
      </c>
    </row>
    <row r="330" spans="1:65" s="14" customFormat="1">
      <c r="B330" s="169"/>
      <c r="D330" s="153" t="s">
        <v>193</v>
      </c>
      <c r="E330" s="170" t="s">
        <v>3</v>
      </c>
      <c r="F330" s="171" t="s">
        <v>2953</v>
      </c>
      <c r="H330" s="170" t="s">
        <v>3</v>
      </c>
      <c r="I330" s="172"/>
      <c r="L330" s="169"/>
      <c r="M330" s="173"/>
      <c r="N330" s="174"/>
      <c r="O330" s="174"/>
      <c r="P330" s="174"/>
      <c r="Q330" s="174"/>
      <c r="R330" s="174"/>
      <c r="S330" s="174"/>
      <c r="T330" s="175"/>
      <c r="AT330" s="170" t="s">
        <v>193</v>
      </c>
      <c r="AU330" s="170" t="s">
        <v>87</v>
      </c>
      <c r="AV330" s="14" t="s">
        <v>85</v>
      </c>
      <c r="AW330" s="14" t="s">
        <v>36</v>
      </c>
      <c r="AX330" s="14" t="s">
        <v>77</v>
      </c>
      <c r="AY330" s="170" t="s">
        <v>177</v>
      </c>
    </row>
    <row r="331" spans="1:65" s="13" customFormat="1">
      <c r="B331" s="161"/>
      <c r="D331" s="153" t="s">
        <v>193</v>
      </c>
      <c r="E331" s="162" t="s">
        <v>3</v>
      </c>
      <c r="F331" s="163" t="s">
        <v>3348</v>
      </c>
      <c r="H331" s="164">
        <v>36.857999999999997</v>
      </c>
      <c r="I331" s="165"/>
      <c r="L331" s="161"/>
      <c r="M331" s="166"/>
      <c r="N331" s="167"/>
      <c r="O331" s="167"/>
      <c r="P331" s="167"/>
      <c r="Q331" s="167"/>
      <c r="R331" s="167"/>
      <c r="S331" s="167"/>
      <c r="T331" s="168"/>
      <c r="AT331" s="162" t="s">
        <v>193</v>
      </c>
      <c r="AU331" s="162" t="s">
        <v>87</v>
      </c>
      <c r="AV331" s="13" t="s">
        <v>87</v>
      </c>
      <c r="AW331" s="13" t="s">
        <v>36</v>
      </c>
      <c r="AX331" s="13" t="s">
        <v>77</v>
      </c>
      <c r="AY331" s="162" t="s">
        <v>177</v>
      </c>
    </row>
    <row r="332" spans="1:65" s="14" customFormat="1">
      <c r="B332" s="169"/>
      <c r="D332" s="153" t="s">
        <v>193</v>
      </c>
      <c r="E332" s="170" t="s">
        <v>3</v>
      </c>
      <c r="F332" s="171" t="s">
        <v>2955</v>
      </c>
      <c r="H332" s="170" t="s">
        <v>3</v>
      </c>
      <c r="I332" s="172"/>
      <c r="L332" s="169"/>
      <c r="M332" s="173"/>
      <c r="N332" s="174"/>
      <c r="O332" s="174"/>
      <c r="P332" s="174"/>
      <c r="Q332" s="174"/>
      <c r="R332" s="174"/>
      <c r="S332" s="174"/>
      <c r="T332" s="175"/>
      <c r="AT332" s="170" t="s">
        <v>193</v>
      </c>
      <c r="AU332" s="170" t="s">
        <v>87</v>
      </c>
      <c r="AV332" s="14" t="s">
        <v>85</v>
      </c>
      <c r="AW332" s="14" t="s">
        <v>36</v>
      </c>
      <c r="AX332" s="14" t="s">
        <v>77</v>
      </c>
      <c r="AY332" s="170" t="s">
        <v>177</v>
      </c>
    </row>
    <row r="333" spans="1:65" s="13" customFormat="1">
      <c r="B333" s="161"/>
      <c r="D333" s="153" t="s">
        <v>193</v>
      </c>
      <c r="E333" s="162" t="s">
        <v>3</v>
      </c>
      <c r="F333" s="163" t="s">
        <v>3349</v>
      </c>
      <c r="H333" s="164">
        <v>47.661000000000001</v>
      </c>
      <c r="I333" s="165"/>
      <c r="L333" s="161"/>
      <c r="M333" s="166"/>
      <c r="N333" s="167"/>
      <c r="O333" s="167"/>
      <c r="P333" s="167"/>
      <c r="Q333" s="167"/>
      <c r="R333" s="167"/>
      <c r="S333" s="167"/>
      <c r="T333" s="168"/>
      <c r="AT333" s="162" t="s">
        <v>193</v>
      </c>
      <c r="AU333" s="162" t="s">
        <v>87</v>
      </c>
      <c r="AV333" s="13" t="s">
        <v>87</v>
      </c>
      <c r="AW333" s="13" t="s">
        <v>36</v>
      </c>
      <c r="AX333" s="13" t="s">
        <v>77</v>
      </c>
      <c r="AY333" s="162" t="s">
        <v>177</v>
      </c>
    </row>
    <row r="334" spans="1:65" s="14" customFormat="1">
      <c r="B334" s="169"/>
      <c r="D334" s="153" t="s">
        <v>193</v>
      </c>
      <c r="E334" s="170" t="s">
        <v>3</v>
      </c>
      <c r="F334" s="171" t="s">
        <v>2957</v>
      </c>
      <c r="H334" s="170" t="s">
        <v>3</v>
      </c>
      <c r="I334" s="172"/>
      <c r="L334" s="169"/>
      <c r="M334" s="173"/>
      <c r="N334" s="174"/>
      <c r="O334" s="174"/>
      <c r="P334" s="174"/>
      <c r="Q334" s="174"/>
      <c r="R334" s="174"/>
      <c r="S334" s="174"/>
      <c r="T334" s="175"/>
      <c r="AT334" s="170" t="s">
        <v>193</v>
      </c>
      <c r="AU334" s="170" t="s">
        <v>87</v>
      </c>
      <c r="AV334" s="14" t="s">
        <v>85</v>
      </c>
      <c r="AW334" s="14" t="s">
        <v>36</v>
      </c>
      <c r="AX334" s="14" t="s">
        <v>77</v>
      </c>
      <c r="AY334" s="170" t="s">
        <v>177</v>
      </c>
    </row>
    <row r="335" spans="1:65" s="13" customFormat="1">
      <c r="B335" s="161"/>
      <c r="D335" s="153" t="s">
        <v>193</v>
      </c>
      <c r="E335" s="162" t="s">
        <v>3</v>
      </c>
      <c r="F335" s="163" t="s">
        <v>3350</v>
      </c>
      <c r="H335" s="164">
        <v>16.997</v>
      </c>
      <c r="I335" s="165"/>
      <c r="L335" s="161"/>
      <c r="M335" s="166"/>
      <c r="N335" s="167"/>
      <c r="O335" s="167"/>
      <c r="P335" s="167"/>
      <c r="Q335" s="167"/>
      <c r="R335" s="167"/>
      <c r="S335" s="167"/>
      <c r="T335" s="168"/>
      <c r="AT335" s="162" t="s">
        <v>193</v>
      </c>
      <c r="AU335" s="162" t="s">
        <v>87</v>
      </c>
      <c r="AV335" s="13" t="s">
        <v>87</v>
      </c>
      <c r="AW335" s="13" t="s">
        <v>36</v>
      </c>
      <c r="AX335" s="13" t="s">
        <v>77</v>
      </c>
      <c r="AY335" s="162" t="s">
        <v>177</v>
      </c>
    </row>
    <row r="336" spans="1:65" s="14" customFormat="1">
      <c r="B336" s="169"/>
      <c r="D336" s="153" t="s">
        <v>193</v>
      </c>
      <c r="E336" s="170" t="s">
        <v>3</v>
      </c>
      <c r="F336" s="171" t="s">
        <v>2959</v>
      </c>
      <c r="H336" s="170" t="s">
        <v>3</v>
      </c>
      <c r="I336" s="172"/>
      <c r="L336" s="169"/>
      <c r="M336" s="173"/>
      <c r="N336" s="174"/>
      <c r="O336" s="174"/>
      <c r="P336" s="174"/>
      <c r="Q336" s="174"/>
      <c r="R336" s="174"/>
      <c r="S336" s="174"/>
      <c r="T336" s="175"/>
      <c r="AT336" s="170" t="s">
        <v>193</v>
      </c>
      <c r="AU336" s="170" t="s">
        <v>87</v>
      </c>
      <c r="AV336" s="14" t="s">
        <v>85</v>
      </c>
      <c r="AW336" s="14" t="s">
        <v>36</v>
      </c>
      <c r="AX336" s="14" t="s">
        <v>77</v>
      </c>
      <c r="AY336" s="170" t="s">
        <v>177</v>
      </c>
    </row>
    <row r="337" spans="1:65" s="13" customFormat="1">
      <c r="B337" s="161"/>
      <c r="D337" s="153" t="s">
        <v>193</v>
      </c>
      <c r="E337" s="162" t="s">
        <v>3</v>
      </c>
      <c r="F337" s="163" t="s">
        <v>3351</v>
      </c>
      <c r="H337" s="164">
        <v>35.005000000000003</v>
      </c>
      <c r="I337" s="165"/>
      <c r="L337" s="161"/>
      <c r="M337" s="166"/>
      <c r="N337" s="167"/>
      <c r="O337" s="167"/>
      <c r="P337" s="167"/>
      <c r="Q337" s="167"/>
      <c r="R337" s="167"/>
      <c r="S337" s="167"/>
      <c r="T337" s="168"/>
      <c r="AT337" s="162" t="s">
        <v>193</v>
      </c>
      <c r="AU337" s="162" t="s">
        <v>87</v>
      </c>
      <c r="AV337" s="13" t="s">
        <v>87</v>
      </c>
      <c r="AW337" s="13" t="s">
        <v>36</v>
      </c>
      <c r="AX337" s="13" t="s">
        <v>77</v>
      </c>
      <c r="AY337" s="162" t="s">
        <v>177</v>
      </c>
    </row>
    <row r="338" spans="1:65" s="15" customFormat="1">
      <c r="B338" s="176"/>
      <c r="D338" s="153" t="s">
        <v>193</v>
      </c>
      <c r="E338" s="177" t="s">
        <v>3</v>
      </c>
      <c r="F338" s="178" t="s">
        <v>197</v>
      </c>
      <c r="H338" s="179">
        <v>136.52100000000002</v>
      </c>
      <c r="I338" s="180"/>
      <c r="L338" s="176"/>
      <c r="M338" s="181"/>
      <c r="N338" s="182"/>
      <c r="O338" s="182"/>
      <c r="P338" s="182"/>
      <c r="Q338" s="182"/>
      <c r="R338" s="182"/>
      <c r="S338" s="182"/>
      <c r="T338" s="183"/>
      <c r="AT338" s="177" t="s">
        <v>193</v>
      </c>
      <c r="AU338" s="177" t="s">
        <v>87</v>
      </c>
      <c r="AV338" s="15" t="s">
        <v>198</v>
      </c>
      <c r="AW338" s="15" t="s">
        <v>36</v>
      </c>
      <c r="AX338" s="15" t="s">
        <v>77</v>
      </c>
      <c r="AY338" s="177" t="s">
        <v>177</v>
      </c>
    </row>
    <row r="339" spans="1:65" s="14" customFormat="1">
      <c r="B339" s="169"/>
      <c r="D339" s="153" t="s">
        <v>193</v>
      </c>
      <c r="E339" s="170" t="s">
        <v>3</v>
      </c>
      <c r="F339" s="171" t="s">
        <v>3352</v>
      </c>
      <c r="H339" s="170" t="s">
        <v>3</v>
      </c>
      <c r="I339" s="172"/>
      <c r="L339" s="169"/>
      <c r="M339" s="173"/>
      <c r="N339" s="174"/>
      <c r="O339" s="174"/>
      <c r="P339" s="174"/>
      <c r="Q339" s="174"/>
      <c r="R339" s="174"/>
      <c r="S339" s="174"/>
      <c r="T339" s="175"/>
      <c r="AT339" s="170" t="s">
        <v>193</v>
      </c>
      <c r="AU339" s="170" t="s">
        <v>87</v>
      </c>
      <c r="AV339" s="14" t="s">
        <v>85</v>
      </c>
      <c r="AW339" s="14" t="s">
        <v>36</v>
      </c>
      <c r="AX339" s="14" t="s">
        <v>77</v>
      </c>
      <c r="AY339" s="170" t="s">
        <v>177</v>
      </c>
    </row>
    <row r="340" spans="1:65" s="13" customFormat="1">
      <c r="B340" s="161"/>
      <c r="D340" s="153" t="s">
        <v>193</v>
      </c>
      <c r="E340" s="162" t="s">
        <v>3</v>
      </c>
      <c r="F340" s="163" t="s">
        <v>3353</v>
      </c>
      <c r="H340" s="164">
        <v>13.65</v>
      </c>
      <c r="I340" s="165"/>
      <c r="L340" s="161"/>
      <c r="M340" s="166"/>
      <c r="N340" s="167"/>
      <c r="O340" s="167"/>
      <c r="P340" s="167"/>
      <c r="Q340" s="167"/>
      <c r="R340" s="167"/>
      <c r="S340" s="167"/>
      <c r="T340" s="168"/>
      <c r="AT340" s="162" t="s">
        <v>193</v>
      </c>
      <c r="AU340" s="162" t="s">
        <v>87</v>
      </c>
      <c r="AV340" s="13" t="s">
        <v>87</v>
      </c>
      <c r="AW340" s="13" t="s">
        <v>36</v>
      </c>
      <c r="AX340" s="13" t="s">
        <v>77</v>
      </c>
      <c r="AY340" s="162" t="s">
        <v>177</v>
      </c>
    </row>
    <row r="341" spans="1:65" s="16" customFormat="1">
      <c r="B341" s="184"/>
      <c r="D341" s="153" t="s">
        <v>193</v>
      </c>
      <c r="E341" s="185" t="s">
        <v>3</v>
      </c>
      <c r="F341" s="186" t="s">
        <v>201</v>
      </c>
      <c r="H341" s="187">
        <v>150.17100000000002</v>
      </c>
      <c r="I341" s="188"/>
      <c r="L341" s="184"/>
      <c r="M341" s="189"/>
      <c r="N341" s="190"/>
      <c r="O341" s="190"/>
      <c r="P341" s="190"/>
      <c r="Q341" s="190"/>
      <c r="R341" s="190"/>
      <c r="S341" s="190"/>
      <c r="T341" s="191"/>
      <c r="AT341" s="185" t="s">
        <v>193</v>
      </c>
      <c r="AU341" s="185" t="s">
        <v>87</v>
      </c>
      <c r="AV341" s="16" t="s">
        <v>185</v>
      </c>
      <c r="AW341" s="16" t="s">
        <v>36</v>
      </c>
      <c r="AX341" s="16" t="s">
        <v>85</v>
      </c>
      <c r="AY341" s="185" t="s">
        <v>177</v>
      </c>
    </row>
    <row r="342" spans="1:65" s="2" customFormat="1" ht="16.5" customHeight="1">
      <c r="A342" s="34"/>
      <c r="B342" s="139"/>
      <c r="C342" s="195" t="s">
        <v>1179</v>
      </c>
      <c r="D342" s="195" t="s">
        <v>484</v>
      </c>
      <c r="E342" s="196" t="s">
        <v>3354</v>
      </c>
      <c r="F342" s="197" t="s">
        <v>3355</v>
      </c>
      <c r="G342" s="198" t="s">
        <v>476</v>
      </c>
      <c r="H342" s="199">
        <v>9.1999999999999993</v>
      </c>
      <c r="I342" s="200"/>
      <c r="J342" s="201">
        <f>ROUND(I342*H342,2)</f>
        <v>0</v>
      </c>
      <c r="K342" s="197" t="s">
        <v>244</v>
      </c>
      <c r="L342" s="202"/>
      <c r="M342" s="203" t="s">
        <v>3</v>
      </c>
      <c r="N342" s="204" t="s">
        <v>48</v>
      </c>
      <c r="O342" s="55"/>
      <c r="P342" s="149">
        <f>O342*H342</f>
        <v>0</v>
      </c>
      <c r="Q342" s="149">
        <v>0.05</v>
      </c>
      <c r="R342" s="149">
        <f>Q342*H342</f>
        <v>0.45999999999999996</v>
      </c>
      <c r="S342" s="149">
        <v>0</v>
      </c>
      <c r="T342" s="150">
        <f>S342*H342</f>
        <v>0</v>
      </c>
      <c r="U342" s="34"/>
      <c r="V342" s="34"/>
      <c r="W342" s="34"/>
      <c r="X342" s="34"/>
      <c r="Y342" s="34"/>
      <c r="Z342" s="34"/>
      <c r="AA342" s="34"/>
      <c r="AB342" s="34"/>
      <c r="AC342" s="34"/>
      <c r="AD342" s="34"/>
      <c r="AE342" s="34"/>
      <c r="AR342" s="151" t="s">
        <v>537</v>
      </c>
      <c r="AT342" s="151" t="s">
        <v>484</v>
      </c>
      <c r="AU342" s="151" t="s">
        <v>87</v>
      </c>
      <c r="AY342" s="19" t="s">
        <v>177</v>
      </c>
      <c r="BE342" s="152">
        <f>IF(N342="základní",J342,0)</f>
        <v>0</v>
      </c>
      <c r="BF342" s="152">
        <f>IF(N342="snížená",J342,0)</f>
        <v>0</v>
      </c>
      <c r="BG342" s="152">
        <f>IF(N342="zákl. přenesená",J342,0)</f>
        <v>0</v>
      </c>
      <c r="BH342" s="152">
        <f>IF(N342="sníž. přenesená",J342,0)</f>
        <v>0</v>
      </c>
      <c r="BI342" s="152">
        <f>IF(N342="nulová",J342,0)</f>
        <v>0</v>
      </c>
      <c r="BJ342" s="19" t="s">
        <v>85</v>
      </c>
      <c r="BK342" s="152">
        <f>ROUND(I342*H342,2)</f>
        <v>0</v>
      </c>
      <c r="BL342" s="19" t="s">
        <v>237</v>
      </c>
      <c r="BM342" s="151" t="s">
        <v>3356</v>
      </c>
    </row>
    <row r="343" spans="1:65" s="2" customFormat="1">
      <c r="A343" s="34"/>
      <c r="B343" s="35"/>
      <c r="C343" s="34"/>
      <c r="D343" s="153" t="s">
        <v>187</v>
      </c>
      <c r="E343" s="34"/>
      <c r="F343" s="154" t="s">
        <v>3355</v>
      </c>
      <c r="G343" s="34"/>
      <c r="H343" s="34"/>
      <c r="I343" s="155"/>
      <c r="J343" s="34"/>
      <c r="K343" s="34"/>
      <c r="L343" s="35"/>
      <c r="M343" s="156"/>
      <c r="N343" s="157"/>
      <c r="O343" s="55"/>
      <c r="P343" s="55"/>
      <c r="Q343" s="55"/>
      <c r="R343" s="55"/>
      <c r="S343" s="55"/>
      <c r="T343" s="56"/>
      <c r="U343" s="34"/>
      <c r="V343" s="34"/>
      <c r="W343" s="34"/>
      <c r="X343" s="34"/>
      <c r="Y343" s="34"/>
      <c r="Z343" s="34"/>
      <c r="AA343" s="34"/>
      <c r="AB343" s="34"/>
      <c r="AC343" s="34"/>
      <c r="AD343" s="34"/>
      <c r="AE343" s="34"/>
      <c r="AT343" s="19" t="s">
        <v>187</v>
      </c>
      <c r="AU343" s="19" t="s">
        <v>87</v>
      </c>
    </row>
    <row r="344" spans="1:65" s="14" customFormat="1">
      <c r="B344" s="169"/>
      <c r="D344" s="153" t="s">
        <v>193</v>
      </c>
      <c r="E344" s="170" t="s">
        <v>3</v>
      </c>
      <c r="F344" s="171" t="s">
        <v>3357</v>
      </c>
      <c r="H344" s="170" t="s">
        <v>3</v>
      </c>
      <c r="I344" s="172"/>
      <c r="L344" s="169"/>
      <c r="M344" s="173"/>
      <c r="N344" s="174"/>
      <c r="O344" s="174"/>
      <c r="P344" s="174"/>
      <c r="Q344" s="174"/>
      <c r="R344" s="174"/>
      <c r="S344" s="174"/>
      <c r="T344" s="175"/>
      <c r="AT344" s="170" t="s">
        <v>193</v>
      </c>
      <c r="AU344" s="170" t="s">
        <v>87</v>
      </c>
      <c r="AV344" s="14" t="s">
        <v>85</v>
      </c>
      <c r="AW344" s="14" t="s">
        <v>36</v>
      </c>
      <c r="AX344" s="14" t="s">
        <v>77</v>
      </c>
      <c r="AY344" s="170" t="s">
        <v>177</v>
      </c>
    </row>
    <row r="345" spans="1:65" s="13" customFormat="1">
      <c r="B345" s="161"/>
      <c r="D345" s="153" t="s">
        <v>193</v>
      </c>
      <c r="E345" s="162" t="s">
        <v>3</v>
      </c>
      <c r="F345" s="163" t="s">
        <v>3358</v>
      </c>
      <c r="H345" s="164">
        <v>9.1999999999999993</v>
      </c>
      <c r="I345" s="165"/>
      <c r="L345" s="161"/>
      <c r="M345" s="166"/>
      <c r="N345" s="167"/>
      <c r="O345" s="167"/>
      <c r="P345" s="167"/>
      <c r="Q345" s="167"/>
      <c r="R345" s="167"/>
      <c r="S345" s="167"/>
      <c r="T345" s="168"/>
      <c r="AT345" s="162" t="s">
        <v>193</v>
      </c>
      <c r="AU345" s="162" t="s">
        <v>87</v>
      </c>
      <c r="AV345" s="13" t="s">
        <v>87</v>
      </c>
      <c r="AW345" s="13" t="s">
        <v>36</v>
      </c>
      <c r="AX345" s="13" t="s">
        <v>85</v>
      </c>
      <c r="AY345" s="162" t="s">
        <v>177</v>
      </c>
    </row>
    <row r="346" spans="1:65" s="2" customFormat="1" ht="16.5" customHeight="1">
      <c r="A346" s="34"/>
      <c r="B346" s="139"/>
      <c r="C346" s="140" t="s">
        <v>1182</v>
      </c>
      <c r="D346" s="140" t="s">
        <v>180</v>
      </c>
      <c r="E346" s="141" t="s">
        <v>1648</v>
      </c>
      <c r="F346" s="142" t="s">
        <v>1649</v>
      </c>
      <c r="G346" s="143" t="s">
        <v>183</v>
      </c>
      <c r="H346" s="144">
        <v>0.61</v>
      </c>
      <c r="I346" s="145"/>
      <c r="J346" s="146">
        <f>ROUND(I346*H346,2)</f>
        <v>0</v>
      </c>
      <c r="K346" s="142" t="s">
        <v>184</v>
      </c>
      <c r="L346" s="35"/>
      <c r="M346" s="147" t="s">
        <v>3</v>
      </c>
      <c r="N346" s="148" t="s">
        <v>48</v>
      </c>
      <c r="O346" s="55"/>
      <c r="P346" s="149">
        <f>O346*H346</f>
        <v>0</v>
      </c>
      <c r="Q346" s="149">
        <v>0</v>
      </c>
      <c r="R346" s="149">
        <f>Q346*H346</f>
        <v>0</v>
      </c>
      <c r="S346" s="149">
        <v>0</v>
      </c>
      <c r="T346" s="150">
        <f>S346*H346</f>
        <v>0</v>
      </c>
      <c r="U346" s="34"/>
      <c r="V346" s="34"/>
      <c r="W346" s="34"/>
      <c r="X346" s="34"/>
      <c r="Y346" s="34"/>
      <c r="Z346" s="34"/>
      <c r="AA346" s="34"/>
      <c r="AB346" s="34"/>
      <c r="AC346" s="34"/>
      <c r="AD346" s="34"/>
      <c r="AE346" s="34"/>
      <c r="AR346" s="151" t="s">
        <v>237</v>
      </c>
      <c r="AT346" s="151" t="s">
        <v>180</v>
      </c>
      <c r="AU346" s="151" t="s">
        <v>87</v>
      </c>
      <c r="AY346" s="19" t="s">
        <v>177</v>
      </c>
      <c r="BE346" s="152">
        <f>IF(N346="základní",J346,0)</f>
        <v>0</v>
      </c>
      <c r="BF346" s="152">
        <f>IF(N346="snížená",J346,0)</f>
        <v>0</v>
      </c>
      <c r="BG346" s="152">
        <f>IF(N346="zákl. přenesená",J346,0)</f>
        <v>0</v>
      </c>
      <c r="BH346" s="152">
        <f>IF(N346="sníž. přenesená",J346,0)</f>
        <v>0</v>
      </c>
      <c r="BI346" s="152">
        <f>IF(N346="nulová",J346,0)</f>
        <v>0</v>
      </c>
      <c r="BJ346" s="19" t="s">
        <v>85</v>
      </c>
      <c r="BK346" s="152">
        <f>ROUND(I346*H346,2)</f>
        <v>0</v>
      </c>
      <c r="BL346" s="19" t="s">
        <v>237</v>
      </c>
      <c r="BM346" s="151" t="s">
        <v>3359</v>
      </c>
    </row>
    <row r="347" spans="1:65" s="2" customFormat="1" ht="19.5">
      <c r="A347" s="34"/>
      <c r="B347" s="35"/>
      <c r="C347" s="34"/>
      <c r="D347" s="153" t="s">
        <v>187</v>
      </c>
      <c r="E347" s="34"/>
      <c r="F347" s="154" t="s">
        <v>1651</v>
      </c>
      <c r="G347" s="34"/>
      <c r="H347" s="34"/>
      <c r="I347" s="155"/>
      <c r="J347" s="34"/>
      <c r="K347" s="34"/>
      <c r="L347" s="35"/>
      <c r="M347" s="156"/>
      <c r="N347" s="157"/>
      <c r="O347" s="55"/>
      <c r="P347" s="55"/>
      <c r="Q347" s="55"/>
      <c r="R347" s="55"/>
      <c r="S347" s="55"/>
      <c r="T347" s="56"/>
      <c r="U347" s="34"/>
      <c r="V347" s="34"/>
      <c r="W347" s="34"/>
      <c r="X347" s="34"/>
      <c r="Y347" s="34"/>
      <c r="Z347" s="34"/>
      <c r="AA347" s="34"/>
      <c r="AB347" s="34"/>
      <c r="AC347" s="34"/>
      <c r="AD347" s="34"/>
      <c r="AE347" s="34"/>
      <c r="AT347" s="19" t="s">
        <v>187</v>
      </c>
      <c r="AU347" s="19" t="s">
        <v>87</v>
      </c>
    </row>
    <row r="348" spans="1:65" s="2" customFormat="1">
      <c r="A348" s="34"/>
      <c r="B348" s="35"/>
      <c r="C348" s="34"/>
      <c r="D348" s="158" t="s">
        <v>189</v>
      </c>
      <c r="E348" s="34"/>
      <c r="F348" s="159" t="s">
        <v>1652</v>
      </c>
      <c r="G348" s="34"/>
      <c r="H348" s="34"/>
      <c r="I348" s="155"/>
      <c r="J348" s="34"/>
      <c r="K348" s="34"/>
      <c r="L348" s="35"/>
      <c r="M348" s="156"/>
      <c r="N348" s="157"/>
      <c r="O348" s="55"/>
      <c r="P348" s="55"/>
      <c r="Q348" s="55"/>
      <c r="R348" s="55"/>
      <c r="S348" s="55"/>
      <c r="T348" s="56"/>
      <c r="U348" s="34"/>
      <c r="V348" s="34"/>
      <c r="W348" s="34"/>
      <c r="X348" s="34"/>
      <c r="Y348" s="34"/>
      <c r="Z348" s="34"/>
      <c r="AA348" s="34"/>
      <c r="AB348" s="34"/>
      <c r="AC348" s="34"/>
      <c r="AD348" s="34"/>
      <c r="AE348" s="34"/>
      <c r="AT348" s="19" t="s">
        <v>189</v>
      </c>
      <c r="AU348" s="19" t="s">
        <v>87</v>
      </c>
    </row>
    <row r="349" spans="1:65" s="2" customFormat="1" ht="78">
      <c r="A349" s="34"/>
      <c r="B349" s="35"/>
      <c r="C349" s="34"/>
      <c r="D349" s="153" t="s">
        <v>191</v>
      </c>
      <c r="E349" s="34"/>
      <c r="F349" s="160" t="s">
        <v>1653</v>
      </c>
      <c r="G349" s="34"/>
      <c r="H349" s="34"/>
      <c r="I349" s="155"/>
      <c r="J349" s="34"/>
      <c r="K349" s="34"/>
      <c r="L349" s="35"/>
      <c r="M349" s="156"/>
      <c r="N349" s="157"/>
      <c r="O349" s="55"/>
      <c r="P349" s="55"/>
      <c r="Q349" s="55"/>
      <c r="R349" s="55"/>
      <c r="S349" s="55"/>
      <c r="T349" s="56"/>
      <c r="U349" s="34"/>
      <c r="V349" s="34"/>
      <c r="W349" s="34"/>
      <c r="X349" s="34"/>
      <c r="Y349" s="34"/>
      <c r="Z349" s="34"/>
      <c r="AA349" s="34"/>
      <c r="AB349" s="34"/>
      <c r="AC349" s="34"/>
      <c r="AD349" s="34"/>
      <c r="AE349" s="34"/>
      <c r="AT349" s="19" t="s">
        <v>191</v>
      </c>
      <c r="AU349" s="19" t="s">
        <v>87</v>
      </c>
    </row>
    <row r="350" spans="1:65" s="2" customFormat="1" ht="16.5" customHeight="1">
      <c r="A350" s="34"/>
      <c r="B350" s="139"/>
      <c r="C350" s="140" t="s">
        <v>1185</v>
      </c>
      <c r="D350" s="140" t="s">
        <v>180</v>
      </c>
      <c r="E350" s="141" t="s">
        <v>1654</v>
      </c>
      <c r="F350" s="142" t="s">
        <v>1655</v>
      </c>
      <c r="G350" s="143" t="s">
        <v>183</v>
      </c>
      <c r="H350" s="144">
        <v>0.61</v>
      </c>
      <c r="I350" s="145"/>
      <c r="J350" s="146">
        <f>ROUND(I350*H350,2)</f>
        <v>0</v>
      </c>
      <c r="K350" s="142" t="s">
        <v>184</v>
      </c>
      <c r="L350" s="35"/>
      <c r="M350" s="147" t="s">
        <v>3</v>
      </c>
      <c r="N350" s="148" t="s">
        <v>48</v>
      </c>
      <c r="O350" s="55"/>
      <c r="P350" s="149">
        <f>O350*H350</f>
        <v>0</v>
      </c>
      <c r="Q350" s="149">
        <v>0</v>
      </c>
      <c r="R350" s="149">
        <f>Q350*H350</f>
        <v>0</v>
      </c>
      <c r="S350" s="149">
        <v>0</v>
      </c>
      <c r="T350" s="150">
        <f>S350*H350</f>
        <v>0</v>
      </c>
      <c r="U350" s="34"/>
      <c r="V350" s="34"/>
      <c r="W350" s="34"/>
      <c r="X350" s="34"/>
      <c r="Y350" s="34"/>
      <c r="Z350" s="34"/>
      <c r="AA350" s="34"/>
      <c r="AB350" s="34"/>
      <c r="AC350" s="34"/>
      <c r="AD350" s="34"/>
      <c r="AE350" s="34"/>
      <c r="AR350" s="151" t="s">
        <v>237</v>
      </c>
      <c r="AT350" s="151" t="s">
        <v>180</v>
      </c>
      <c r="AU350" s="151" t="s">
        <v>87</v>
      </c>
      <c r="AY350" s="19" t="s">
        <v>177</v>
      </c>
      <c r="BE350" s="152">
        <f>IF(N350="základní",J350,0)</f>
        <v>0</v>
      </c>
      <c r="BF350" s="152">
        <f>IF(N350="snížená",J350,0)</f>
        <v>0</v>
      </c>
      <c r="BG350" s="152">
        <f>IF(N350="zákl. přenesená",J350,0)</f>
        <v>0</v>
      </c>
      <c r="BH350" s="152">
        <f>IF(N350="sníž. přenesená",J350,0)</f>
        <v>0</v>
      </c>
      <c r="BI350" s="152">
        <f>IF(N350="nulová",J350,0)</f>
        <v>0</v>
      </c>
      <c r="BJ350" s="19" t="s">
        <v>85</v>
      </c>
      <c r="BK350" s="152">
        <f>ROUND(I350*H350,2)</f>
        <v>0</v>
      </c>
      <c r="BL350" s="19" t="s">
        <v>237</v>
      </c>
      <c r="BM350" s="151" t="s">
        <v>3360</v>
      </c>
    </row>
    <row r="351" spans="1:65" s="2" customFormat="1" ht="19.5">
      <c r="A351" s="34"/>
      <c r="B351" s="35"/>
      <c r="C351" s="34"/>
      <c r="D351" s="153" t="s">
        <v>187</v>
      </c>
      <c r="E351" s="34"/>
      <c r="F351" s="154" t="s">
        <v>1657</v>
      </c>
      <c r="G351" s="34"/>
      <c r="H351" s="34"/>
      <c r="I351" s="155"/>
      <c r="J351" s="34"/>
      <c r="K351" s="34"/>
      <c r="L351" s="35"/>
      <c r="M351" s="156"/>
      <c r="N351" s="157"/>
      <c r="O351" s="55"/>
      <c r="P351" s="55"/>
      <c r="Q351" s="55"/>
      <c r="R351" s="55"/>
      <c r="S351" s="55"/>
      <c r="T351" s="56"/>
      <c r="U351" s="34"/>
      <c r="V351" s="34"/>
      <c r="W351" s="34"/>
      <c r="X351" s="34"/>
      <c r="Y351" s="34"/>
      <c r="Z351" s="34"/>
      <c r="AA351" s="34"/>
      <c r="AB351" s="34"/>
      <c r="AC351" s="34"/>
      <c r="AD351" s="34"/>
      <c r="AE351" s="34"/>
      <c r="AT351" s="19" t="s">
        <v>187</v>
      </c>
      <c r="AU351" s="19" t="s">
        <v>87</v>
      </c>
    </row>
    <row r="352" spans="1:65" s="2" customFormat="1">
      <c r="A352" s="34"/>
      <c r="B352" s="35"/>
      <c r="C352" s="34"/>
      <c r="D352" s="158" t="s">
        <v>189</v>
      </c>
      <c r="E352" s="34"/>
      <c r="F352" s="159" t="s">
        <v>1658</v>
      </c>
      <c r="G352" s="34"/>
      <c r="H352" s="34"/>
      <c r="I352" s="155"/>
      <c r="J352" s="34"/>
      <c r="K352" s="34"/>
      <c r="L352" s="35"/>
      <c r="M352" s="156"/>
      <c r="N352" s="157"/>
      <c r="O352" s="55"/>
      <c r="P352" s="55"/>
      <c r="Q352" s="55"/>
      <c r="R352" s="55"/>
      <c r="S352" s="55"/>
      <c r="T352" s="56"/>
      <c r="U352" s="34"/>
      <c r="V352" s="34"/>
      <c r="W352" s="34"/>
      <c r="X352" s="34"/>
      <c r="Y352" s="34"/>
      <c r="Z352" s="34"/>
      <c r="AA352" s="34"/>
      <c r="AB352" s="34"/>
      <c r="AC352" s="34"/>
      <c r="AD352" s="34"/>
      <c r="AE352" s="34"/>
      <c r="AT352" s="19" t="s">
        <v>189</v>
      </c>
      <c r="AU352" s="19" t="s">
        <v>87</v>
      </c>
    </row>
    <row r="353" spans="1:65" s="2" customFormat="1" ht="78">
      <c r="A353" s="34"/>
      <c r="B353" s="35"/>
      <c r="C353" s="34"/>
      <c r="D353" s="153" t="s">
        <v>191</v>
      </c>
      <c r="E353" s="34"/>
      <c r="F353" s="160" t="s">
        <v>1653</v>
      </c>
      <c r="G353" s="34"/>
      <c r="H353" s="34"/>
      <c r="I353" s="155"/>
      <c r="J353" s="34"/>
      <c r="K353" s="34"/>
      <c r="L353" s="35"/>
      <c r="M353" s="156"/>
      <c r="N353" s="157"/>
      <c r="O353" s="55"/>
      <c r="P353" s="55"/>
      <c r="Q353" s="55"/>
      <c r="R353" s="55"/>
      <c r="S353" s="55"/>
      <c r="T353" s="56"/>
      <c r="U353" s="34"/>
      <c r="V353" s="34"/>
      <c r="W353" s="34"/>
      <c r="X353" s="34"/>
      <c r="Y353" s="34"/>
      <c r="Z353" s="34"/>
      <c r="AA353" s="34"/>
      <c r="AB353" s="34"/>
      <c r="AC353" s="34"/>
      <c r="AD353" s="34"/>
      <c r="AE353" s="34"/>
      <c r="AT353" s="19" t="s">
        <v>191</v>
      </c>
      <c r="AU353" s="19" t="s">
        <v>87</v>
      </c>
    </row>
    <row r="354" spans="1:65" s="12" customFormat="1" ht="22.9" customHeight="1">
      <c r="B354" s="126"/>
      <c r="D354" s="127" t="s">
        <v>76</v>
      </c>
      <c r="E354" s="137" t="s">
        <v>2983</v>
      </c>
      <c r="F354" s="137" t="s">
        <v>2984</v>
      </c>
      <c r="I354" s="129"/>
      <c r="J354" s="138">
        <f>BK354</f>
        <v>0</v>
      </c>
      <c r="L354" s="126"/>
      <c r="M354" s="131"/>
      <c r="N354" s="132"/>
      <c r="O354" s="132"/>
      <c r="P354" s="133">
        <f>SUM(P355:P431)</f>
        <v>0</v>
      </c>
      <c r="Q354" s="132"/>
      <c r="R354" s="133">
        <f>SUM(R355:R431)</f>
        <v>6.1316622499999998</v>
      </c>
      <c r="S354" s="132"/>
      <c r="T354" s="134">
        <f>SUM(T355:T431)</f>
        <v>0</v>
      </c>
      <c r="AR354" s="127" t="s">
        <v>87</v>
      </c>
      <c r="AT354" s="135" t="s">
        <v>76</v>
      </c>
      <c r="AU354" s="135" t="s">
        <v>85</v>
      </c>
      <c r="AY354" s="127" t="s">
        <v>177</v>
      </c>
      <c r="BK354" s="136">
        <f>SUM(BK355:BK431)</f>
        <v>0</v>
      </c>
    </row>
    <row r="355" spans="1:65" s="2" customFormat="1" ht="16.5" customHeight="1">
      <c r="A355" s="34"/>
      <c r="B355" s="139"/>
      <c r="C355" s="140" t="s">
        <v>1187</v>
      </c>
      <c r="D355" s="140" t="s">
        <v>180</v>
      </c>
      <c r="E355" s="141" t="s">
        <v>2986</v>
      </c>
      <c r="F355" s="142" t="s">
        <v>2987</v>
      </c>
      <c r="G355" s="143" t="s">
        <v>332</v>
      </c>
      <c r="H355" s="144">
        <v>149.69999999999999</v>
      </c>
      <c r="I355" s="145"/>
      <c r="J355" s="146">
        <f>ROUND(I355*H355,2)</f>
        <v>0</v>
      </c>
      <c r="K355" s="142" t="s">
        <v>184</v>
      </c>
      <c r="L355" s="35"/>
      <c r="M355" s="147" t="s">
        <v>3</v>
      </c>
      <c r="N355" s="148" t="s">
        <v>48</v>
      </c>
      <c r="O355" s="55"/>
      <c r="P355" s="149">
        <f>O355*H355</f>
        <v>0</v>
      </c>
      <c r="Q355" s="149">
        <v>0</v>
      </c>
      <c r="R355" s="149">
        <f>Q355*H355</f>
        <v>0</v>
      </c>
      <c r="S355" s="149">
        <v>0</v>
      </c>
      <c r="T355" s="150">
        <f>S355*H355</f>
        <v>0</v>
      </c>
      <c r="U355" s="34"/>
      <c r="V355" s="34"/>
      <c r="W355" s="34"/>
      <c r="X355" s="34"/>
      <c r="Y355" s="34"/>
      <c r="Z355" s="34"/>
      <c r="AA355" s="34"/>
      <c r="AB355" s="34"/>
      <c r="AC355" s="34"/>
      <c r="AD355" s="34"/>
      <c r="AE355" s="34"/>
      <c r="AR355" s="151" t="s">
        <v>237</v>
      </c>
      <c r="AT355" s="151" t="s">
        <v>180</v>
      </c>
      <c r="AU355" s="151" t="s">
        <v>87</v>
      </c>
      <c r="AY355" s="19" t="s">
        <v>177</v>
      </c>
      <c r="BE355" s="152">
        <f>IF(N355="základní",J355,0)</f>
        <v>0</v>
      </c>
      <c r="BF355" s="152">
        <f>IF(N355="snížená",J355,0)</f>
        <v>0</v>
      </c>
      <c r="BG355" s="152">
        <f>IF(N355="zákl. přenesená",J355,0)</f>
        <v>0</v>
      </c>
      <c r="BH355" s="152">
        <f>IF(N355="sníž. přenesená",J355,0)</f>
        <v>0</v>
      </c>
      <c r="BI355" s="152">
        <f>IF(N355="nulová",J355,0)</f>
        <v>0</v>
      </c>
      <c r="BJ355" s="19" t="s">
        <v>85</v>
      </c>
      <c r="BK355" s="152">
        <f>ROUND(I355*H355,2)</f>
        <v>0</v>
      </c>
      <c r="BL355" s="19" t="s">
        <v>237</v>
      </c>
      <c r="BM355" s="151" t="s">
        <v>3361</v>
      </c>
    </row>
    <row r="356" spans="1:65" s="2" customFormat="1">
      <c r="A356" s="34"/>
      <c r="B356" s="35"/>
      <c r="C356" s="34"/>
      <c r="D356" s="153" t="s">
        <v>187</v>
      </c>
      <c r="E356" s="34"/>
      <c r="F356" s="154" t="s">
        <v>2989</v>
      </c>
      <c r="G356" s="34"/>
      <c r="H356" s="34"/>
      <c r="I356" s="155"/>
      <c r="J356" s="34"/>
      <c r="K356" s="34"/>
      <c r="L356" s="35"/>
      <c r="M356" s="156"/>
      <c r="N356" s="157"/>
      <c r="O356" s="55"/>
      <c r="P356" s="55"/>
      <c r="Q356" s="55"/>
      <c r="R356" s="55"/>
      <c r="S356" s="55"/>
      <c r="T356" s="56"/>
      <c r="U356" s="34"/>
      <c r="V356" s="34"/>
      <c r="W356" s="34"/>
      <c r="X356" s="34"/>
      <c r="Y356" s="34"/>
      <c r="Z356" s="34"/>
      <c r="AA356" s="34"/>
      <c r="AB356" s="34"/>
      <c r="AC356" s="34"/>
      <c r="AD356" s="34"/>
      <c r="AE356" s="34"/>
      <c r="AT356" s="19" t="s">
        <v>187</v>
      </c>
      <c r="AU356" s="19" t="s">
        <v>87</v>
      </c>
    </row>
    <row r="357" spans="1:65" s="2" customFormat="1">
      <c r="A357" s="34"/>
      <c r="B357" s="35"/>
      <c r="C357" s="34"/>
      <c r="D357" s="158" t="s">
        <v>189</v>
      </c>
      <c r="E357" s="34"/>
      <c r="F357" s="159" t="s">
        <v>2990</v>
      </c>
      <c r="G357" s="34"/>
      <c r="H357" s="34"/>
      <c r="I357" s="155"/>
      <c r="J357" s="34"/>
      <c r="K357" s="34"/>
      <c r="L357" s="35"/>
      <c r="M357" s="156"/>
      <c r="N357" s="157"/>
      <c r="O357" s="55"/>
      <c r="P357" s="55"/>
      <c r="Q357" s="55"/>
      <c r="R357" s="55"/>
      <c r="S357" s="55"/>
      <c r="T357" s="56"/>
      <c r="U357" s="34"/>
      <c r="V357" s="34"/>
      <c r="W357" s="34"/>
      <c r="X357" s="34"/>
      <c r="Y357" s="34"/>
      <c r="Z357" s="34"/>
      <c r="AA357" s="34"/>
      <c r="AB357" s="34"/>
      <c r="AC357" s="34"/>
      <c r="AD357" s="34"/>
      <c r="AE357" s="34"/>
      <c r="AT357" s="19" t="s">
        <v>189</v>
      </c>
      <c r="AU357" s="19" t="s">
        <v>87</v>
      </c>
    </row>
    <row r="358" spans="1:65" s="2" customFormat="1" ht="48.75">
      <c r="A358" s="34"/>
      <c r="B358" s="35"/>
      <c r="C358" s="34"/>
      <c r="D358" s="153" t="s">
        <v>191</v>
      </c>
      <c r="E358" s="34"/>
      <c r="F358" s="160" t="s">
        <v>2991</v>
      </c>
      <c r="G358" s="34"/>
      <c r="H358" s="34"/>
      <c r="I358" s="155"/>
      <c r="J358" s="34"/>
      <c r="K358" s="34"/>
      <c r="L358" s="35"/>
      <c r="M358" s="156"/>
      <c r="N358" s="157"/>
      <c r="O358" s="55"/>
      <c r="P358" s="55"/>
      <c r="Q358" s="55"/>
      <c r="R358" s="55"/>
      <c r="S358" s="55"/>
      <c r="T358" s="56"/>
      <c r="U358" s="34"/>
      <c r="V358" s="34"/>
      <c r="W358" s="34"/>
      <c r="X358" s="34"/>
      <c r="Y358" s="34"/>
      <c r="Z358" s="34"/>
      <c r="AA358" s="34"/>
      <c r="AB358" s="34"/>
      <c r="AC358" s="34"/>
      <c r="AD358" s="34"/>
      <c r="AE358" s="34"/>
      <c r="AT358" s="19" t="s">
        <v>191</v>
      </c>
      <c r="AU358" s="19" t="s">
        <v>87</v>
      </c>
    </row>
    <row r="359" spans="1:65" s="2" customFormat="1" ht="16.5" customHeight="1">
      <c r="A359" s="34"/>
      <c r="B359" s="139"/>
      <c r="C359" s="140" t="s">
        <v>1190</v>
      </c>
      <c r="D359" s="140" t="s">
        <v>180</v>
      </c>
      <c r="E359" s="141" t="s">
        <v>2993</v>
      </c>
      <c r="F359" s="142" t="s">
        <v>2994</v>
      </c>
      <c r="G359" s="143" t="s">
        <v>332</v>
      </c>
      <c r="H359" s="144">
        <v>149.69999999999999</v>
      </c>
      <c r="I359" s="145"/>
      <c r="J359" s="146">
        <f>ROUND(I359*H359,2)</f>
        <v>0</v>
      </c>
      <c r="K359" s="142" t="s">
        <v>184</v>
      </c>
      <c r="L359" s="35"/>
      <c r="M359" s="147" t="s">
        <v>3</v>
      </c>
      <c r="N359" s="148" t="s">
        <v>48</v>
      </c>
      <c r="O359" s="55"/>
      <c r="P359" s="149">
        <f>O359*H359</f>
        <v>0</v>
      </c>
      <c r="Q359" s="149">
        <v>2.9999999999999997E-4</v>
      </c>
      <c r="R359" s="149">
        <f>Q359*H359</f>
        <v>4.4909999999999992E-2</v>
      </c>
      <c r="S359" s="149">
        <v>0</v>
      </c>
      <c r="T359" s="150">
        <f>S359*H359</f>
        <v>0</v>
      </c>
      <c r="U359" s="34"/>
      <c r="V359" s="34"/>
      <c r="W359" s="34"/>
      <c r="X359" s="34"/>
      <c r="Y359" s="34"/>
      <c r="Z359" s="34"/>
      <c r="AA359" s="34"/>
      <c r="AB359" s="34"/>
      <c r="AC359" s="34"/>
      <c r="AD359" s="34"/>
      <c r="AE359" s="34"/>
      <c r="AR359" s="151" t="s">
        <v>237</v>
      </c>
      <c r="AT359" s="151" t="s">
        <v>180</v>
      </c>
      <c r="AU359" s="151" t="s">
        <v>87</v>
      </c>
      <c r="AY359" s="19" t="s">
        <v>177</v>
      </c>
      <c r="BE359" s="152">
        <f>IF(N359="základní",J359,0)</f>
        <v>0</v>
      </c>
      <c r="BF359" s="152">
        <f>IF(N359="snížená",J359,0)</f>
        <v>0</v>
      </c>
      <c r="BG359" s="152">
        <f>IF(N359="zákl. přenesená",J359,0)</f>
        <v>0</v>
      </c>
      <c r="BH359" s="152">
        <f>IF(N359="sníž. přenesená",J359,0)</f>
        <v>0</v>
      </c>
      <c r="BI359" s="152">
        <f>IF(N359="nulová",J359,0)</f>
        <v>0</v>
      </c>
      <c r="BJ359" s="19" t="s">
        <v>85</v>
      </c>
      <c r="BK359" s="152">
        <f>ROUND(I359*H359,2)</f>
        <v>0</v>
      </c>
      <c r="BL359" s="19" t="s">
        <v>237</v>
      </c>
      <c r="BM359" s="151" t="s">
        <v>3362</v>
      </c>
    </row>
    <row r="360" spans="1:65" s="2" customFormat="1">
      <c r="A360" s="34"/>
      <c r="B360" s="35"/>
      <c r="C360" s="34"/>
      <c r="D360" s="153" t="s">
        <v>187</v>
      </c>
      <c r="E360" s="34"/>
      <c r="F360" s="154" t="s">
        <v>2996</v>
      </c>
      <c r="G360" s="34"/>
      <c r="H360" s="34"/>
      <c r="I360" s="155"/>
      <c r="J360" s="34"/>
      <c r="K360" s="34"/>
      <c r="L360" s="35"/>
      <c r="M360" s="156"/>
      <c r="N360" s="157"/>
      <c r="O360" s="55"/>
      <c r="P360" s="55"/>
      <c r="Q360" s="55"/>
      <c r="R360" s="55"/>
      <c r="S360" s="55"/>
      <c r="T360" s="56"/>
      <c r="U360" s="34"/>
      <c r="V360" s="34"/>
      <c r="W360" s="34"/>
      <c r="X360" s="34"/>
      <c r="Y360" s="34"/>
      <c r="Z360" s="34"/>
      <c r="AA360" s="34"/>
      <c r="AB360" s="34"/>
      <c r="AC360" s="34"/>
      <c r="AD360" s="34"/>
      <c r="AE360" s="34"/>
      <c r="AT360" s="19" t="s">
        <v>187</v>
      </c>
      <c r="AU360" s="19" t="s">
        <v>87</v>
      </c>
    </row>
    <row r="361" spans="1:65" s="2" customFormat="1">
      <c r="A361" s="34"/>
      <c r="B361" s="35"/>
      <c r="C361" s="34"/>
      <c r="D361" s="158" t="s">
        <v>189</v>
      </c>
      <c r="E361" s="34"/>
      <c r="F361" s="159" t="s">
        <v>2997</v>
      </c>
      <c r="G361" s="34"/>
      <c r="H361" s="34"/>
      <c r="I361" s="155"/>
      <c r="J361" s="34"/>
      <c r="K361" s="34"/>
      <c r="L361" s="35"/>
      <c r="M361" s="156"/>
      <c r="N361" s="157"/>
      <c r="O361" s="55"/>
      <c r="P361" s="55"/>
      <c r="Q361" s="55"/>
      <c r="R361" s="55"/>
      <c r="S361" s="55"/>
      <c r="T361" s="56"/>
      <c r="U361" s="34"/>
      <c r="V361" s="34"/>
      <c r="W361" s="34"/>
      <c r="X361" s="34"/>
      <c r="Y361" s="34"/>
      <c r="Z361" s="34"/>
      <c r="AA361" s="34"/>
      <c r="AB361" s="34"/>
      <c r="AC361" s="34"/>
      <c r="AD361" s="34"/>
      <c r="AE361" s="34"/>
      <c r="AT361" s="19" t="s">
        <v>189</v>
      </c>
      <c r="AU361" s="19" t="s">
        <v>87</v>
      </c>
    </row>
    <row r="362" spans="1:65" s="2" customFormat="1" ht="48.75">
      <c r="A362" s="34"/>
      <c r="B362" s="35"/>
      <c r="C362" s="34"/>
      <c r="D362" s="153" t="s">
        <v>191</v>
      </c>
      <c r="E362" s="34"/>
      <c r="F362" s="160" t="s">
        <v>2991</v>
      </c>
      <c r="G362" s="34"/>
      <c r="H362" s="34"/>
      <c r="I362" s="155"/>
      <c r="J362" s="34"/>
      <c r="K362" s="34"/>
      <c r="L362" s="35"/>
      <c r="M362" s="156"/>
      <c r="N362" s="157"/>
      <c r="O362" s="55"/>
      <c r="P362" s="55"/>
      <c r="Q362" s="55"/>
      <c r="R362" s="55"/>
      <c r="S362" s="55"/>
      <c r="T362" s="56"/>
      <c r="U362" s="34"/>
      <c r="V362" s="34"/>
      <c r="W362" s="34"/>
      <c r="X362" s="34"/>
      <c r="Y362" s="34"/>
      <c r="Z362" s="34"/>
      <c r="AA362" s="34"/>
      <c r="AB362" s="34"/>
      <c r="AC362" s="34"/>
      <c r="AD362" s="34"/>
      <c r="AE362" s="34"/>
      <c r="AT362" s="19" t="s">
        <v>191</v>
      </c>
      <c r="AU362" s="19" t="s">
        <v>87</v>
      </c>
    </row>
    <row r="363" spans="1:65" s="2" customFormat="1" ht="16.5" customHeight="1">
      <c r="A363" s="34"/>
      <c r="B363" s="139"/>
      <c r="C363" s="140" t="s">
        <v>1192</v>
      </c>
      <c r="D363" s="140" t="s">
        <v>180</v>
      </c>
      <c r="E363" s="141" t="s">
        <v>3363</v>
      </c>
      <c r="F363" s="142" t="s">
        <v>3364</v>
      </c>
      <c r="G363" s="143" t="s">
        <v>332</v>
      </c>
      <c r="H363" s="144">
        <v>149.69999999999999</v>
      </c>
      <c r="I363" s="145"/>
      <c r="J363" s="146">
        <f>ROUND(I363*H363,2)</f>
        <v>0</v>
      </c>
      <c r="K363" s="142" t="s">
        <v>184</v>
      </c>
      <c r="L363" s="35"/>
      <c r="M363" s="147" t="s">
        <v>3</v>
      </c>
      <c r="N363" s="148" t="s">
        <v>48</v>
      </c>
      <c r="O363" s="55"/>
      <c r="P363" s="149">
        <f>O363*H363</f>
        <v>0</v>
      </c>
      <c r="Q363" s="149">
        <v>4.4999999999999997E-3</v>
      </c>
      <c r="R363" s="149">
        <f>Q363*H363</f>
        <v>0.67364999999999986</v>
      </c>
      <c r="S363" s="149">
        <v>0</v>
      </c>
      <c r="T363" s="150">
        <f>S363*H363</f>
        <v>0</v>
      </c>
      <c r="U363" s="34"/>
      <c r="V363" s="34"/>
      <c r="W363" s="34"/>
      <c r="X363" s="34"/>
      <c r="Y363" s="34"/>
      <c r="Z363" s="34"/>
      <c r="AA363" s="34"/>
      <c r="AB363" s="34"/>
      <c r="AC363" s="34"/>
      <c r="AD363" s="34"/>
      <c r="AE363" s="34"/>
      <c r="AR363" s="151" t="s">
        <v>237</v>
      </c>
      <c r="AT363" s="151" t="s">
        <v>180</v>
      </c>
      <c r="AU363" s="151" t="s">
        <v>87</v>
      </c>
      <c r="AY363" s="19" t="s">
        <v>177</v>
      </c>
      <c r="BE363" s="152">
        <f>IF(N363="základní",J363,0)</f>
        <v>0</v>
      </c>
      <c r="BF363" s="152">
        <f>IF(N363="snížená",J363,0)</f>
        <v>0</v>
      </c>
      <c r="BG363" s="152">
        <f>IF(N363="zákl. přenesená",J363,0)</f>
        <v>0</v>
      </c>
      <c r="BH363" s="152">
        <f>IF(N363="sníž. přenesená",J363,0)</f>
        <v>0</v>
      </c>
      <c r="BI363" s="152">
        <f>IF(N363="nulová",J363,0)</f>
        <v>0</v>
      </c>
      <c r="BJ363" s="19" t="s">
        <v>85</v>
      </c>
      <c r="BK363" s="152">
        <f>ROUND(I363*H363,2)</f>
        <v>0</v>
      </c>
      <c r="BL363" s="19" t="s">
        <v>237</v>
      </c>
      <c r="BM363" s="151" t="s">
        <v>3365</v>
      </c>
    </row>
    <row r="364" spans="1:65" s="2" customFormat="1">
      <c r="A364" s="34"/>
      <c r="B364" s="35"/>
      <c r="C364" s="34"/>
      <c r="D364" s="153" t="s">
        <v>187</v>
      </c>
      <c r="E364" s="34"/>
      <c r="F364" s="154" t="s">
        <v>3366</v>
      </c>
      <c r="G364" s="34"/>
      <c r="H364" s="34"/>
      <c r="I364" s="155"/>
      <c r="J364" s="34"/>
      <c r="K364" s="34"/>
      <c r="L364" s="35"/>
      <c r="M364" s="156"/>
      <c r="N364" s="157"/>
      <c r="O364" s="55"/>
      <c r="P364" s="55"/>
      <c r="Q364" s="55"/>
      <c r="R364" s="55"/>
      <c r="S364" s="55"/>
      <c r="T364" s="56"/>
      <c r="U364" s="34"/>
      <c r="V364" s="34"/>
      <c r="W364" s="34"/>
      <c r="X364" s="34"/>
      <c r="Y364" s="34"/>
      <c r="Z364" s="34"/>
      <c r="AA364" s="34"/>
      <c r="AB364" s="34"/>
      <c r="AC364" s="34"/>
      <c r="AD364" s="34"/>
      <c r="AE364" s="34"/>
      <c r="AT364" s="19" t="s">
        <v>187</v>
      </c>
      <c r="AU364" s="19" t="s">
        <v>87</v>
      </c>
    </row>
    <row r="365" spans="1:65" s="2" customFormat="1">
      <c r="A365" s="34"/>
      <c r="B365" s="35"/>
      <c r="C365" s="34"/>
      <c r="D365" s="158" t="s">
        <v>189</v>
      </c>
      <c r="E365" s="34"/>
      <c r="F365" s="159" t="s">
        <v>3367</v>
      </c>
      <c r="G365" s="34"/>
      <c r="H365" s="34"/>
      <c r="I365" s="155"/>
      <c r="J365" s="34"/>
      <c r="K365" s="34"/>
      <c r="L365" s="35"/>
      <c r="M365" s="156"/>
      <c r="N365" s="157"/>
      <c r="O365" s="55"/>
      <c r="P365" s="55"/>
      <c r="Q365" s="55"/>
      <c r="R365" s="55"/>
      <c r="S365" s="55"/>
      <c r="T365" s="56"/>
      <c r="U365" s="34"/>
      <c r="V365" s="34"/>
      <c r="W365" s="34"/>
      <c r="X365" s="34"/>
      <c r="Y365" s="34"/>
      <c r="Z365" s="34"/>
      <c r="AA365" s="34"/>
      <c r="AB365" s="34"/>
      <c r="AC365" s="34"/>
      <c r="AD365" s="34"/>
      <c r="AE365" s="34"/>
      <c r="AT365" s="19" t="s">
        <v>189</v>
      </c>
      <c r="AU365" s="19" t="s">
        <v>87</v>
      </c>
    </row>
    <row r="366" spans="1:65" s="2" customFormat="1" ht="48.75">
      <c r="A366" s="34"/>
      <c r="B366" s="35"/>
      <c r="C366" s="34"/>
      <c r="D366" s="153" t="s">
        <v>191</v>
      </c>
      <c r="E366" s="34"/>
      <c r="F366" s="160" t="s">
        <v>2991</v>
      </c>
      <c r="G366" s="34"/>
      <c r="H366" s="34"/>
      <c r="I366" s="155"/>
      <c r="J366" s="34"/>
      <c r="K366" s="34"/>
      <c r="L366" s="35"/>
      <c r="M366" s="156"/>
      <c r="N366" s="157"/>
      <c r="O366" s="55"/>
      <c r="P366" s="55"/>
      <c r="Q366" s="55"/>
      <c r="R366" s="55"/>
      <c r="S366" s="55"/>
      <c r="T366" s="56"/>
      <c r="U366" s="34"/>
      <c r="V366" s="34"/>
      <c r="W366" s="34"/>
      <c r="X366" s="34"/>
      <c r="Y366" s="34"/>
      <c r="Z366" s="34"/>
      <c r="AA366" s="34"/>
      <c r="AB366" s="34"/>
      <c r="AC366" s="34"/>
      <c r="AD366" s="34"/>
      <c r="AE366" s="34"/>
      <c r="AT366" s="19" t="s">
        <v>191</v>
      </c>
      <c r="AU366" s="19" t="s">
        <v>87</v>
      </c>
    </row>
    <row r="367" spans="1:65" s="2" customFormat="1" ht="21.75" customHeight="1">
      <c r="A367" s="34"/>
      <c r="B367" s="139"/>
      <c r="C367" s="140" t="s">
        <v>1195</v>
      </c>
      <c r="D367" s="140" t="s">
        <v>180</v>
      </c>
      <c r="E367" s="141" t="s">
        <v>3012</v>
      </c>
      <c r="F367" s="142" t="s">
        <v>3013</v>
      </c>
      <c r="G367" s="143" t="s">
        <v>476</v>
      </c>
      <c r="H367" s="144">
        <v>36.450000000000003</v>
      </c>
      <c r="I367" s="145"/>
      <c r="J367" s="146">
        <f>ROUND(I367*H367,2)</f>
        <v>0</v>
      </c>
      <c r="K367" s="142" t="s">
        <v>184</v>
      </c>
      <c r="L367" s="35"/>
      <c r="M367" s="147" t="s">
        <v>3</v>
      </c>
      <c r="N367" s="148" t="s">
        <v>48</v>
      </c>
      <c r="O367" s="55"/>
      <c r="P367" s="149">
        <f>O367*H367</f>
        <v>0</v>
      </c>
      <c r="Q367" s="149">
        <v>1.5299999999999999E-3</v>
      </c>
      <c r="R367" s="149">
        <f>Q367*H367</f>
        <v>5.5768499999999999E-2</v>
      </c>
      <c r="S367" s="149">
        <v>0</v>
      </c>
      <c r="T367" s="150">
        <f>S367*H367</f>
        <v>0</v>
      </c>
      <c r="U367" s="34"/>
      <c r="V367" s="34"/>
      <c r="W367" s="34"/>
      <c r="X367" s="34"/>
      <c r="Y367" s="34"/>
      <c r="Z367" s="34"/>
      <c r="AA367" s="34"/>
      <c r="AB367" s="34"/>
      <c r="AC367" s="34"/>
      <c r="AD367" s="34"/>
      <c r="AE367" s="34"/>
      <c r="AR367" s="151" t="s">
        <v>237</v>
      </c>
      <c r="AT367" s="151" t="s">
        <v>180</v>
      </c>
      <c r="AU367" s="151" t="s">
        <v>87</v>
      </c>
      <c r="AY367" s="19" t="s">
        <v>177</v>
      </c>
      <c r="BE367" s="152">
        <f>IF(N367="základní",J367,0)</f>
        <v>0</v>
      </c>
      <c r="BF367" s="152">
        <f>IF(N367="snížená",J367,0)</f>
        <v>0</v>
      </c>
      <c r="BG367" s="152">
        <f>IF(N367="zákl. přenesená",J367,0)</f>
        <v>0</v>
      </c>
      <c r="BH367" s="152">
        <f>IF(N367="sníž. přenesená",J367,0)</f>
        <v>0</v>
      </c>
      <c r="BI367" s="152">
        <f>IF(N367="nulová",J367,0)</f>
        <v>0</v>
      </c>
      <c r="BJ367" s="19" t="s">
        <v>85</v>
      </c>
      <c r="BK367" s="152">
        <f>ROUND(I367*H367,2)</f>
        <v>0</v>
      </c>
      <c r="BL367" s="19" t="s">
        <v>237</v>
      </c>
      <c r="BM367" s="151" t="s">
        <v>3368</v>
      </c>
    </row>
    <row r="368" spans="1:65" s="2" customFormat="1" ht="19.5">
      <c r="A368" s="34"/>
      <c r="B368" s="35"/>
      <c r="C368" s="34"/>
      <c r="D368" s="153" t="s">
        <v>187</v>
      </c>
      <c r="E368" s="34"/>
      <c r="F368" s="154" t="s">
        <v>3015</v>
      </c>
      <c r="G368" s="34"/>
      <c r="H368" s="34"/>
      <c r="I368" s="155"/>
      <c r="J368" s="34"/>
      <c r="K368" s="34"/>
      <c r="L368" s="35"/>
      <c r="M368" s="156"/>
      <c r="N368" s="157"/>
      <c r="O368" s="55"/>
      <c r="P368" s="55"/>
      <c r="Q368" s="55"/>
      <c r="R368" s="55"/>
      <c r="S368" s="55"/>
      <c r="T368" s="56"/>
      <c r="U368" s="34"/>
      <c r="V368" s="34"/>
      <c r="W368" s="34"/>
      <c r="X368" s="34"/>
      <c r="Y368" s="34"/>
      <c r="Z368" s="34"/>
      <c r="AA368" s="34"/>
      <c r="AB368" s="34"/>
      <c r="AC368" s="34"/>
      <c r="AD368" s="34"/>
      <c r="AE368" s="34"/>
      <c r="AT368" s="19" t="s">
        <v>187</v>
      </c>
      <c r="AU368" s="19" t="s">
        <v>87</v>
      </c>
    </row>
    <row r="369" spans="1:65" s="2" customFormat="1">
      <c r="A369" s="34"/>
      <c r="B369" s="35"/>
      <c r="C369" s="34"/>
      <c r="D369" s="158" t="s">
        <v>189</v>
      </c>
      <c r="E369" s="34"/>
      <c r="F369" s="159" t="s">
        <v>3016</v>
      </c>
      <c r="G369" s="34"/>
      <c r="H369" s="34"/>
      <c r="I369" s="155"/>
      <c r="J369" s="34"/>
      <c r="K369" s="34"/>
      <c r="L369" s="35"/>
      <c r="M369" s="156"/>
      <c r="N369" s="157"/>
      <c r="O369" s="55"/>
      <c r="P369" s="55"/>
      <c r="Q369" s="55"/>
      <c r="R369" s="55"/>
      <c r="S369" s="55"/>
      <c r="T369" s="56"/>
      <c r="U369" s="34"/>
      <c r="V369" s="34"/>
      <c r="W369" s="34"/>
      <c r="X369" s="34"/>
      <c r="Y369" s="34"/>
      <c r="Z369" s="34"/>
      <c r="AA369" s="34"/>
      <c r="AB369" s="34"/>
      <c r="AC369" s="34"/>
      <c r="AD369" s="34"/>
      <c r="AE369" s="34"/>
      <c r="AT369" s="19" t="s">
        <v>189</v>
      </c>
      <c r="AU369" s="19" t="s">
        <v>87</v>
      </c>
    </row>
    <row r="370" spans="1:65" s="2" customFormat="1" ht="39">
      <c r="A370" s="34"/>
      <c r="B370" s="35"/>
      <c r="C370" s="34"/>
      <c r="D370" s="153" t="s">
        <v>191</v>
      </c>
      <c r="E370" s="34"/>
      <c r="F370" s="160" t="s">
        <v>3017</v>
      </c>
      <c r="G370" s="34"/>
      <c r="H370" s="34"/>
      <c r="I370" s="155"/>
      <c r="J370" s="34"/>
      <c r="K370" s="34"/>
      <c r="L370" s="35"/>
      <c r="M370" s="156"/>
      <c r="N370" s="157"/>
      <c r="O370" s="55"/>
      <c r="P370" s="55"/>
      <c r="Q370" s="55"/>
      <c r="R370" s="55"/>
      <c r="S370" s="55"/>
      <c r="T370" s="56"/>
      <c r="U370" s="34"/>
      <c r="V370" s="34"/>
      <c r="W370" s="34"/>
      <c r="X370" s="34"/>
      <c r="Y370" s="34"/>
      <c r="Z370" s="34"/>
      <c r="AA370" s="34"/>
      <c r="AB370" s="34"/>
      <c r="AC370" s="34"/>
      <c r="AD370" s="34"/>
      <c r="AE370" s="34"/>
      <c r="AT370" s="19" t="s">
        <v>191</v>
      </c>
      <c r="AU370" s="19" t="s">
        <v>87</v>
      </c>
    </row>
    <row r="371" spans="1:65" s="13" customFormat="1">
      <c r="B371" s="161"/>
      <c r="D371" s="153" t="s">
        <v>193</v>
      </c>
      <c r="E371" s="162" t="s">
        <v>3</v>
      </c>
      <c r="F371" s="163" t="s">
        <v>3369</v>
      </c>
      <c r="H371" s="164">
        <v>36.450000000000003</v>
      </c>
      <c r="I371" s="165"/>
      <c r="L371" s="161"/>
      <c r="M371" s="166"/>
      <c r="N371" s="167"/>
      <c r="O371" s="167"/>
      <c r="P371" s="167"/>
      <c r="Q371" s="167"/>
      <c r="R371" s="167"/>
      <c r="S371" s="167"/>
      <c r="T371" s="168"/>
      <c r="AT371" s="162" t="s">
        <v>193</v>
      </c>
      <c r="AU371" s="162" t="s">
        <v>87</v>
      </c>
      <c r="AV371" s="13" t="s">
        <v>87</v>
      </c>
      <c r="AW371" s="13" t="s">
        <v>36</v>
      </c>
      <c r="AX371" s="13" t="s">
        <v>85</v>
      </c>
      <c r="AY371" s="162" t="s">
        <v>177</v>
      </c>
    </row>
    <row r="372" spans="1:65" s="2" customFormat="1" ht="16.5" customHeight="1">
      <c r="A372" s="34"/>
      <c r="B372" s="139"/>
      <c r="C372" s="140" t="s">
        <v>1203</v>
      </c>
      <c r="D372" s="140" t="s">
        <v>180</v>
      </c>
      <c r="E372" s="141" t="s">
        <v>3020</v>
      </c>
      <c r="F372" s="142" t="s">
        <v>3021</v>
      </c>
      <c r="G372" s="143" t="s">
        <v>476</v>
      </c>
      <c r="H372" s="144">
        <v>36.450000000000003</v>
      </c>
      <c r="I372" s="145"/>
      <c r="J372" s="146">
        <f>ROUND(I372*H372,2)</f>
        <v>0</v>
      </c>
      <c r="K372" s="142" t="s">
        <v>184</v>
      </c>
      <c r="L372" s="35"/>
      <c r="M372" s="147" t="s">
        <v>3</v>
      </c>
      <c r="N372" s="148" t="s">
        <v>48</v>
      </c>
      <c r="O372" s="55"/>
      <c r="P372" s="149">
        <f>O372*H372</f>
        <v>0</v>
      </c>
      <c r="Q372" s="149">
        <v>7.5000000000000002E-4</v>
      </c>
      <c r="R372" s="149">
        <f>Q372*H372</f>
        <v>2.7337500000000004E-2</v>
      </c>
      <c r="S372" s="149">
        <v>0</v>
      </c>
      <c r="T372" s="150">
        <f>S372*H372</f>
        <v>0</v>
      </c>
      <c r="U372" s="34"/>
      <c r="V372" s="34"/>
      <c r="W372" s="34"/>
      <c r="X372" s="34"/>
      <c r="Y372" s="34"/>
      <c r="Z372" s="34"/>
      <c r="AA372" s="34"/>
      <c r="AB372" s="34"/>
      <c r="AC372" s="34"/>
      <c r="AD372" s="34"/>
      <c r="AE372" s="34"/>
      <c r="AR372" s="151" t="s">
        <v>237</v>
      </c>
      <c r="AT372" s="151" t="s">
        <v>180</v>
      </c>
      <c r="AU372" s="151" t="s">
        <v>87</v>
      </c>
      <c r="AY372" s="19" t="s">
        <v>177</v>
      </c>
      <c r="BE372" s="152">
        <f>IF(N372="základní",J372,0)</f>
        <v>0</v>
      </c>
      <c r="BF372" s="152">
        <f>IF(N372="snížená",J372,0)</f>
        <v>0</v>
      </c>
      <c r="BG372" s="152">
        <f>IF(N372="zákl. přenesená",J372,0)</f>
        <v>0</v>
      </c>
      <c r="BH372" s="152">
        <f>IF(N372="sníž. přenesená",J372,0)</f>
        <v>0</v>
      </c>
      <c r="BI372" s="152">
        <f>IF(N372="nulová",J372,0)</f>
        <v>0</v>
      </c>
      <c r="BJ372" s="19" t="s">
        <v>85</v>
      </c>
      <c r="BK372" s="152">
        <f>ROUND(I372*H372,2)</f>
        <v>0</v>
      </c>
      <c r="BL372" s="19" t="s">
        <v>237</v>
      </c>
      <c r="BM372" s="151" t="s">
        <v>3370</v>
      </c>
    </row>
    <row r="373" spans="1:65" s="2" customFormat="1">
      <c r="A373" s="34"/>
      <c r="B373" s="35"/>
      <c r="C373" s="34"/>
      <c r="D373" s="153" t="s">
        <v>187</v>
      </c>
      <c r="E373" s="34"/>
      <c r="F373" s="154" t="s">
        <v>3023</v>
      </c>
      <c r="G373" s="34"/>
      <c r="H373" s="34"/>
      <c r="I373" s="155"/>
      <c r="J373" s="34"/>
      <c r="K373" s="34"/>
      <c r="L373" s="35"/>
      <c r="M373" s="156"/>
      <c r="N373" s="157"/>
      <c r="O373" s="55"/>
      <c r="P373" s="55"/>
      <c r="Q373" s="55"/>
      <c r="R373" s="55"/>
      <c r="S373" s="55"/>
      <c r="T373" s="56"/>
      <c r="U373" s="34"/>
      <c r="V373" s="34"/>
      <c r="W373" s="34"/>
      <c r="X373" s="34"/>
      <c r="Y373" s="34"/>
      <c r="Z373" s="34"/>
      <c r="AA373" s="34"/>
      <c r="AB373" s="34"/>
      <c r="AC373" s="34"/>
      <c r="AD373" s="34"/>
      <c r="AE373" s="34"/>
      <c r="AT373" s="19" t="s">
        <v>187</v>
      </c>
      <c r="AU373" s="19" t="s">
        <v>87</v>
      </c>
    </row>
    <row r="374" spans="1:65" s="2" customFormat="1">
      <c r="A374" s="34"/>
      <c r="B374" s="35"/>
      <c r="C374" s="34"/>
      <c r="D374" s="158" t="s">
        <v>189</v>
      </c>
      <c r="E374" s="34"/>
      <c r="F374" s="159" t="s">
        <v>3024</v>
      </c>
      <c r="G374" s="34"/>
      <c r="H374" s="34"/>
      <c r="I374" s="155"/>
      <c r="J374" s="34"/>
      <c r="K374" s="34"/>
      <c r="L374" s="35"/>
      <c r="M374" s="156"/>
      <c r="N374" s="157"/>
      <c r="O374" s="55"/>
      <c r="P374" s="55"/>
      <c r="Q374" s="55"/>
      <c r="R374" s="55"/>
      <c r="S374" s="55"/>
      <c r="T374" s="56"/>
      <c r="U374" s="34"/>
      <c r="V374" s="34"/>
      <c r="W374" s="34"/>
      <c r="X374" s="34"/>
      <c r="Y374" s="34"/>
      <c r="Z374" s="34"/>
      <c r="AA374" s="34"/>
      <c r="AB374" s="34"/>
      <c r="AC374" s="34"/>
      <c r="AD374" s="34"/>
      <c r="AE374" s="34"/>
      <c r="AT374" s="19" t="s">
        <v>189</v>
      </c>
      <c r="AU374" s="19" t="s">
        <v>87</v>
      </c>
    </row>
    <row r="375" spans="1:65" s="2" customFormat="1" ht="39">
      <c r="A375" s="34"/>
      <c r="B375" s="35"/>
      <c r="C375" s="34"/>
      <c r="D375" s="153" t="s">
        <v>191</v>
      </c>
      <c r="E375" s="34"/>
      <c r="F375" s="160" t="s">
        <v>3017</v>
      </c>
      <c r="G375" s="34"/>
      <c r="H375" s="34"/>
      <c r="I375" s="155"/>
      <c r="J375" s="34"/>
      <c r="K375" s="34"/>
      <c r="L375" s="35"/>
      <c r="M375" s="156"/>
      <c r="N375" s="157"/>
      <c r="O375" s="55"/>
      <c r="P375" s="55"/>
      <c r="Q375" s="55"/>
      <c r="R375" s="55"/>
      <c r="S375" s="55"/>
      <c r="T375" s="56"/>
      <c r="U375" s="34"/>
      <c r="V375" s="34"/>
      <c r="W375" s="34"/>
      <c r="X375" s="34"/>
      <c r="Y375" s="34"/>
      <c r="Z375" s="34"/>
      <c r="AA375" s="34"/>
      <c r="AB375" s="34"/>
      <c r="AC375" s="34"/>
      <c r="AD375" s="34"/>
      <c r="AE375" s="34"/>
      <c r="AT375" s="19" t="s">
        <v>191</v>
      </c>
      <c r="AU375" s="19" t="s">
        <v>87</v>
      </c>
    </row>
    <row r="376" spans="1:65" s="2" customFormat="1" ht="16.5" customHeight="1">
      <c r="A376" s="34"/>
      <c r="B376" s="139"/>
      <c r="C376" s="140" t="s">
        <v>1210</v>
      </c>
      <c r="D376" s="140" t="s">
        <v>180</v>
      </c>
      <c r="E376" s="141" t="s">
        <v>3026</v>
      </c>
      <c r="F376" s="142" t="s">
        <v>3027</v>
      </c>
      <c r="G376" s="143" t="s">
        <v>476</v>
      </c>
      <c r="H376" s="144">
        <v>172.36</v>
      </c>
      <c r="I376" s="145"/>
      <c r="J376" s="146">
        <f>ROUND(I376*H376,2)</f>
        <v>0</v>
      </c>
      <c r="K376" s="142" t="s">
        <v>184</v>
      </c>
      <c r="L376" s="35"/>
      <c r="M376" s="147" t="s">
        <v>3</v>
      </c>
      <c r="N376" s="148" t="s">
        <v>48</v>
      </c>
      <c r="O376" s="55"/>
      <c r="P376" s="149">
        <f>O376*H376</f>
        <v>0</v>
      </c>
      <c r="Q376" s="149">
        <v>5.8399999999999999E-4</v>
      </c>
      <c r="R376" s="149">
        <f>Q376*H376</f>
        <v>0.10065824000000001</v>
      </c>
      <c r="S376" s="149">
        <v>0</v>
      </c>
      <c r="T376" s="150">
        <f>S376*H376</f>
        <v>0</v>
      </c>
      <c r="U376" s="34"/>
      <c r="V376" s="34"/>
      <c r="W376" s="34"/>
      <c r="X376" s="34"/>
      <c r="Y376" s="34"/>
      <c r="Z376" s="34"/>
      <c r="AA376" s="34"/>
      <c r="AB376" s="34"/>
      <c r="AC376" s="34"/>
      <c r="AD376" s="34"/>
      <c r="AE376" s="34"/>
      <c r="AR376" s="151" t="s">
        <v>237</v>
      </c>
      <c r="AT376" s="151" t="s">
        <v>180</v>
      </c>
      <c r="AU376" s="151" t="s">
        <v>87</v>
      </c>
      <c r="AY376" s="19" t="s">
        <v>177</v>
      </c>
      <c r="BE376" s="152">
        <f>IF(N376="základní",J376,0)</f>
        <v>0</v>
      </c>
      <c r="BF376" s="152">
        <f>IF(N376="snížená",J376,0)</f>
        <v>0</v>
      </c>
      <c r="BG376" s="152">
        <f>IF(N376="zákl. přenesená",J376,0)</f>
        <v>0</v>
      </c>
      <c r="BH376" s="152">
        <f>IF(N376="sníž. přenesená",J376,0)</f>
        <v>0</v>
      </c>
      <c r="BI376" s="152">
        <f>IF(N376="nulová",J376,0)</f>
        <v>0</v>
      </c>
      <c r="BJ376" s="19" t="s">
        <v>85</v>
      </c>
      <c r="BK376" s="152">
        <f>ROUND(I376*H376,2)</f>
        <v>0</v>
      </c>
      <c r="BL376" s="19" t="s">
        <v>237</v>
      </c>
      <c r="BM376" s="151" t="s">
        <v>3371</v>
      </c>
    </row>
    <row r="377" spans="1:65" s="2" customFormat="1">
      <c r="A377" s="34"/>
      <c r="B377" s="35"/>
      <c r="C377" s="34"/>
      <c r="D377" s="153" t="s">
        <v>187</v>
      </c>
      <c r="E377" s="34"/>
      <c r="F377" s="154" t="s">
        <v>3029</v>
      </c>
      <c r="G377" s="34"/>
      <c r="H377" s="34"/>
      <c r="I377" s="155"/>
      <c r="J377" s="34"/>
      <c r="K377" s="34"/>
      <c r="L377" s="35"/>
      <c r="M377" s="156"/>
      <c r="N377" s="157"/>
      <c r="O377" s="55"/>
      <c r="P377" s="55"/>
      <c r="Q377" s="55"/>
      <c r="R377" s="55"/>
      <c r="S377" s="55"/>
      <c r="T377" s="56"/>
      <c r="U377" s="34"/>
      <c r="V377" s="34"/>
      <c r="W377" s="34"/>
      <c r="X377" s="34"/>
      <c r="Y377" s="34"/>
      <c r="Z377" s="34"/>
      <c r="AA377" s="34"/>
      <c r="AB377" s="34"/>
      <c r="AC377" s="34"/>
      <c r="AD377" s="34"/>
      <c r="AE377" s="34"/>
      <c r="AT377" s="19" t="s">
        <v>187</v>
      </c>
      <c r="AU377" s="19" t="s">
        <v>87</v>
      </c>
    </row>
    <row r="378" spans="1:65" s="2" customFormat="1">
      <c r="A378" s="34"/>
      <c r="B378" s="35"/>
      <c r="C378" s="34"/>
      <c r="D378" s="158" t="s">
        <v>189</v>
      </c>
      <c r="E378" s="34"/>
      <c r="F378" s="159" t="s">
        <v>3030</v>
      </c>
      <c r="G378" s="34"/>
      <c r="H378" s="34"/>
      <c r="I378" s="155"/>
      <c r="J378" s="34"/>
      <c r="K378" s="34"/>
      <c r="L378" s="35"/>
      <c r="M378" s="156"/>
      <c r="N378" s="157"/>
      <c r="O378" s="55"/>
      <c r="P378" s="55"/>
      <c r="Q378" s="55"/>
      <c r="R378" s="55"/>
      <c r="S378" s="55"/>
      <c r="T378" s="56"/>
      <c r="U378" s="34"/>
      <c r="V378" s="34"/>
      <c r="W378" s="34"/>
      <c r="X378" s="34"/>
      <c r="Y378" s="34"/>
      <c r="Z378" s="34"/>
      <c r="AA378" s="34"/>
      <c r="AB378" s="34"/>
      <c r="AC378" s="34"/>
      <c r="AD378" s="34"/>
      <c r="AE378" s="34"/>
      <c r="AT378" s="19" t="s">
        <v>189</v>
      </c>
      <c r="AU378" s="19" t="s">
        <v>87</v>
      </c>
    </row>
    <row r="379" spans="1:65" s="13" customFormat="1">
      <c r="B379" s="161"/>
      <c r="D379" s="153" t="s">
        <v>193</v>
      </c>
      <c r="E379" s="162" t="s">
        <v>3</v>
      </c>
      <c r="F379" s="163" t="s">
        <v>3372</v>
      </c>
      <c r="H379" s="164">
        <v>30.84</v>
      </c>
      <c r="I379" s="165"/>
      <c r="L379" s="161"/>
      <c r="M379" s="166"/>
      <c r="N379" s="167"/>
      <c r="O379" s="167"/>
      <c r="P379" s="167"/>
      <c r="Q379" s="167"/>
      <c r="R379" s="167"/>
      <c r="S379" s="167"/>
      <c r="T379" s="168"/>
      <c r="AT379" s="162" t="s">
        <v>193</v>
      </c>
      <c r="AU379" s="162" t="s">
        <v>87</v>
      </c>
      <c r="AV379" s="13" t="s">
        <v>87</v>
      </c>
      <c r="AW379" s="13" t="s">
        <v>36</v>
      </c>
      <c r="AX379" s="13" t="s">
        <v>77</v>
      </c>
      <c r="AY379" s="162" t="s">
        <v>177</v>
      </c>
    </row>
    <row r="380" spans="1:65" s="13" customFormat="1">
      <c r="B380" s="161"/>
      <c r="D380" s="153" t="s">
        <v>193</v>
      </c>
      <c r="E380" s="162" t="s">
        <v>3</v>
      </c>
      <c r="F380" s="163" t="s">
        <v>3373</v>
      </c>
      <c r="H380" s="164">
        <v>15.34</v>
      </c>
      <c r="I380" s="165"/>
      <c r="L380" s="161"/>
      <c r="M380" s="166"/>
      <c r="N380" s="167"/>
      <c r="O380" s="167"/>
      <c r="P380" s="167"/>
      <c r="Q380" s="167"/>
      <c r="R380" s="167"/>
      <c r="S380" s="167"/>
      <c r="T380" s="168"/>
      <c r="AT380" s="162" t="s">
        <v>193</v>
      </c>
      <c r="AU380" s="162" t="s">
        <v>87</v>
      </c>
      <c r="AV380" s="13" t="s">
        <v>87</v>
      </c>
      <c r="AW380" s="13" t="s">
        <v>36</v>
      </c>
      <c r="AX380" s="13" t="s">
        <v>77</v>
      </c>
      <c r="AY380" s="162" t="s">
        <v>177</v>
      </c>
    </row>
    <row r="381" spans="1:65" s="13" customFormat="1">
      <c r="B381" s="161"/>
      <c r="D381" s="153" t="s">
        <v>193</v>
      </c>
      <c r="E381" s="162" t="s">
        <v>3</v>
      </c>
      <c r="F381" s="163" t="s">
        <v>3374</v>
      </c>
      <c r="H381" s="164">
        <v>11.21</v>
      </c>
      <c r="I381" s="165"/>
      <c r="L381" s="161"/>
      <c r="M381" s="166"/>
      <c r="N381" s="167"/>
      <c r="O381" s="167"/>
      <c r="P381" s="167"/>
      <c r="Q381" s="167"/>
      <c r="R381" s="167"/>
      <c r="S381" s="167"/>
      <c r="T381" s="168"/>
      <c r="AT381" s="162" t="s">
        <v>193</v>
      </c>
      <c r="AU381" s="162" t="s">
        <v>87</v>
      </c>
      <c r="AV381" s="13" t="s">
        <v>87</v>
      </c>
      <c r="AW381" s="13" t="s">
        <v>36</v>
      </c>
      <c r="AX381" s="13" t="s">
        <v>77</v>
      </c>
      <c r="AY381" s="162" t="s">
        <v>177</v>
      </c>
    </row>
    <row r="382" spans="1:65" s="13" customFormat="1">
      <c r="B382" s="161"/>
      <c r="D382" s="153" t="s">
        <v>193</v>
      </c>
      <c r="E382" s="162" t="s">
        <v>3</v>
      </c>
      <c r="F382" s="163" t="s">
        <v>3375</v>
      </c>
      <c r="H382" s="164">
        <v>8.25</v>
      </c>
      <c r="I382" s="165"/>
      <c r="L382" s="161"/>
      <c r="M382" s="166"/>
      <c r="N382" s="167"/>
      <c r="O382" s="167"/>
      <c r="P382" s="167"/>
      <c r="Q382" s="167"/>
      <c r="R382" s="167"/>
      <c r="S382" s="167"/>
      <c r="T382" s="168"/>
      <c r="AT382" s="162" t="s">
        <v>193</v>
      </c>
      <c r="AU382" s="162" t="s">
        <v>87</v>
      </c>
      <c r="AV382" s="13" t="s">
        <v>87</v>
      </c>
      <c r="AW382" s="13" t="s">
        <v>36</v>
      </c>
      <c r="AX382" s="13" t="s">
        <v>77</v>
      </c>
      <c r="AY382" s="162" t="s">
        <v>177</v>
      </c>
    </row>
    <row r="383" spans="1:65" s="13" customFormat="1">
      <c r="B383" s="161"/>
      <c r="D383" s="153" t="s">
        <v>193</v>
      </c>
      <c r="E383" s="162" t="s">
        <v>3</v>
      </c>
      <c r="F383" s="163" t="s">
        <v>3376</v>
      </c>
      <c r="H383" s="164">
        <v>9.5500000000000007</v>
      </c>
      <c r="I383" s="165"/>
      <c r="L383" s="161"/>
      <c r="M383" s="166"/>
      <c r="N383" s="167"/>
      <c r="O383" s="167"/>
      <c r="P383" s="167"/>
      <c r="Q383" s="167"/>
      <c r="R383" s="167"/>
      <c r="S383" s="167"/>
      <c r="T383" s="168"/>
      <c r="AT383" s="162" t="s">
        <v>193</v>
      </c>
      <c r="AU383" s="162" t="s">
        <v>87</v>
      </c>
      <c r="AV383" s="13" t="s">
        <v>87</v>
      </c>
      <c r="AW383" s="13" t="s">
        <v>36</v>
      </c>
      <c r="AX383" s="13" t="s">
        <v>77</v>
      </c>
      <c r="AY383" s="162" t="s">
        <v>177</v>
      </c>
    </row>
    <row r="384" spans="1:65" s="13" customFormat="1">
      <c r="B384" s="161"/>
      <c r="D384" s="153" t="s">
        <v>193</v>
      </c>
      <c r="E384" s="162" t="s">
        <v>3</v>
      </c>
      <c r="F384" s="163" t="s">
        <v>3377</v>
      </c>
      <c r="H384" s="164">
        <v>7</v>
      </c>
      <c r="I384" s="165"/>
      <c r="L384" s="161"/>
      <c r="M384" s="166"/>
      <c r="N384" s="167"/>
      <c r="O384" s="167"/>
      <c r="P384" s="167"/>
      <c r="Q384" s="167"/>
      <c r="R384" s="167"/>
      <c r="S384" s="167"/>
      <c r="T384" s="168"/>
      <c r="AT384" s="162" t="s">
        <v>193</v>
      </c>
      <c r="AU384" s="162" t="s">
        <v>87</v>
      </c>
      <c r="AV384" s="13" t="s">
        <v>87</v>
      </c>
      <c r="AW384" s="13" t="s">
        <v>36</v>
      </c>
      <c r="AX384" s="13" t="s">
        <v>77</v>
      </c>
      <c r="AY384" s="162" t="s">
        <v>177</v>
      </c>
    </row>
    <row r="385" spans="1:65" s="13" customFormat="1">
      <c r="B385" s="161"/>
      <c r="D385" s="153" t="s">
        <v>193</v>
      </c>
      <c r="E385" s="162" t="s">
        <v>3</v>
      </c>
      <c r="F385" s="163" t="s">
        <v>3378</v>
      </c>
      <c r="H385" s="164">
        <v>5.52</v>
      </c>
      <c r="I385" s="165"/>
      <c r="L385" s="161"/>
      <c r="M385" s="166"/>
      <c r="N385" s="167"/>
      <c r="O385" s="167"/>
      <c r="P385" s="167"/>
      <c r="Q385" s="167"/>
      <c r="R385" s="167"/>
      <c r="S385" s="167"/>
      <c r="T385" s="168"/>
      <c r="AT385" s="162" t="s">
        <v>193</v>
      </c>
      <c r="AU385" s="162" t="s">
        <v>87</v>
      </c>
      <c r="AV385" s="13" t="s">
        <v>87</v>
      </c>
      <c r="AW385" s="13" t="s">
        <v>36</v>
      </c>
      <c r="AX385" s="13" t="s">
        <v>77</v>
      </c>
      <c r="AY385" s="162" t="s">
        <v>177</v>
      </c>
    </row>
    <row r="386" spans="1:65" s="13" customFormat="1">
      <c r="B386" s="161"/>
      <c r="D386" s="153" t="s">
        <v>193</v>
      </c>
      <c r="E386" s="162" t="s">
        <v>3</v>
      </c>
      <c r="F386" s="163" t="s">
        <v>3379</v>
      </c>
      <c r="H386" s="164">
        <v>8.3699999999999992</v>
      </c>
      <c r="I386" s="165"/>
      <c r="L386" s="161"/>
      <c r="M386" s="166"/>
      <c r="N386" s="167"/>
      <c r="O386" s="167"/>
      <c r="P386" s="167"/>
      <c r="Q386" s="167"/>
      <c r="R386" s="167"/>
      <c r="S386" s="167"/>
      <c r="T386" s="168"/>
      <c r="AT386" s="162" t="s">
        <v>193</v>
      </c>
      <c r="AU386" s="162" t="s">
        <v>87</v>
      </c>
      <c r="AV386" s="13" t="s">
        <v>87</v>
      </c>
      <c r="AW386" s="13" t="s">
        <v>36</v>
      </c>
      <c r="AX386" s="13" t="s">
        <v>77</v>
      </c>
      <c r="AY386" s="162" t="s">
        <v>177</v>
      </c>
    </row>
    <row r="387" spans="1:65" s="13" customFormat="1">
      <c r="B387" s="161"/>
      <c r="D387" s="153" t="s">
        <v>193</v>
      </c>
      <c r="E387" s="162" t="s">
        <v>3</v>
      </c>
      <c r="F387" s="163" t="s">
        <v>3380</v>
      </c>
      <c r="H387" s="164">
        <v>8.67</v>
      </c>
      <c r="I387" s="165"/>
      <c r="L387" s="161"/>
      <c r="M387" s="166"/>
      <c r="N387" s="167"/>
      <c r="O387" s="167"/>
      <c r="P387" s="167"/>
      <c r="Q387" s="167"/>
      <c r="R387" s="167"/>
      <c r="S387" s="167"/>
      <c r="T387" s="168"/>
      <c r="AT387" s="162" t="s">
        <v>193</v>
      </c>
      <c r="AU387" s="162" t="s">
        <v>87</v>
      </c>
      <c r="AV387" s="13" t="s">
        <v>87</v>
      </c>
      <c r="AW387" s="13" t="s">
        <v>36</v>
      </c>
      <c r="AX387" s="13" t="s">
        <v>77</v>
      </c>
      <c r="AY387" s="162" t="s">
        <v>177</v>
      </c>
    </row>
    <row r="388" spans="1:65" s="15" customFormat="1">
      <c r="B388" s="176"/>
      <c r="D388" s="153" t="s">
        <v>193</v>
      </c>
      <c r="E388" s="177" t="s">
        <v>3</v>
      </c>
      <c r="F388" s="178" t="s">
        <v>197</v>
      </c>
      <c r="H388" s="179">
        <v>104.75</v>
      </c>
      <c r="I388" s="180"/>
      <c r="L388" s="176"/>
      <c r="M388" s="181"/>
      <c r="N388" s="182"/>
      <c r="O388" s="182"/>
      <c r="P388" s="182"/>
      <c r="Q388" s="182"/>
      <c r="R388" s="182"/>
      <c r="S388" s="182"/>
      <c r="T388" s="183"/>
      <c r="AT388" s="177" t="s">
        <v>193</v>
      </c>
      <c r="AU388" s="177" t="s">
        <v>87</v>
      </c>
      <c r="AV388" s="15" t="s">
        <v>198</v>
      </c>
      <c r="AW388" s="15" t="s">
        <v>36</v>
      </c>
      <c r="AX388" s="15" t="s">
        <v>77</v>
      </c>
      <c r="AY388" s="177" t="s">
        <v>177</v>
      </c>
    </row>
    <row r="389" spans="1:65" s="13" customFormat="1">
      <c r="B389" s="161"/>
      <c r="D389" s="153" t="s">
        <v>193</v>
      </c>
      <c r="E389" s="162" t="s">
        <v>3</v>
      </c>
      <c r="F389" s="163" t="s">
        <v>3374</v>
      </c>
      <c r="H389" s="164">
        <v>11.21</v>
      </c>
      <c r="I389" s="165"/>
      <c r="L389" s="161"/>
      <c r="M389" s="166"/>
      <c r="N389" s="167"/>
      <c r="O389" s="167"/>
      <c r="P389" s="167"/>
      <c r="Q389" s="167"/>
      <c r="R389" s="167"/>
      <c r="S389" s="167"/>
      <c r="T389" s="168"/>
      <c r="AT389" s="162" t="s">
        <v>193</v>
      </c>
      <c r="AU389" s="162" t="s">
        <v>87</v>
      </c>
      <c r="AV389" s="13" t="s">
        <v>87</v>
      </c>
      <c r="AW389" s="13" t="s">
        <v>36</v>
      </c>
      <c r="AX389" s="13" t="s">
        <v>77</v>
      </c>
      <c r="AY389" s="162" t="s">
        <v>177</v>
      </c>
    </row>
    <row r="390" spans="1:65" s="13" customFormat="1">
      <c r="B390" s="161"/>
      <c r="D390" s="153" t="s">
        <v>193</v>
      </c>
      <c r="E390" s="162" t="s">
        <v>3</v>
      </c>
      <c r="F390" s="163" t="s">
        <v>3381</v>
      </c>
      <c r="H390" s="164">
        <v>8.9499999999999993</v>
      </c>
      <c r="I390" s="165"/>
      <c r="L390" s="161"/>
      <c r="M390" s="166"/>
      <c r="N390" s="167"/>
      <c r="O390" s="167"/>
      <c r="P390" s="167"/>
      <c r="Q390" s="167"/>
      <c r="R390" s="167"/>
      <c r="S390" s="167"/>
      <c r="T390" s="168"/>
      <c r="AT390" s="162" t="s">
        <v>193</v>
      </c>
      <c r="AU390" s="162" t="s">
        <v>87</v>
      </c>
      <c r="AV390" s="13" t="s">
        <v>87</v>
      </c>
      <c r="AW390" s="13" t="s">
        <v>36</v>
      </c>
      <c r="AX390" s="13" t="s">
        <v>77</v>
      </c>
      <c r="AY390" s="162" t="s">
        <v>177</v>
      </c>
    </row>
    <row r="391" spans="1:65" s="13" customFormat="1">
      <c r="B391" s="161"/>
      <c r="D391" s="153" t="s">
        <v>193</v>
      </c>
      <c r="E391" s="162" t="s">
        <v>3</v>
      </c>
      <c r="F391" s="163" t="s">
        <v>3382</v>
      </c>
      <c r="H391" s="164">
        <v>9.4499999999999993</v>
      </c>
      <c r="I391" s="165"/>
      <c r="L391" s="161"/>
      <c r="M391" s="166"/>
      <c r="N391" s="167"/>
      <c r="O391" s="167"/>
      <c r="P391" s="167"/>
      <c r="Q391" s="167"/>
      <c r="R391" s="167"/>
      <c r="S391" s="167"/>
      <c r="T391" s="168"/>
      <c r="AT391" s="162" t="s">
        <v>193</v>
      </c>
      <c r="AU391" s="162" t="s">
        <v>87</v>
      </c>
      <c r="AV391" s="13" t="s">
        <v>87</v>
      </c>
      <c r="AW391" s="13" t="s">
        <v>36</v>
      </c>
      <c r="AX391" s="13" t="s">
        <v>77</v>
      </c>
      <c r="AY391" s="162" t="s">
        <v>177</v>
      </c>
    </row>
    <row r="392" spans="1:65" s="13" customFormat="1">
      <c r="B392" s="161"/>
      <c r="D392" s="153" t="s">
        <v>193</v>
      </c>
      <c r="E392" s="162" t="s">
        <v>3</v>
      </c>
      <c r="F392" s="163" t="s">
        <v>3383</v>
      </c>
      <c r="H392" s="164">
        <v>5.9</v>
      </c>
      <c r="I392" s="165"/>
      <c r="L392" s="161"/>
      <c r="M392" s="166"/>
      <c r="N392" s="167"/>
      <c r="O392" s="167"/>
      <c r="P392" s="167"/>
      <c r="Q392" s="167"/>
      <c r="R392" s="167"/>
      <c r="S392" s="167"/>
      <c r="T392" s="168"/>
      <c r="AT392" s="162" t="s">
        <v>193</v>
      </c>
      <c r="AU392" s="162" t="s">
        <v>87</v>
      </c>
      <c r="AV392" s="13" t="s">
        <v>87</v>
      </c>
      <c r="AW392" s="13" t="s">
        <v>36</v>
      </c>
      <c r="AX392" s="13" t="s">
        <v>77</v>
      </c>
      <c r="AY392" s="162" t="s">
        <v>177</v>
      </c>
    </row>
    <row r="393" spans="1:65" s="13" customFormat="1">
      <c r="B393" s="161"/>
      <c r="D393" s="153" t="s">
        <v>193</v>
      </c>
      <c r="E393" s="162" t="s">
        <v>3</v>
      </c>
      <c r="F393" s="163" t="s">
        <v>3384</v>
      </c>
      <c r="H393" s="164">
        <v>32.1</v>
      </c>
      <c r="I393" s="165"/>
      <c r="L393" s="161"/>
      <c r="M393" s="166"/>
      <c r="N393" s="167"/>
      <c r="O393" s="167"/>
      <c r="P393" s="167"/>
      <c r="Q393" s="167"/>
      <c r="R393" s="167"/>
      <c r="S393" s="167"/>
      <c r="T393" s="168"/>
      <c r="AT393" s="162" t="s">
        <v>193</v>
      </c>
      <c r="AU393" s="162" t="s">
        <v>87</v>
      </c>
      <c r="AV393" s="13" t="s">
        <v>87</v>
      </c>
      <c r="AW393" s="13" t="s">
        <v>36</v>
      </c>
      <c r="AX393" s="13" t="s">
        <v>77</v>
      </c>
      <c r="AY393" s="162" t="s">
        <v>177</v>
      </c>
    </row>
    <row r="394" spans="1:65" s="15" customFormat="1">
      <c r="B394" s="176"/>
      <c r="D394" s="153" t="s">
        <v>193</v>
      </c>
      <c r="E394" s="177" t="s">
        <v>3</v>
      </c>
      <c r="F394" s="178" t="s">
        <v>197</v>
      </c>
      <c r="H394" s="179">
        <v>67.61</v>
      </c>
      <c r="I394" s="180"/>
      <c r="L394" s="176"/>
      <c r="M394" s="181"/>
      <c r="N394" s="182"/>
      <c r="O394" s="182"/>
      <c r="P394" s="182"/>
      <c r="Q394" s="182"/>
      <c r="R394" s="182"/>
      <c r="S394" s="182"/>
      <c r="T394" s="183"/>
      <c r="AT394" s="177" t="s">
        <v>193</v>
      </c>
      <c r="AU394" s="177" t="s">
        <v>87</v>
      </c>
      <c r="AV394" s="15" t="s">
        <v>198</v>
      </c>
      <c r="AW394" s="15" t="s">
        <v>36</v>
      </c>
      <c r="AX394" s="15" t="s">
        <v>77</v>
      </c>
      <c r="AY394" s="177" t="s">
        <v>177</v>
      </c>
    </row>
    <row r="395" spans="1:65" s="16" customFormat="1">
      <c r="B395" s="184"/>
      <c r="D395" s="153" t="s">
        <v>193</v>
      </c>
      <c r="E395" s="185" t="s">
        <v>3</v>
      </c>
      <c r="F395" s="186" t="s">
        <v>201</v>
      </c>
      <c r="H395" s="187">
        <v>172.36</v>
      </c>
      <c r="I395" s="188"/>
      <c r="L395" s="184"/>
      <c r="M395" s="189"/>
      <c r="N395" s="190"/>
      <c r="O395" s="190"/>
      <c r="P395" s="190"/>
      <c r="Q395" s="190"/>
      <c r="R395" s="190"/>
      <c r="S395" s="190"/>
      <c r="T395" s="191"/>
      <c r="AT395" s="185" t="s">
        <v>193</v>
      </c>
      <c r="AU395" s="185" t="s">
        <v>87</v>
      </c>
      <c r="AV395" s="16" t="s">
        <v>185</v>
      </c>
      <c r="AW395" s="16" t="s">
        <v>36</v>
      </c>
      <c r="AX395" s="16" t="s">
        <v>85</v>
      </c>
      <c r="AY395" s="185" t="s">
        <v>177</v>
      </c>
    </row>
    <row r="396" spans="1:65" s="2" customFormat="1" ht="16.5" customHeight="1">
      <c r="A396" s="34"/>
      <c r="B396" s="139"/>
      <c r="C396" s="195" t="s">
        <v>1216</v>
      </c>
      <c r="D396" s="195" t="s">
        <v>484</v>
      </c>
      <c r="E396" s="196" t="s">
        <v>3032</v>
      </c>
      <c r="F396" s="197" t="s">
        <v>3033</v>
      </c>
      <c r="G396" s="198" t="s">
        <v>236</v>
      </c>
      <c r="H396" s="199">
        <v>574.53300000000002</v>
      </c>
      <c r="I396" s="200"/>
      <c r="J396" s="201">
        <f>ROUND(I396*H396,2)</f>
        <v>0</v>
      </c>
      <c r="K396" s="197" t="s">
        <v>184</v>
      </c>
      <c r="L396" s="202"/>
      <c r="M396" s="203" t="s">
        <v>3</v>
      </c>
      <c r="N396" s="204" t="s">
        <v>48</v>
      </c>
      <c r="O396" s="55"/>
      <c r="P396" s="149">
        <f>O396*H396</f>
        <v>0</v>
      </c>
      <c r="Q396" s="149">
        <v>4.6999999999999999E-4</v>
      </c>
      <c r="R396" s="149">
        <f>Q396*H396</f>
        <v>0.27003051</v>
      </c>
      <c r="S396" s="149">
        <v>0</v>
      </c>
      <c r="T396" s="150">
        <f>S396*H396</f>
        <v>0</v>
      </c>
      <c r="U396" s="34"/>
      <c r="V396" s="34"/>
      <c r="W396" s="34"/>
      <c r="X396" s="34"/>
      <c r="Y396" s="34"/>
      <c r="Z396" s="34"/>
      <c r="AA396" s="34"/>
      <c r="AB396" s="34"/>
      <c r="AC396" s="34"/>
      <c r="AD396" s="34"/>
      <c r="AE396" s="34"/>
      <c r="AR396" s="151" t="s">
        <v>537</v>
      </c>
      <c r="AT396" s="151" t="s">
        <v>484</v>
      </c>
      <c r="AU396" s="151" t="s">
        <v>87</v>
      </c>
      <c r="AY396" s="19" t="s">
        <v>177</v>
      </c>
      <c r="BE396" s="152">
        <f>IF(N396="základní",J396,0)</f>
        <v>0</v>
      </c>
      <c r="BF396" s="152">
        <f>IF(N396="snížená",J396,0)</f>
        <v>0</v>
      </c>
      <c r="BG396" s="152">
        <f>IF(N396="zákl. přenesená",J396,0)</f>
        <v>0</v>
      </c>
      <c r="BH396" s="152">
        <f>IF(N396="sníž. přenesená",J396,0)</f>
        <v>0</v>
      </c>
      <c r="BI396" s="152">
        <f>IF(N396="nulová",J396,0)</f>
        <v>0</v>
      </c>
      <c r="BJ396" s="19" t="s">
        <v>85</v>
      </c>
      <c r="BK396" s="152">
        <f>ROUND(I396*H396,2)</f>
        <v>0</v>
      </c>
      <c r="BL396" s="19" t="s">
        <v>237</v>
      </c>
      <c r="BM396" s="151" t="s">
        <v>3385</v>
      </c>
    </row>
    <row r="397" spans="1:65" s="2" customFormat="1">
      <c r="A397" s="34"/>
      <c r="B397" s="35"/>
      <c r="C397" s="34"/>
      <c r="D397" s="153" t="s">
        <v>187</v>
      </c>
      <c r="E397" s="34"/>
      <c r="F397" s="154" t="s">
        <v>3033</v>
      </c>
      <c r="G397" s="34"/>
      <c r="H397" s="34"/>
      <c r="I397" s="155"/>
      <c r="J397" s="34"/>
      <c r="K397" s="34"/>
      <c r="L397" s="35"/>
      <c r="M397" s="156"/>
      <c r="N397" s="157"/>
      <c r="O397" s="55"/>
      <c r="P397" s="55"/>
      <c r="Q397" s="55"/>
      <c r="R397" s="55"/>
      <c r="S397" s="55"/>
      <c r="T397" s="56"/>
      <c r="U397" s="34"/>
      <c r="V397" s="34"/>
      <c r="W397" s="34"/>
      <c r="X397" s="34"/>
      <c r="Y397" s="34"/>
      <c r="Z397" s="34"/>
      <c r="AA397" s="34"/>
      <c r="AB397" s="34"/>
      <c r="AC397" s="34"/>
      <c r="AD397" s="34"/>
      <c r="AE397" s="34"/>
      <c r="AT397" s="19" t="s">
        <v>187</v>
      </c>
      <c r="AU397" s="19" t="s">
        <v>87</v>
      </c>
    </row>
    <row r="398" spans="1:65" s="13" customFormat="1">
      <c r="B398" s="161"/>
      <c r="D398" s="153" t="s">
        <v>193</v>
      </c>
      <c r="E398" s="162" t="s">
        <v>3</v>
      </c>
      <c r="F398" s="163" t="s">
        <v>3386</v>
      </c>
      <c r="H398" s="164">
        <v>522.303</v>
      </c>
      <c r="I398" s="165"/>
      <c r="L398" s="161"/>
      <c r="M398" s="166"/>
      <c r="N398" s="167"/>
      <c r="O398" s="167"/>
      <c r="P398" s="167"/>
      <c r="Q398" s="167"/>
      <c r="R398" s="167"/>
      <c r="S398" s="167"/>
      <c r="T398" s="168"/>
      <c r="AT398" s="162" t="s">
        <v>193</v>
      </c>
      <c r="AU398" s="162" t="s">
        <v>87</v>
      </c>
      <c r="AV398" s="13" t="s">
        <v>87</v>
      </c>
      <c r="AW398" s="13" t="s">
        <v>36</v>
      </c>
      <c r="AX398" s="13" t="s">
        <v>85</v>
      </c>
      <c r="AY398" s="162" t="s">
        <v>177</v>
      </c>
    </row>
    <row r="399" spans="1:65" s="13" customFormat="1">
      <c r="B399" s="161"/>
      <c r="D399" s="153" t="s">
        <v>193</v>
      </c>
      <c r="F399" s="163" t="s">
        <v>3387</v>
      </c>
      <c r="H399" s="164">
        <v>574.53300000000002</v>
      </c>
      <c r="I399" s="165"/>
      <c r="L399" s="161"/>
      <c r="M399" s="166"/>
      <c r="N399" s="167"/>
      <c r="O399" s="167"/>
      <c r="P399" s="167"/>
      <c r="Q399" s="167"/>
      <c r="R399" s="167"/>
      <c r="S399" s="167"/>
      <c r="T399" s="168"/>
      <c r="AT399" s="162" t="s">
        <v>193</v>
      </c>
      <c r="AU399" s="162" t="s">
        <v>87</v>
      </c>
      <c r="AV399" s="13" t="s">
        <v>87</v>
      </c>
      <c r="AW399" s="13" t="s">
        <v>4</v>
      </c>
      <c r="AX399" s="13" t="s">
        <v>85</v>
      </c>
      <c r="AY399" s="162" t="s">
        <v>177</v>
      </c>
    </row>
    <row r="400" spans="1:65" s="2" customFormat="1" ht="21.75" customHeight="1">
      <c r="A400" s="34"/>
      <c r="B400" s="139"/>
      <c r="C400" s="140" t="s">
        <v>1224</v>
      </c>
      <c r="D400" s="140" t="s">
        <v>180</v>
      </c>
      <c r="E400" s="141" t="s">
        <v>3388</v>
      </c>
      <c r="F400" s="142" t="s">
        <v>3389</v>
      </c>
      <c r="G400" s="143" t="s">
        <v>332</v>
      </c>
      <c r="H400" s="144">
        <v>149.69999999999999</v>
      </c>
      <c r="I400" s="145"/>
      <c r="J400" s="146">
        <f>ROUND(I400*H400,2)</f>
        <v>0</v>
      </c>
      <c r="K400" s="142" t="s">
        <v>184</v>
      </c>
      <c r="L400" s="35"/>
      <c r="M400" s="147" t="s">
        <v>3</v>
      </c>
      <c r="N400" s="148" t="s">
        <v>48</v>
      </c>
      <c r="O400" s="55"/>
      <c r="P400" s="149">
        <f>O400*H400</f>
        <v>0</v>
      </c>
      <c r="Q400" s="149">
        <v>8.2199999999999999E-3</v>
      </c>
      <c r="R400" s="149">
        <f>Q400*H400</f>
        <v>1.2305339999999998</v>
      </c>
      <c r="S400" s="149">
        <v>0</v>
      </c>
      <c r="T400" s="150">
        <f>S400*H400</f>
        <v>0</v>
      </c>
      <c r="U400" s="34"/>
      <c r="V400" s="34"/>
      <c r="W400" s="34"/>
      <c r="X400" s="34"/>
      <c r="Y400" s="34"/>
      <c r="Z400" s="34"/>
      <c r="AA400" s="34"/>
      <c r="AB400" s="34"/>
      <c r="AC400" s="34"/>
      <c r="AD400" s="34"/>
      <c r="AE400" s="34"/>
      <c r="AR400" s="151" t="s">
        <v>237</v>
      </c>
      <c r="AT400" s="151" t="s">
        <v>180</v>
      </c>
      <c r="AU400" s="151" t="s">
        <v>87</v>
      </c>
      <c r="AY400" s="19" t="s">
        <v>177</v>
      </c>
      <c r="BE400" s="152">
        <f>IF(N400="základní",J400,0)</f>
        <v>0</v>
      </c>
      <c r="BF400" s="152">
        <f>IF(N400="snížená",J400,0)</f>
        <v>0</v>
      </c>
      <c r="BG400" s="152">
        <f>IF(N400="zákl. přenesená",J400,0)</f>
        <v>0</v>
      </c>
      <c r="BH400" s="152">
        <f>IF(N400="sníž. přenesená",J400,0)</f>
        <v>0</v>
      </c>
      <c r="BI400" s="152">
        <f>IF(N400="nulová",J400,0)</f>
        <v>0</v>
      </c>
      <c r="BJ400" s="19" t="s">
        <v>85</v>
      </c>
      <c r="BK400" s="152">
        <f>ROUND(I400*H400,2)</f>
        <v>0</v>
      </c>
      <c r="BL400" s="19" t="s">
        <v>237</v>
      </c>
      <c r="BM400" s="151" t="s">
        <v>3390</v>
      </c>
    </row>
    <row r="401" spans="1:65" s="2" customFormat="1" ht="19.5">
      <c r="A401" s="34"/>
      <c r="B401" s="35"/>
      <c r="C401" s="34"/>
      <c r="D401" s="153" t="s">
        <v>187</v>
      </c>
      <c r="E401" s="34"/>
      <c r="F401" s="154" t="s">
        <v>3391</v>
      </c>
      <c r="G401" s="34"/>
      <c r="H401" s="34"/>
      <c r="I401" s="155"/>
      <c r="J401" s="34"/>
      <c r="K401" s="34"/>
      <c r="L401" s="35"/>
      <c r="M401" s="156"/>
      <c r="N401" s="157"/>
      <c r="O401" s="55"/>
      <c r="P401" s="55"/>
      <c r="Q401" s="55"/>
      <c r="R401" s="55"/>
      <c r="S401" s="55"/>
      <c r="T401" s="56"/>
      <c r="U401" s="34"/>
      <c r="V401" s="34"/>
      <c r="W401" s="34"/>
      <c r="X401" s="34"/>
      <c r="Y401" s="34"/>
      <c r="Z401" s="34"/>
      <c r="AA401" s="34"/>
      <c r="AB401" s="34"/>
      <c r="AC401" s="34"/>
      <c r="AD401" s="34"/>
      <c r="AE401" s="34"/>
      <c r="AT401" s="19" t="s">
        <v>187</v>
      </c>
      <c r="AU401" s="19" t="s">
        <v>87</v>
      </c>
    </row>
    <row r="402" spans="1:65" s="2" customFormat="1">
      <c r="A402" s="34"/>
      <c r="B402" s="35"/>
      <c r="C402" s="34"/>
      <c r="D402" s="158" t="s">
        <v>189</v>
      </c>
      <c r="E402" s="34"/>
      <c r="F402" s="159" t="s">
        <v>3392</v>
      </c>
      <c r="G402" s="34"/>
      <c r="H402" s="34"/>
      <c r="I402" s="155"/>
      <c r="J402" s="34"/>
      <c r="K402" s="34"/>
      <c r="L402" s="35"/>
      <c r="M402" s="156"/>
      <c r="N402" s="157"/>
      <c r="O402" s="55"/>
      <c r="P402" s="55"/>
      <c r="Q402" s="55"/>
      <c r="R402" s="55"/>
      <c r="S402" s="55"/>
      <c r="T402" s="56"/>
      <c r="U402" s="34"/>
      <c r="V402" s="34"/>
      <c r="W402" s="34"/>
      <c r="X402" s="34"/>
      <c r="Y402" s="34"/>
      <c r="Z402" s="34"/>
      <c r="AA402" s="34"/>
      <c r="AB402" s="34"/>
      <c r="AC402" s="34"/>
      <c r="AD402" s="34"/>
      <c r="AE402" s="34"/>
      <c r="AT402" s="19" t="s">
        <v>189</v>
      </c>
      <c r="AU402" s="19" t="s">
        <v>87</v>
      </c>
    </row>
    <row r="403" spans="1:65" s="2" customFormat="1" ht="29.25">
      <c r="A403" s="34"/>
      <c r="B403" s="35"/>
      <c r="C403" s="34"/>
      <c r="D403" s="153" t="s">
        <v>191</v>
      </c>
      <c r="E403" s="34"/>
      <c r="F403" s="160" t="s">
        <v>3043</v>
      </c>
      <c r="G403" s="34"/>
      <c r="H403" s="34"/>
      <c r="I403" s="155"/>
      <c r="J403" s="34"/>
      <c r="K403" s="34"/>
      <c r="L403" s="35"/>
      <c r="M403" s="156"/>
      <c r="N403" s="157"/>
      <c r="O403" s="55"/>
      <c r="P403" s="55"/>
      <c r="Q403" s="55"/>
      <c r="R403" s="55"/>
      <c r="S403" s="55"/>
      <c r="T403" s="56"/>
      <c r="U403" s="34"/>
      <c r="V403" s="34"/>
      <c r="W403" s="34"/>
      <c r="X403" s="34"/>
      <c r="Y403" s="34"/>
      <c r="Z403" s="34"/>
      <c r="AA403" s="34"/>
      <c r="AB403" s="34"/>
      <c r="AC403" s="34"/>
      <c r="AD403" s="34"/>
      <c r="AE403" s="34"/>
      <c r="AT403" s="19" t="s">
        <v>191</v>
      </c>
      <c r="AU403" s="19" t="s">
        <v>87</v>
      </c>
    </row>
    <row r="404" spans="1:65" s="13" customFormat="1">
      <c r="B404" s="161"/>
      <c r="D404" s="153" t="s">
        <v>193</v>
      </c>
      <c r="E404" s="162" t="s">
        <v>3</v>
      </c>
      <c r="F404" s="163" t="s">
        <v>3393</v>
      </c>
      <c r="H404" s="164">
        <v>77</v>
      </c>
      <c r="I404" s="165"/>
      <c r="L404" s="161"/>
      <c r="M404" s="166"/>
      <c r="N404" s="167"/>
      <c r="O404" s="167"/>
      <c r="P404" s="167"/>
      <c r="Q404" s="167"/>
      <c r="R404" s="167"/>
      <c r="S404" s="167"/>
      <c r="T404" s="168"/>
      <c r="AT404" s="162" t="s">
        <v>193</v>
      </c>
      <c r="AU404" s="162" t="s">
        <v>87</v>
      </c>
      <c r="AV404" s="13" t="s">
        <v>87</v>
      </c>
      <c r="AW404" s="13" t="s">
        <v>36</v>
      </c>
      <c r="AX404" s="13" t="s">
        <v>77</v>
      </c>
      <c r="AY404" s="162" t="s">
        <v>177</v>
      </c>
    </row>
    <row r="405" spans="1:65" s="13" customFormat="1">
      <c r="B405" s="161"/>
      <c r="D405" s="153" t="s">
        <v>193</v>
      </c>
      <c r="E405" s="162" t="s">
        <v>3</v>
      </c>
      <c r="F405" s="163" t="s">
        <v>3394</v>
      </c>
      <c r="H405" s="164">
        <v>72.7</v>
      </c>
      <c r="I405" s="165"/>
      <c r="L405" s="161"/>
      <c r="M405" s="166"/>
      <c r="N405" s="167"/>
      <c r="O405" s="167"/>
      <c r="P405" s="167"/>
      <c r="Q405" s="167"/>
      <c r="R405" s="167"/>
      <c r="S405" s="167"/>
      <c r="T405" s="168"/>
      <c r="AT405" s="162" t="s">
        <v>193</v>
      </c>
      <c r="AU405" s="162" t="s">
        <v>87</v>
      </c>
      <c r="AV405" s="13" t="s">
        <v>87</v>
      </c>
      <c r="AW405" s="13" t="s">
        <v>36</v>
      </c>
      <c r="AX405" s="13" t="s">
        <v>77</v>
      </c>
      <c r="AY405" s="162" t="s">
        <v>177</v>
      </c>
    </row>
    <row r="406" spans="1:65" s="16" customFormat="1">
      <c r="B406" s="184"/>
      <c r="D406" s="153" t="s">
        <v>193</v>
      </c>
      <c r="E406" s="185" t="s">
        <v>3</v>
      </c>
      <c r="F406" s="186" t="s">
        <v>201</v>
      </c>
      <c r="H406" s="187">
        <v>149.69999999999999</v>
      </c>
      <c r="I406" s="188"/>
      <c r="L406" s="184"/>
      <c r="M406" s="189"/>
      <c r="N406" s="190"/>
      <c r="O406" s="190"/>
      <c r="P406" s="190"/>
      <c r="Q406" s="190"/>
      <c r="R406" s="190"/>
      <c r="S406" s="190"/>
      <c r="T406" s="191"/>
      <c r="AT406" s="185" t="s">
        <v>193</v>
      </c>
      <c r="AU406" s="185" t="s">
        <v>87</v>
      </c>
      <c r="AV406" s="16" t="s">
        <v>185</v>
      </c>
      <c r="AW406" s="16" t="s">
        <v>36</v>
      </c>
      <c r="AX406" s="16" t="s">
        <v>85</v>
      </c>
      <c r="AY406" s="185" t="s">
        <v>177</v>
      </c>
    </row>
    <row r="407" spans="1:65" s="2" customFormat="1" ht="16.5" customHeight="1">
      <c r="A407" s="34"/>
      <c r="B407" s="139"/>
      <c r="C407" s="195" t="s">
        <v>1231</v>
      </c>
      <c r="D407" s="195" t="s">
        <v>484</v>
      </c>
      <c r="E407" s="196" t="s">
        <v>3395</v>
      </c>
      <c r="F407" s="197" t="s">
        <v>3396</v>
      </c>
      <c r="G407" s="198" t="s">
        <v>332</v>
      </c>
      <c r="H407" s="199">
        <v>197.30600000000001</v>
      </c>
      <c r="I407" s="200"/>
      <c r="J407" s="201">
        <f>ROUND(I407*H407,2)</f>
        <v>0</v>
      </c>
      <c r="K407" s="197" t="s">
        <v>244</v>
      </c>
      <c r="L407" s="202"/>
      <c r="M407" s="203" t="s">
        <v>3</v>
      </c>
      <c r="N407" s="204" t="s">
        <v>48</v>
      </c>
      <c r="O407" s="55"/>
      <c r="P407" s="149">
        <f>O407*H407</f>
        <v>0</v>
      </c>
      <c r="Q407" s="149">
        <v>1.77E-2</v>
      </c>
      <c r="R407" s="149">
        <f>Q407*H407</f>
        <v>3.4923162000000003</v>
      </c>
      <c r="S407" s="149">
        <v>0</v>
      </c>
      <c r="T407" s="150">
        <f>S407*H407</f>
        <v>0</v>
      </c>
      <c r="U407" s="34"/>
      <c r="V407" s="34"/>
      <c r="W407" s="34"/>
      <c r="X407" s="34"/>
      <c r="Y407" s="34"/>
      <c r="Z407" s="34"/>
      <c r="AA407" s="34"/>
      <c r="AB407" s="34"/>
      <c r="AC407" s="34"/>
      <c r="AD407" s="34"/>
      <c r="AE407" s="34"/>
      <c r="AR407" s="151" t="s">
        <v>537</v>
      </c>
      <c r="AT407" s="151" t="s">
        <v>484</v>
      </c>
      <c r="AU407" s="151" t="s">
        <v>87</v>
      </c>
      <c r="AY407" s="19" t="s">
        <v>177</v>
      </c>
      <c r="BE407" s="152">
        <f>IF(N407="základní",J407,0)</f>
        <v>0</v>
      </c>
      <c r="BF407" s="152">
        <f>IF(N407="snížená",J407,0)</f>
        <v>0</v>
      </c>
      <c r="BG407" s="152">
        <f>IF(N407="zákl. přenesená",J407,0)</f>
        <v>0</v>
      </c>
      <c r="BH407" s="152">
        <f>IF(N407="sníž. přenesená",J407,0)</f>
        <v>0</v>
      </c>
      <c r="BI407" s="152">
        <f>IF(N407="nulová",J407,0)</f>
        <v>0</v>
      </c>
      <c r="BJ407" s="19" t="s">
        <v>85</v>
      </c>
      <c r="BK407" s="152">
        <f>ROUND(I407*H407,2)</f>
        <v>0</v>
      </c>
      <c r="BL407" s="19" t="s">
        <v>237</v>
      </c>
      <c r="BM407" s="151" t="s">
        <v>3397</v>
      </c>
    </row>
    <row r="408" spans="1:65" s="2" customFormat="1">
      <c r="A408" s="34"/>
      <c r="B408" s="35"/>
      <c r="C408" s="34"/>
      <c r="D408" s="153" t="s">
        <v>187</v>
      </c>
      <c r="E408" s="34"/>
      <c r="F408" s="154" t="s">
        <v>3396</v>
      </c>
      <c r="G408" s="34"/>
      <c r="H408" s="34"/>
      <c r="I408" s="155"/>
      <c r="J408" s="34"/>
      <c r="K408" s="34"/>
      <c r="L408" s="35"/>
      <c r="M408" s="156"/>
      <c r="N408" s="157"/>
      <c r="O408" s="55"/>
      <c r="P408" s="55"/>
      <c r="Q408" s="55"/>
      <c r="R408" s="55"/>
      <c r="S408" s="55"/>
      <c r="T408" s="56"/>
      <c r="U408" s="34"/>
      <c r="V408" s="34"/>
      <c r="W408" s="34"/>
      <c r="X408" s="34"/>
      <c r="Y408" s="34"/>
      <c r="Z408" s="34"/>
      <c r="AA408" s="34"/>
      <c r="AB408" s="34"/>
      <c r="AC408" s="34"/>
      <c r="AD408" s="34"/>
      <c r="AE408" s="34"/>
      <c r="AT408" s="19" t="s">
        <v>187</v>
      </c>
      <c r="AU408" s="19" t="s">
        <v>87</v>
      </c>
    </row>
    <row r="409" spans="1:65" s="13" customFormat="1">
      <c r="B409" s="161"/>
      <c r="D409" s="153" t="s">
        <v>193</v>
      </c>
      <c r="E409" s="162" t="s">
        <v>3</v>
      </c>
      <c r="F409" s="163" t="s">
        <v>3398</v>
      </c>
      <c r="H409" s="164">
        <v>149.69999999999999</v>
      </c>
      <c r="I409" s="165"/>
      <c r="L409" s="161"/>
      <c r="M409" s="166"/>
      <c r="N409" s="167"/>
      <c r="O409" s="167"/>
      <c r="P409" s="167"/>
      <c r="Q409" s="167"/>
      <c r="R409" s="167"/>
      <c r="S409" s="167"/>
      <c r="T409" s="168"/>
      <c r="AT409" s="162" t="s">
        <v>193</v>
      </c>
      <c r="AU409" s="162" t="s">
        <v>87</v>
      </c>
      <c r="AV409" s="13" t="s">
        <v>87</v>
      </c>
      <c r="AW409" s="13" t="s">
        <v>36</v>
      </c>
      <c r="AX409" s="13" t="s">
        <v>77</v>
      </c>
      <c r="AY409" s="162" t="s">
        <v>177</v>
      </c>
    </row>
    <row r="410" spans="1:65" s="13" customFormat="1">
      <c r="B410" s="161"/>
      <c r="D410" s="153" t="s">
        <v>193</v>
      </c>
      <c r="E410" s="162" t="s">
        <v>3</v>
      </c>
      <c r="F410" s="163" t="s">
        <v>3399</v>
      </c>
      <c r="H410" s="164">
        <v>21.87</v>
      </c>
      <c r="I410" s="165"/>
      <c r="L410" s="161"/>
      <c r="M410" s="166"/>
      <c r="N410" s="167"/>
      <c r="O410" s="167"/>
      <c r="P410" s="167"/>
      <c r="Q410" s="167"/>
      <c r="R410" s="167"/>
      <c r="S410" s="167"/>
      <c r="T410" s="168"/>
      <c r="AT410" s="162" t="s">
        <v>193</v>
      </c>
      <c r="AU410" s="162" t="s">
        <v>87</v>
      </c>
      <c r="AV410" s="13" t="s">
        <v>87</v>
      </c>
      <c r="AW410" s="13" t="s">
        <v>36</v>
      </c>
      <c r="AX410" s="13" t="s">
        <v>77</v>
      </c>
      <c r="AY410" s="162" t="s">
        <v>177</v>
      </c>
    </row>
    <row r="411" spans="1:65" s="16" customFormat="1">
      <c r="B411" s="184"/>
      <c r="D411" s="153" t="s">
        <v>193</v>
      </c>
      <c r="E411" s="185" t="s">
        <v>3</v>
      </c>
      <c r="F411" s="186" t="s">
        <v>201</v>
      </c>
      <c r="H411" s="187">
        <v>171.57</v>
      </c>
      <c r="I411" s="188"/>
      <c r="L411" s="184"/>
      <c r="M411" s="189"/>
      <c r="N411" s="190"/>
      <c r="O411" s="190"/>
      <c r="P411" s="190"/>
      <c r="Q411" s="190"/>
      <c r="R411" s="190"/>
      <c r="S411" s="190"/>
      <c r="T411" s="191"/>
      <c r="AT411" s="185" t="s">
        <v>193</v>
      </c>
      <c r="AU411" s="185" t="s">
        <v>87</v>
      </c>
      <c r="AV411" s="16" t="s">
        <v>185</v>
      </c>
      <c r="AW411" s="16" t="s">
        <v>36</v>
      </c>
      <c r="AX411" s="16" t="s">
        <v>85</v>
      </c>
      <c r="AY411" s="185" t="s">
        <v>177</v>
      </c>
    </row>
    <row r="412" spans="1:65" s="13" customFormat="1">
      <c r="B412" s="161"/>
      <c r="D412" s="153" t="s">
        <v>193</v>
      </c>
      <c r="F412" s="163" t="s">
        <v>3400</v>
      </c>
      <c r="H412" s="164">
        <v>197.30600000000001</v>
      </c>
      <c r="I412" s="165"/>
      <c r="L412" s="161"/>
      <c r="M412" s="166"/>
      <c r="N412" s="167"/>
      <c r="O412" s="167"/>
      <c r="P412" s="167"/>
      <c r="Q412" s="167"/>
      <c r="R412" s="167"/>
      <c r="S412" s="167"/>
      <c r="T412" s="168"/>
      <c r="AT412" s="162" t="s">
        <v>193</v>
      </c>
      <c r="AU412" s="162" t="s">
        <v>87</v>
      </c>
      <c r="AV412" s="13" t="s">
        <v>87</v>
      </c>
      <c r="AW412" s="13" t="s">
        <v>4</v>
      </c>
      <c r="AX412" s="13" t="s">
        <v>85</v>
      </c>
      <c r="AY412" s="162" t="s">
        <v>177</v>
      </c>
    </row>
    <row r="413" spans="1:65" s="2" customFormat="1" ht="16.5" customHeight="1">
      <c r="A413" s="34"/>
      <c r="B413" s="139"/>
      <c r="C413" s="140" t="s">
        <v>1235</v>
      </c>
      <c r="D413" s="140" t="s">
        <v>180</v>
      </c>
      <c r="E413" s="141" t="s">
        <v>3401</v>
      </c>
      <c r="F413" s="142" t="s">
        <v>3402</v>
      </c>
      <c r="G413" s="143" t="s">
        <v>332</v>
      </c>
      <c r="H413" s="144">
        <v>149.69999999999999</v>
      </c>
      <c r="I413" s="145"/>
      <c r="J413" s="146">
        <f>ROUND(I413*H413,2)</f>
        <v>0</v>
      </c>
      <c r="K413" s="142" t="s">
        <v>184</v>
      </c>
      <c r="L413" s="35"/>
      <c r="M413" s="147" t="s">
        <v>3</v>
      </c>
      <c r="N413" s="148" t="s">
        <v>48</v>
      </c>
      <c r="O413" s="55"/>
      <c r="P413" s="149">
        <f>O413*H413</f>
        <v>0</v>
      </c>
      <c r="Q413" s="149">
        <v>1.5E-3</v>
      </c>
      <c r="R413" s="149">
        <f>Q413*H413</f>
        <v>0.22455</v>
      </c>
      <c r="S413" s="149">
        <v>0</v>
      </c>
      <c r="T413" s="150">
        <f>S413*H413</f>
        <v>0</v>
      </c>
      <c r="U413" s="34"/>
      <c r="V413" s="34"/>
      <c r="W413" s="34"/>
      <c r="X413" s="34"/>
      <c r="Y413" s="34"/>
      <c r="Z413" s="34"/>
      <c r="AA413" s="34"/>
      <c r="AB413" s="34"/>
      <c r="AC413" s="34"/>
      <c r="AD413" s="34"/>
      <c r="AE413" s="34"/>
      <c r="AR413" s="151" t="s">
        <v>237</v>
      </c>
      <c r="AT413" s="151" t="s">
        <v>180</v>
      </c>
      <c r="AU413" s="151" t="s">
        <v>87</v>
      </c>
      <c r="AY413" s="19" t="s">
        <v>177</v>
      </c>
      <c r="BE413" s="152">
        <f>IF(N413="základní",J413,0)</f>
        <v>0</v>
      </c>
      <c r="BF413" s="152">
        <f>IF(N413="snížená",J413,0)</f>
        <v>0</v>
      </c>
      <c r="BG413" s="152">
        <f>IF(N413="zákl. přenesená",J413,0)</f>
        <v>0</v>
      </c>
      <c r="BH413" s="152">
        <f>IF(N413="sníž. přenesená",J413,0)</f>
        <v>0</v>
      </c>
      <c r="BI413" s="152">
        <f>IF(N413="nulová",J413,0)</f>
        <v>0</v>
      </c>
      <c r="BJ413" s="19" t="s">
        <v>85</v>
      </c>
      <c r="BK413" s="152">
        <f>ROUND(I413*H413,2)</f>
        <v>0</v>
      </c>
      <c r="BL413" s="19" t="s">
        <v>237</v>
      </c>
      <c r="BM413" s="151" t="s">
        <v>3403</v>
      </c>
    </row>
    <row r="414" spans="1:65" s="2" customFormat="1">
      <c r="A414" s="34"/>
      <c r="B414" s="35"/>
      <c r="C414" s="34"/>
      <c r="D414" s="153" t="s">
        <v>187</v>
      </c>
      <c r="E414" s="34"/>
      <c r="F414" s="154" t="s">
        <v>3404</v>
      </c>
      <c r="G414" s="34"/>
      <c r="H414" s="34"/>
      <c r="I414" s="155"/>
      <c r="J414" s="34"/>
      <c r="K414" s="34"/>
      <c r="L414" s="35"/>
      <c r="M414" s="156"/>
      <c r="N414" s="157"/>
      <c r="O414" s="55"/>
      <c r="P414" s="55"/>
      <c r="Q414" s="55"/>
      <c r="R414" s="55"/>
      <c r="S414" s="55"/>
      <c r="T414" s="56"/>
      <c r="U414" s="34"/>
      <c r="V414" s="34"/>
      <c r="W414" s="34"/>
      <c r="X414" s="34"/>
      <c r="Y414" s="34"/>
      <c r="Z414" s="34"/>
      <c r="AA414" s="34"/>
      <c r="AB414" s="34"/>
      <c r="AC414" s="34"/>
      <c r="AD414" s="34"/>
      <c r="AE414" s="34"/>
      <c r="AT414" s="19" t="s">
        <v>187</v>
      </c>
      <c r="AU414" s="19" t="s">
        <v>87</v>
      </c>
    </row>
    <row r="415" spans="1:65" s="2" customFormat="1">
      <c r="A415" s="34"/>
      <c r="B415" s="35"/>
      <c r="C415" s="34"/>
      <c r="D415" s="158" t="s">
        <v>189</v>
      </c>
      <c r="E415" s="34"/>
      <c r="F415" s="159" t="s">
        <v>3405</v>
      </c>
      <c r="G415" s="34"/>
      <c r="H415" s="34"/>
      <c r="I415" s="155"/>
      <c r="J415" s="34"/>
      <c r="K415" s="34"/>
      <c r="L415" s="35"/>
      <c r="M415" s="156"/>
      <c r="N415" s="157"/>
      <c r="O415" s="55"/>
      <c r="P415" s="55"/>
      <c r="Q415" s="55"/>
      <c r="R415" s="55"/>
      <c r="S415" s="55"/>
      <c r="T415" s="56"/>
      <c r="U415" s="34"/>
      <c r="V415" s="34"/>
      <c r="W415" s="34"/>
      <c r="X415" s="34"/>
      <c r="Y415" s="34"/>
      <c r="Z415" s="34"/>
      <c r="AA415" s="34"/>
      <c r="AB415" s="34"/>
      <c r="AC415" s="34"/>
      <c r="AD415" s="34"/>
      <c r="AE415" s="34"/>
      <c r="AT415" s="19" t="s">
        <v>189</v>
      </c>
      <c r="AU415" s="19" t="s">
        <v>87</v>
      </c>
    </row>
    <row r="416" spans="1:65" s="2" customFormat="1" ht="68.25">
      <c r="A416" s="34"/>
      <c r="B416" s="35"/>
      <c r="C416" s="34"/>
      <c r="D416" s="153" t="s">
        <v>191</v>
      </c>
      <c r="E416" s="34"/>
      <c r="F416" s="160" t="s">
        <v>3062</v>
      </c>
      <c r="G416" s="34"/>
      <c r="H416" s="34"/>
      <c r="I416" s="155"/>
      <c r="J416" s="34"/>
      <c r="K416" s="34"/>
      <c r="L416" s="35"/>
      <c r="M416" s="156"/>
      <c r="N416" s="157"/>
      <c r="O416" s="55"/>
      <c r="P416" s="55"/>
      <c r="Q416" s="55"/>
      <c r="R416" s="55"/>
      <c r="S416" s="55"/>
      <c r="T416" s="56"/>
      <c r="U416" s="34"/>
      <c r="V416" s="34"/>
      <c r="W416" s="34"/>
      <c r="X416" s="34"/>
      <c r="Y416" s="34"/>
      <c r="Z416" s="34"/>
      <c r="AA416" s="34"/>
      <c r="AB416" s="34"/>
      <c r="AC416" s="34"/>
      <c r="AD416" s="34"/>
      <c r="AE416" s="34"/>
      <c r="AT416" s="19" t="s">
        <v>191</v>
      </c>
      <c r="AU416" s="19" t="s">
        <v>87</v>
      </c>
    </row>
    <row r="417" spans="1:65" s="2" customFormat="1" ht="16.5" customHeight="1">
      <c r="A417" s="34"/>
      <c r="B417" s="139"/>
      <c r="C417" s="140" t="s">
        <v>1239</v>
      </c>
      <c r="D417" s="140" t="s">
        <v>180</v>
      </c>
      <c r="E417" s="141" t="s">
        <v>3406</v>
      </c>
      <c r="F417" s="142" t="s">
        <v>3407</v>
      </c>
      <c r="G417" s="143" t="s">
        <v>476</v>
      </c>
      <c r="H417" s="144">
        <v>172.36</v>
      </c>
      <c r="I417" s="145"/>
      <c r="J417" s="146">
        <f>ROUND(I417*H417,2)</f>
        <v>0</v>
      </c>
      <c r="K417" s="142" t="s">
        <v>184</v>
      </c>
      <c r="L417" s="35"/>
      <c r="M417" s="147" t="s">
        <v>3</v>
      </c>
      <c r="N417" s="148" t="s">
        <v>48</v>
      </c>
      <c r="O417" s="55"/>
      <c r="P417" s="149">
        <f>O417*H417</f>
        <v>0</v>
      </c>
      <c r="Q417" s="149">
        <v>3.0000000000000001E-5</v>
      </c>
      <c r="R417" s="149">
        <f>Q417*H417</f>
        <v>5.1708000000000006E-3</v>
      </c>
      <c r="S417" s="149">
        <v>0</v>
      </c>
      <c r="T417" s="150">
        <f>S417*H417</f>
        <v>0</v>
      </c>
      <c r="U417" s="34"/>
      <c r="V417" s="34"/>
      <c r="W417" s="34"/>
      <c r="X417" s="34"/>
      <c r="Y417" s="34"/>
      <c r="Z417" s="34"/>
      <c r="AA417" s="34"/>
      <c r="AB417" s="34"/>
      <c r="AC417" s="34"/>
      <c r="AD417" s="34"/>
      <c r="AE417" s="34"/>
      <c r="AR417" s="151" t="s">
        <v>237</v>
      </c>
      <c r="AT417" s="151" t="s">
        <v>180</v>
      </c>
      <c r="AU417" s="151" t="s">
        <v>87</v>
      </c>
      <c r="AY417" s="19" t="s">
        <v>177</v>
      </c>
      <c r="BE417" s="152">
        <f>IF(N417="základní",J417,0)</f>
        <v>0</v>
      </c>
      <c r="BF417" s="152">
        <f>IF(N417="snížená",J417,0)</f>
        <v>0</v>
      </c>
      <c r="BG417" s="152">
        <f>IF(N417="zákl. přenesená",J417,0)</f>
        <v>0</v>
      </c>
      <c r="BH417" s="152">
        <f>IF(N417="sníž. přenesená",J417,0)</f>
        <v>0</v>
      </c>
      <c r="BI417" s="152">
        <f>IF(N417="nulová",J417,0)</f>
        <v>0</v>
      </c>
      <c r="BJ417" s="19" t="s">
        <v>85</v>
      </c>
      <c r="BK417" s="152">
        <f>ROUND(I417*H417,2)</f>
        <v>0</v>
      </c>
      <c r="BL417" s="19" t="s">
        <v>237</v>
      </c>
      <c r="BM417" s="151" t="s">
        <v>3408</v>
      </c>
    </row>
    <row r="418" spans="1:65" s="2" customFormat="1">
      <c r="A418" s="34"/>
      <c r="B418" s="35"/>
      <c r="C418" s="34"/>
      <c r="D418" s="153" t="s">
        <v>187</v>
      </c>
      <c r="E418" s="34"/>
      <c r="F418" s="154" t="s">
        <v>3409</v>
      </c>
      <c r="G418" s="34"/>
      <c r="H418" s="34"/>
      <c r="I418" s="155"/>
      <c r="J418" s="34"/>
      <c r="K418" s="34"/>
      <c r="L418" s="35"/>
      <c r="M418" s="156"/>
      <c r="N418" s="157"/>
      <c r="O418" s="55"/>
      <c r="P418" s="55"/>
      <c r="Q418" s="55"/>
      <c r="R418" s="55"/>
      <c r="S418" s="55"/>
      <c r="T418" s="56"/>
      <c r="U418" s="34"/>
      <c r="V418" s="34"/>
      <c r="W418" s="34"/>
      <c r="X418" s="34"/>
      <c r="Y418" s="34"/>
      <c r="Z418" s="34"/>
      <c r="AA418" s="34"/>
      <c r="AB418" s="34"/>
      <c r="AC418" s="34"/>
      <c r="AD418" s="34"/>
      <c r="AE418" s="34"/>
      <c r="AT418" s="19" t="s">
        <v>187</v>
      </c>
      <c r="AU418" s="19" t="s">
        <v>87</v>
      </c>
    </row>
    <row r="419" spans="1:65" s="2" customFormat="1">
      <c r="A419" s="34"/>
      <c r="B419" s="35"/>
      <c r="C419" s="34"/>
      <c r="D419" s="158" t="s">
        <v>189</v>
      </c>
      <c r="E419" s="34"/>
      <c r="F419" s="159" t="s">
        <v>3410</v>
      </c>
      <c r="G419" s="34"/>
      <c r="H419" s="34"/>
      <c r="I419" s="155"/>
      <c r="J419" s="34"/>
      <c r="K419" s="34"/>
      <c r="L419" s="35"/>
      <c r="M419" s="156"/>
      <c r="N419" s="157"/>
      <c r="O419" s="55"/>
      <c r="P419" s="55"/>
      <c r="Q419" s="55"/>
      <c r="R419" s="55"/>
      <c r="S419" s="55"/>
      <c r="T419" s="56"/>
      <c r="U419" s="34"/>
      <c r="V419" s="34"/>
      <c r="W419" s="34"/>
      <c r="X419" s="34"/>
      <c r="Y419" s="34"/>
      <c r="Z419" s="34"/>
      <c r="AA419" s="34"/>
      <c r="AB419" s="34"/>
      <c r="AC419" s="34"/>
      <c r="AD419" s="34"/>
      <c r="AE419" s="34"/>
      <c r="AT419" s="19" t="s">
        <v>189</v>
      </c>
      <c r="AU419" s="19" t="s">
        <v>87</v>
      </c>
    </row>
    <row r="420" spans="1:65" s="2" customFormat="1" ht="48.75">
      <c r="A420" s="34"/>
      <c r="B420" s="35"/>
      <c r="C420" s="34"/>
      <c r="D420" s="153" t="s">
        <v>191</v>
      </c>
      <c r="E420" s="34"/>
      <c r="F420" s="160" t="s">
        <v>3411</v>
      </c>
      <c r="G420" s="34"/>
      <c r="H420" s="34"/>
      <c r="I420" s="155"/>
      <c r="J420" s="34"/>
      <c r="K420" s="34"/>
      <c r="L420" s="35"/>
      <c r="M420" s="156"/>
      <c r="N420" s="157"/>
      <c r="O420" s="55"/>
      <c r="P420" s="55"/>
      <c r="Q420" s="55"/>
      <c r="R420" s="55"/>
      <c r="S420" s="55"/>
      <c r="T420" s="56"/>
      <c r="U420" s="34"/>
      <c r="V420" s="34"/>
      <c r="W420" s="34"/>
      <c r="X420" s="34"/>
      <c r="Y420" s="34"/>
      <c r="Z420" s="34"/>
      <c r="AA420" s="34"/>
      <c r="AB420" s="34"/>
      <c r="AC420" s="34"/>
      <c r="AD420" s="34"/>
      <c r="AE420" s="34"/>
      <c r="AT420" s="19" t="s">
        <v>191</v>
      </c>
      <c r="AU420" s="19" t="s">
        <v>87</v>
      </c>
    </row>
    <row r="421" spans="1:65" s="2" customFormat="1" ht="16.5" customHeight="1">
      <c r="A421" s="34"/>
      <c r="B421" s="139"/>
      <c r="C421" s="140" t="s">
        <v>1249</v>
      </c>
      <c r="D421" s="140" t="s">
        <v>180</v>
      </c>
      <c r="E421" s="141" t="s">
        <v>3412</v>
      </c>
      <c r="F421" s="142" t="s">
        <v>3413</v>
      </c>
      <c r="G421" s="143" t="s">
        <v>332</v>
      </c>
      <c r="H421" s="144">
        <v>149.69999999999999</v>
      </c>
      <c r="I421" s="145"/>
      <c r="J421" s="146">
        <f>ROUND(I421*H421,2)</f>
        <v>0</v>
      </c>
      <c r="K421" s="142" t="s">
        <v>184</v>
      </c>
      <c r="L421" s="35"/>
      <c r="M421" s="147" t="s">
        <v>3</v>
      </c>
      <c r="N421" s="148" t="s">
        <v>48</v>
      </c>
      <c r="O421" s="55"/>
      <c r="P421" s="149">
        <f>O421*H421</f>
        <v>0</v>
      </c>
      <c r="Q421" s="149">
        <v>4.5000000000000003E-5</v>
      </c>
      <c r="R421" s="149">
        <f>Q421*H421</f>
        <v>6.7365000000000003E-3</v>
      </c>
      <c r="S421" s="149">
        <v>0</v>
      </c>
      <c r="T421" s="150">
        <f>S421*H421</f>
        <v>0</v>
      </c>
      <c r="U421" s="34"/>
      <c r="V421" s="34"/>
      <c r="W421" s="34"/>
      <c r="X421" s="34"/>
      <c r="Y421" s="34"/>
      <c r="Z421" s="34"/>
      <c r="AA421" s="34"/>
      <c r="AB421" s="34"/>
      <c r="AC421" s="34"/>
      <c r="AD421" s="34"/>
      <c r="AE421" s="34"/>
      <c r="AR421" s="151" t="s">
        <v>237</v>
      </c>
      <c r="AT421" s="151" t="s">
        <v>180</v>
      </c>
      <c r="AU421" s="151" t="s">
        <v>87</v>
      </c>
      <c r="AY421" s="19" t="s">
        <v>177</v>
      </c>
      <c r="BE421" s="152">
        <f>IF(N421="základní",J421,0)</f>
        <v>0</v>
      </c>
      <c r="BF421" s="152">
        <f>IF(N421="snížená",J421,0)</f>
        <v>0</v>
      </c>
      <c r="BG421" s="152">
        <f>IF(N421="zákl. přenesená",J421,0)</f>
        <v>0</v>
      </c>
      <c r="BH421" s="152">
        <f>IF(N421="sníž. přenesená",J421,0)</f>
        <v>0</v>
      </c>
      <c r="BI421" s="152">
        <f>IF(N421="nulová",J421,0)</f>
        <v>0</v>
      </c>
      <c r="BJ421" s="19" t="s">
        <v>85</v>
      </c>
      <c r="BK421" s="152">
        <f>ROUND(I421*H421,2)</f>
        <v>0</v>
      </c>
      <c r="BL421" s="19" t="s">
        <v>237</v>
      </c>
      <c r="BM421" s="151" t="s">
        <v>3414</v>
      </c>
    </row>
    <row r="422" spans="1:65" s="2" customFormat="1">
      <c r="A422" s="34"/>
      <c r="B422" s="35"/>
      <c r="C422" s="34"/>
      <c r="D422" s="153" t="s">
        <v>187</v>
      </c>
      <c r="E422" s="34"/>
      <c r="F422" s="154" t="s">
        <v>3415</v>
      </c>
      <c r="G422" s="34"/>
      <c r="H422" s="34"/>
      <c r="I422" s="155"/>
      <c r="J422" s="34"/>
      <c r="K422" s="34"/>
      <c r="L422" s="35"/>
      <c r="M422" s="156"/>
      <c r="N422" s="157"/>
      <c r="O422" s="55"/>
      <c r="P422" s="55"/>
      <c r="Q422" s="55"/>
      <c r="R422" s="55"/>
      <c r="S422" s="55"/>
      <c r="T422" s="56"/>
      <c r="U422" s="34"/>
      <c r="V422" s="34"/>
      <c r="W422" s="34"/>
      <c r="X422" s="34"/>
      <c r="Y422" s="34"/>
      <c r="Z422" s="34"/>
      <c r="AA422" s="34"/>
      <c r="AB422" s="34"/>
      <c r="AC422" s="34"/>
      <c r="AD422" s="34"/>
      <c r="AE422" s="34"/>
      <c r="AT422" s="19" t="s">
        <v>187</v>
      </c>
      <c r="AU422" s="19" t="s">
        <v>87</v>
      </c>
    </row>
    <row r="423" spans="1:65" s="2" customFormat="1">
      <c r="A423" s="34"/>
      <c r="B423" s="35"/>
      <c r="C423" s="34"/>
      <c r="D423" s="158" t="s">
        <v>189</v>
      </c>
      <c r="E423" s="34"/>
      <c r="F423" s="159" t="s">
        <v>3416</v>
      </c>
      <c r="G423" s="34"/>
      <c r="H423" s="34"/>
      <c r="I423" s="155"/>
      <c r="J423" s="34"/>
      <c r="K423" s="34"/>
      <c r="L423" s="35"/>
      <c r="M423" s="156"/>
      <c r="N423" s="157"/>
      <c r="O423" s="55"/>
      <c r="P423" s="55"/>
      <c r="Q423" s="55"/>
      <c r="R423" s="55"/>
      <c r="S423" s="55"/>
      <c r="T423" s="56"/>
      <c r="U423" s="34"/>
      <c r="V423" s="34"/>
      <c r="W423" s="34"/>
      <c r="X423" s="34"/>
      <c r="Y423" s="34"/>
      <c r="Z423" s="34"/>
      <c r="AA423" s="34"/>
      <c r="AB423" s="34"/>
      <c r="AC423" s="34"/>
      <c r="AD423" s="34"/>
      <c r="AE423" s="34"/>
      <c r="AT423" s="19" t="s">
        <v>189</v>
      </c>
      <c r="AU423" s="19" t="s">
        <v>87</v>
      </c>
    </row>
    <row r="424" spans="1:65" s="2" customFormat="1" ht="16.5" customHeight="1">
      <c r="A424" s="34"/>
      <c r="B424" s="139"/>
      <c r="C424" s="140" t="s">
        <v>1255</v>
      </c>
      <c r="D424" s="140" t="s">
        <v>180</v>
      </c>
      <c r="E424" s="141" t="s">
        <v>3076</v>
      </c>
      <c r="F424" s="142" t="s">
        <v>3077</v>
      </c>
      <c r="G424" s="143" t="s">
        <v>183</v>
      </c>
      <c r="H424" s="144">
        <v>6.1319999999999997</v>
      </c>
      <c r="I424" s="145"/>
      <c r="J424" s="146">
        <f>ROUND(I424*H424,2)</f>
        <v>0</v>
      </c>
      <c r="K424" s="142" t="s">
        <v>184</v>
      </c>
      <c r="L424" s="35"/>
      <c r="M424" s="147" t="s">
        <v>3</v>
      </c>
      <c r="N424" s="148" t="s">
        <v>48</v>
      </c>
      <c r="O424" s="55"/>
      <c r="P424" s="149">
        <f>O424*H424</f>
        <v>0</v>
      </c>
      <c r="Q424" s="149">
        <v>0</v>
      </c>
      <c r="R424" s="149">
        <f>Q424*H424</f>
        <v>0</v>
      </c>
      <c r="S424" s="149">
        <v>0</v>
      </c>
      <c r="T424" s="150">
        <f>S424*H424</f>
        <v>0</v>
      </c>
      <c r="U424" s="34"/>
      <c r="V424" s="34"/>
      <c r="W424" s="34"/>
      <c r="X424" s="34"/>
      <c r="Y424" s="34"/>
      <c r="Z424" s="34"/>
      <c r="AA424" s="34"/>
      <c r="AB424" s="34"/>
      <c r="AC424" s="34"/>
      <c r="AD424" s="34"/>
      <c r="AE424" s="34"/>
      <c r="AR424" s="151" t="s">
        <v>237</v>
      </c>
      <c r="AT424" s="151" t="s">
        <v>180</v>
      </c>
      <c r="AU424" s="151" t="s">
        <v>87</v>
      </c>
      <c r="AY424" s="19" t="s">
        <v>177</v>
      </c>
      <c r="BE424" s="152">
        <f>IF(N424="základní",J424,0)</f>
        <v>0</v>
      </c>
      <c r="BF424" s="152">
        <f>IF(N424="snížená",J424,0)</f>
        <v>0</v>
      </c>
      <c r="BG424" s="152">
        <f>IF(N424="zákl. přenesená",J424,0)</f>
        <v>0</v>
      </c>
      <c r="BH424" s="152">
        <f>IF(N424="sníž. přenesená",J424,0)</f>
        <v>0</v>
      </c>
      <c r="BI424" s="152">
        <f>IF(N424="nulová",J424,0)</f>
        <v>0</v>
      </c>
      <c r="BJ424" s="19" t="s">
        <v>85</v>
      </c>
      <c r="BK424" s="152">
        <f>ROUND(I424*H424,2)</f>
        <v>0</v>
      </c>
      <c r="BL424" s="19" t="s">
        <v>237</v>
      </c>
      <c r="BM424" s="151" t="s">
        <v>3417</v>
      </c>
    </row>
    <row r="425" spans="1:65" s="2" customFormat="1" ht="19.5">
      <c r="A425" s="34"/>
      <c r="B425" s="35"/>
      <c r="C425" s="34"/>
      <c r="D425" s="153" t="s">
        <v>187</v>
      </c>
      <c r="E425" s="34"/>
      <c r="F425" s="154" t="s">
        <v>3079</v>
      </c>
      <c r="G425" s="34"/>
      <c r="H425" s="34"/>
      <c r="I425" s="155"/>
      <c r="J425" s="34"/>
      <c r="K425" s="34"/>
      <c r="L425" s="35"/>
      <c r="M425" s="156"/>
      <c r="N425" s="157"/>
      <c r="O425" s="55"/>
      <c r="P425" s="55"/>
      <c r="Q425" s="55"/>
      <c r="R425" s="55"/>
      <c r="S425" s="55"/>
      <c r="T425" s="56"/>
      <c r="U425" s="34"/>
      <c r="V425" s="34"/>
      <c r="W425" s="34"/>
      <c r="X425" s="34"/>
      <c r="Y425" s="34"/>
      <c r="Z425" s="34"/>
      <c r="AA425" s="34"/>
      <c r="AB425" s="34"/>
      <c r="AC425" s="34"/>
      <c r="AD425" s="34"/>
      <c r="AE425" s="34"/>
      <c r="AT425" s="19" t="s">
        <v>187</v>
      </c>
      <c r="AU425" s="19" t="s">
        <v>87</v>
      </c>
    </row>
    <row r="426" spans="1:65" s="2" customFormat="1">
      <c r="A426" s="34"/>
      <c r="B426" s="35"/>
      <c r="C426" s="34"/>
      <c r="D426" s="158" t="s">
        <v>189</v>
      </c>
      <c r="E426" s="34"/>
      <c r="F426" s="159" t="s">
        <v>3080</v>
      </c>
      <c r="G426" s="34"/>
      <c r="H426" s="34"/>
      <c r="I426" s="155"/>
      <c r="J426" s="34"/>
      <c r="K426" s="34"/>
      <c r="L426" s="35"/>
      <c r="M426" s="156"/>
      <c r="N426" s="157"/>
      <c r="O426" s="55"/>
      <c r="P426" s="55"/>
      <c r="Q426" s="55"/>
      <c r="R426" s="55"/>
      <c r="S426" s="55"/>
      <c r="T426" s="56"/>
      <c r="U426" s="34"/>
      <c r="V426" s="34"/>
      <c r="W426" s="34"/>
      <c r="X426" s="34"/>
      <c r="Y426" s="34"/>
      <c r="Z426" s="34"/>
      <c r="AA426" s="34"/>
      <c r="AB426" s="34"/>
      <c r="AC426" s="34"/>
      <c r="AD426" s="34"/>
      <c r="AE426" s="34"/>
      <c r="AT426" s="19" t="s">
        <v>189</v>
      </c>
      <c r="AU426" s="19" t="s">
        <v>87</v>
      </c>
    </row>
    <row r="427" spans="1:65" s="2" customFormat="1" ht="78">
      <c r="A427" s="34"/>
      <c r="B427" s="35"/>
      <c r="C427" s="34"/>
      <c r="D427" s="153" t="s">
        <v>191</v>
      </c>
      <c r="E427" s="34"/>
      <c r="F427" s="160" t="s">
        <v>763</v>
      </c>
      <c r="G427" s="34"/>
      <c r="H427" s="34"/>
      <c r="I427" s="155"/>
      <c r="J427" s="34"/>
      <c r="K427" s="34"/>
      <c r="L427" s="35"/>
      <c r="M427" s="156"/>
      <c r="N427" s="157"/>
      <c r="O427" s="55"/>
      <c r="P427" s="55"/>
      <c r="Q427" s="55"/>
      <c r="R427" s="55"/>
      <c r="S427" s="55"/>
      <c r="T427" s="56"/>
      <c r="U427" s="34"/>
      <c r="V427" s="34"/>
      <c r="W427" s="34"/>
      <c r="X427" s="34"/>
      <c r="Y427" s="34"/>
      <c r="Z427" s="34"/>
      <c r="AA427" s="34"/>
      <c r="AB427" s="34"/>
      <c r="AC427" s="34"/>
      <c r="AD427" s="34"/>
      <c r="AE427" s="34"/>
      <c r="AT427" s="19" t="s">
        <v>191</v>
      </c>
      <c r="AU427" s="19" t="s">
        <v>87</v>
      </c>
    </row>
    <row r="428" spans="1:65" s="2" customFormat="1" ht="16.5" customHeight="1">
      <c r="A428" s="34"/>
      <c r="B428" s="139"/>
      <c r="C428" s="140" t="s">
        <v>1261</v>
      </c>
      <c r="D428" s="140" t="s">
        <v>180</v>
      </c>
      <c r="E428" s="141" t="s">
        <v>3082</v>
      </c>
      <c r="F428" s="142" t="s">
        <v>3083</v>
      </c>
      <c r="G428" s="143" t="s">
        <v>183</v>
      </c>
      <c r="H428" s="144">
        <v>6.1319999999999997</v>
      </c>
      <c r="I428" s="145"/>
      <c r="J428" s="146">
        <f>ROUND(I428*H428,2)</f>
        <v>0</v>
      </c>
      <c r="K428" s="142" t="s">
        <v>184</v>
      </c>
      <c r="L428" s="35"/>
      <c r="M428" s="147" t="s">
        <v>3</v>
      </c>
      <c r="N428" s="148" t="s">
        <v>48</v>
      </c>
      <c r="O428" s="55"/>
      <c r="P428" s="149">
        <f>O428*H428</f>
        <v>0</v>
      </c>
      <c r="Q428" s="149">
        <v>0</v>
      </c>
      <c r="R428" s="149">
        <f>Q428*H428</f>
        <v>0</v>
      </c>
      <c r="S428" s="149">
        <v>0</v>
      </c>
      <c r="T428" s="150">
        <f>S428*H428</f>
        <v>0</v>
      </c>
      <c r="U428" s="34"/>
      <c r="V428" s="34"/>
      <c r="W428" s="34"/>
      <c r="X428" s="34"/>
      <c r="Y428" s="34"/>
      <c r="Z428" s="34"/>
      <c r="AA428" s="34"/>
      <c r="AB428" s="34"/>
      <c r="AC428" s="34"/>
      <c r="AD428" s="34"/>
      <c r="AE428" s="34"/>
      <c r="AR428" s="151" t="s">
        <v>237</v>
      </c>
      <c r="AT428" s="151" t="s">
        <v>180</v>
      </c>
      <c r="AU428" s="151" t="s">
        <v>87</v>
      </c>
      <c r="AY428" s="19" t="s">
        <v>177</v>
      </c>
      <c r="BE428" s="152">
        <f>IF(N428="základní",J428,0)</f>
        <v>0</v>
      </c>
      <c r="BF428" s="152">
        <f>IF(N428="snížená",J428,0)</f>
        <v>0</v>
      </c>
      <c r="BG428" s="152">
        <f>IF(N428="zákl. přenesená",J428,0)</f>
        <v>0</v>
      </c>
      <c r="BH428" s="152">
        <f>IF(N428="sníž. přenesená",J428,0)</f>
        <v>0</v>
      </c>
      <c r="BI428" s="152">
        <f>IF(N428="nulová",J428,0)</f>
        <v>0</v>
      </c>
      <c r="BJ428" s="19" t="s">
        <v>85</v>
      </c>
      <c r="BK428" s="152">
        <f>ROUND(I428*H428,2)</f>
        <v>0</v>
      </c>
      <c r="BL428" s="19" t="s">
        <v>237</v>
      </c>
      <c r="BM428" s="151" t="s">
        <v>3418</v>
      </c>
    </row>
    <row r="429" spans="1:65" s="2" customFormat="1" ht="19.5">
      <c r="A429" s="34"/>
      <c r="B429" s="35"/>
      <c r="C429" s="34"/>
      <c r="D429" s="153" t="s">
        <v>187</v>
      </c>
      <c r="E429" s="34"/>
      <c r="F429" s="154" t="s">
        <v>3085</v>
      </c>
      <c r="G429" s="34"/>
      <c r="H429" s="34"/>
      <c r="I429" s="155"/>
      <c r="J429" s="34"/>
      <c r="K429" s="34"/>
      <c r="L429" s="35"/>
      <c r="M429" s="156"/>
      <c r="N429" s="157"/>
      <c r="O429" s="55"/>
      <c r="P429" s="55"/>
      <c r="Q429" s="55"/>
      <c r="R429" s="55"/>
      <c r="S429" s="55"/>
      <c r="T429" s="56"/>
      <c r="U429" s="34"/>
      <c r="V429" s="34"/>
      <c r="W429" s="34"/>
      <c r="X429" s="34"/>
      <c r="Y429" s="34"/>
      <c r="Z429" s="34"/>
      <c r="AA429" s="34"/>
      <c r="AB429" s="34"/>
      <c r="AC429" s="34"/>
      <c r="AD429" s="34"/>
      <c r="AE429" s="34"/>
      <c r="AT429" s="19" t="s">
        <v>187</v>
      </c>
      <c r="AU429" s="19" t="s">
        <v>87</v>
      </c>
    </row>
    <row r="430" spans="1:65" s="2" customFormat="1">
      <c r="A430" s="34"/>
      <c r="B430" s="35"/>
      <c r="C430" s="34"/>
      <c r="D430" s="158" t="s">
        <v>189</v>
      </c>
      <c r="E430" s="34"/>
      <c r="F430" s="159" t="s">
        <v>3086</v>
      </c>
      <c r="G430" s="34"/>
      <c r="H430" s="34"/>
      <c r="I430" s="155"/>
      <c r="J430" s="34"/>
      <c r="K430" s="34"/>
      <c r="L430" s="35"/>
      <c r="M430" s="156"/>
      <c r="N430" s="157"/>
      <c r="O430" s="55"/>
      <c r="P430" s="55"/>
      <c r="Q430" s="55"/>
      <c r="R430" s="55"/>
      <c r="S430" s="55"/>
      <c r="T430" s="56"/>
      <c r="U430" s="34"/>
      <c r="V430" s="34"/>
      <c r="W430" s="34"/>
      <c r="X430" s="34"/>
      <c r="Y430" s="34"/>
      <c r="Z430" s="34"/>
      <c r="AA430" s="34"/>
      <c r="AB430" s="34"/>
      <c r="AC430" s="34"/>
      <c r="AD430" s="34"/>
      <c r="AE430" s="34"/>
      <c r="AT430" s="19" t="s">
        <v>189</v>
      </c>
      <c r="AU430" s="19" t="s">
        <v>87</v>
      </c>
    </row>
    <row r="431" spans="1:65" s="2" customFormat="1" ht="78">
      <c r="A431" s="34"/>
      <c r="B431" s="35"/>
      <c r="C431" s="34"/>
      <c r="D431" s="153" t="s">
        <v>191</v>
      </c>
      <c r="E431" s="34"/>
      <c r="F431" s="160" t="s">
        <v>763</v>
      </c>
      <c r="G431" s="34"/>
      <c r="H431" s="34"/>
      <c r="I431" s="155"/>
      <c r="J431" s="34"/>
      <c r="K431" s="34"/>
      <c r="L431" s="35"/>
      <c r="M431" s="156"/>
      <c r="N431" s="157"/>
      <c r="O431" s="55"/>
      <c r="P431" s="55"/>
      <c r="Q431" s="55"/>
      <c r="R431" s="55"/>
      <c r="S431" s="55"/>
      <c r="T431" s="56"/>
      <c r="U431" s="34"/>
      <c r="V431" s="34"/>
      <c r="W431" s="34"/>
      <c r="X431" s="34"/>
      <c r="Y431" s="34"/>
      <c r="Z431" s="34"/>
      <c r="AA431" s="34"/>
      <c r="AB431" s="34"/>
      <c r="AC431" s="34"/>
      <c r="AD431" s="34"/>
      <c r="AE431" s="34"/>
      <c r="AT431" s="19" t="s">
        <v>191</v>
      </c>
      <c r="AU431" s="19" t="s">
        <v>87</v>
      </c>
    </row>
    <row r="432" spans="1:65" s="12" customFormat="1" ht="22.9" customHeight="1">
      <c r="B432" s="126"/>
      <c r="D432" s="127" t="s">
        <v>76</v>
      </c>
      <c r="E432" s="137" t="s">
        <v>3419</v>
      </c>
      <c r="F432" s="137" t="s">
        <v>3420</v>
      </c>
      <c r="I432" s="129"/>
      <c r="J432" s="138">
        <f>BK432</f>
        <v>0</v>
      </c>
      <c r="L432" s="126"/>
      <c r="M432" s="131"/>
      <c r="N432" s="132"/>
      <c r="O432" s="132"/>
      <c r="P432" s="133">
        <f>SUM(P433:P489)</f>
        <v>0</v>
      </c>
      <c r="Q432" s="132"/>
      <c r="R432" s="133">
        <f>SUM(R433:R489)</f>
        <v>3.4389193429699993</v>
      </c>
      <c r="S432" s="132"/>
      <c r="T432" s="134">
        <f>SUM(T433:T489)</f>
        <v>0</v>
      </c>
      <c r="AR432" s="127" t="s">
        <v>87</v>
      </c>
      <c r="AT432" s="135" t="s">
        <v>76</v>
      </c>
      <c r="AU432" s="135" t="s">
        <v>85</v>
      </c>
      <c r="AY432" s="127" t="s">
        <v>177</v>
      </c>
      <c r="BK432" s="136">
        <f>SUM(BK433:BK489)</f>
        <v>0</v>
      </c>
    </row>
    <row r="433" spans="1:65" s="2" customFormat="1" ht="16.5" customHeight="1">
      <c r="A433" s="34"/>
      <c r="B433" s="139"/>
      <c r="C433" s="140" t="s">
        <v>1268</v>
      </c>
      <c r="D433" s="140" t="s">
        <v>180</v>
      </c>
      <c r="E433" s="141" t="s">
        <v>3421</v>
      </c>
      <c r="F433" s="142" t="s">
        <v>3422</v>
      </c>
      <c r="G433" s="143" t="s">
        <v>332</v>
      </c>
      <c r="H433" s="144">
        <v>542.14</v>
      </c>
      <c r="I433" s="145"/>
      <c r="J433" s="146">
        <f>ROUND(I433*H433,2)</f>
        <v>0</v>
      </c>
      <c r="K433" s="142" t="s">
        <v>184</v>
      </c>
      <c r="L433" s="35"/>
      <c r="M433" s="147" t="s">
        <v>3</v>
      </c>
      <c r="N433" s="148" t="s">
        <v>48</v>
      </c>
      <c r="O433" s="55"/>
      <c r="P433" s="149">
        <f>O433*H433</f>
        <v>0</v>
      </c>
      <c r="Q433" s="149">
        <v>7.6799999999999999E-7</v>
      </c>
      <c r="R433" s="149">
        <f>Q433*H433</f>
        <v>4.1636351999999998E-4</v>
      </c>
      <c r="S433" s="149">
        <v>0</v>
      </c>
      <c r="T433" s="150">
        <f>S433*H433</f>
        <v>0</v>
      </c>
      <c r="U433" s="34"/>
      <c r="V433" s="34"/>
      <c r="W433" s="34"/>
      <c r="X433" s="34"/>
      <c r="Y433" s="34"/>
      <c r="Z433" s="34"/>
      <c r="AA433" s="34"/>
      <c r="AB433" s="34"/>
      <c r="AC433" s="34"/>
      <c r="AD433" s="34"/>
      <c r="AE433" s="34"/>
      <c r="AR433" s="151" t="s">
        <v>237</v>
      </c>
      <c r="AT433" s="151" t="s">
        <v>180</v>
      </c>
      <c r="AU433" s="151" t="s">
        <v>87</v>
      </c>
      <c r="AY433" s="19" t="s">
        <v>177</v>
      </c>
      <c r="BE433" s="152">
        <f>IF(N433="základní",J433,0)</f>
        <v>0</v>
      </c>
      <c r="BF433" s="152">
        <f>IF(N433="snížená",J433,0)</f>
        <v>0</v>
      </c>
      <c r="BG433" s="152">
        <f>IF(N433="zákl. přenesená",J433,0)</f>
        <v>0</v>
      </c>
      <c r="BH433" s="152">
        <f>IF(N433="sníž. přenesená",J433,0)</f>
        <v>0</v>
      </c>
      <c r="BI433" s="152">
        <f>IF(N433="nulová",J433,0)</f>
        <v>0</v>
      </c>
      <c r="BJ433" s="19" t="s">
        <v>85</v>
      </c>
      <c r="BK433" s="152">
        <f>ROUND(I433*H433,2)</f>
        <v>0</v>
      </c>
      <c r="BL433" s="19" t="s">
        <v>237</v>
      </c>
      <c r="BM433" s="151" t="s">
        <v>3423</v>
      </c>
    </row>
    <row r="434" spans="1:65" s="2" customFormat="1">
      <c r="A434" s="34"/>
      <c r="B434" s="35"/>
      <c r="C434" s="34"/>
      <c r="D434" s="153" t="s">
        <v>187</v>
      </c>
      <c r="E434" s="34"/>
      <c r="F434" s="154" t="s">
        <v>3424</v>
      </c>
      <c r="G434" s="34"/>
      <c r="H434" s="34"/>
      <c r="I434" s="155"/>
      <c r="J434" s="34"/>
      <c r="K434" s="34"/>
      <c r="L434" s="35"/>
      <c r="M434" s="156"/>
      <c r="N434" s="157"/>
      <c r="O434" s="55"/>
      <c r="P434" s="55"/>
      <c r="Q434" s="55"/>
      <c r="R434" s="55"/>
      <c r="S434" s="55"/>
      <c r="T434" s="56"/>
      <c r="U434" s="34"/>
      <c r="V434" s="34"/>
      <c r="W434" s="34"/>
      <c r="X434" s="34"/>
      <c r="Y434" s="34"/>
      <c r="Z434" s="34"/>
      <c r="AA434" s="34"/>
      <c r="AB434" s="34"/>
      <c r="AC434" s="34"/>
      <c r="AD434" s="34"/>
      <c r="AE434" s="34"/>
      <c r="AT434" s="19" t="s">
        <v>187</v>
      </c>
      <c r="AU434" s="19" t="s">
        <v>87</v>
      </c>
    </row>
    <row r="435" spans="1:65" s="2" customFormat="1">
      <c r="A435" s="34"/>
      <c r="B435" s="35"/>
      <c r="C435" s="34"/>
      <c r="D435" s="158" t="s">
        <v>189</v>
      </c>
      <c r="E435" s="34"/>
      <c r="F435" s="159" t="s">
        <v>3425</v>
      </c>
      <c r="G435" s="34"/>
      <c r="H435" s="34"/>
      <c r="I435" s="155"/>
      <c r="J435" s="34"/>
      <c r="K435" s="34"/>
      <c r="L435" s="35"/>
      <c r="M435" s="156"/>
      <c r="N435" s="157"/>
      <c r="O435" s="55"/>
      <c r="P435" s="55"/>
      <c r="Q435" s="55"/>
      <c r="R435" s="55"/>
      <c r="S435" s="55"/>
      <c r="T435" s="56"/>
      <c r="U435" s="34"/>
      <c r="V435" s="34"/>
      <c r="W435" s="34"/>
      <c r="X435" s="34"/>
      <c r="Y435" s="34"/>
      <c r="Z435" s="34"/>
      <c r="AA435" s="34"/>
      <c r="AB435" s="34"/>
      <c r="AC435" s="34"/>
      <c r="AD435" s="34"/>
      <c r="AE435" s="34"/>
      <c r="AT435" s="19" t="s">
        <v>189</v>
      </c>
      <c r="AU435" s="19" t="s">
        <v>87</v>
      </c>
    </row>
    <row r="436" spans="1:65" s="2" customFormat="1" ht="48.75">
      <c r="A436" s="34"/>
      <c r="B436" s="35"/>
      <c r="C436" s="34"/>
      <c r="D436" s="153" t="s">
        <v>191</v>
      </c>
      <c r="E436" s="34"/>
      <c r="F436" s="160" t="s">
        <v>3426</v>
      </c>
      <c r="G436" s="34"/>
      <c r="H436" s="34"/>
      <c r="I436" s="155"/>
      <c r="J436" s="34"/>
      <c r="K436" s="34"/>
      <c r="L436" s="35"/>
      <c r="M436" s="156"/>
      <c r="N436" s="157"/>
      <c r="O436" s="55"/>
      <c r="P436" s="55"/>
      <c r="Q436" s="55"/>
      <c r="R436" s="55"/>
      <c r="S436" s="55"/>
      <c r="T436" s="56"/>
      <c r="U436" s="34"/>
      <c r="V436" s="34"/>
      <c r="W436" s="34"/>
      <c r="X436" s="34"/>
      <c r="Y436" s="34"/>
      <c r="Z436" s="34"/>
      <c r="AA436" s="34"/>
      <c r="AB436" s="34"/>
      <c r="AC436" s="34"/>
      <c r="AD436" s="34"/>
      <c r="AE436" s="34"/>
      <c r="AT436" s="19" t="s">
        <v>191</v>
      </c>
      <c r="AU436" s="19" t="s">
        <v>87</v>
      </c>
    </row>
    <row r="437" spans="1:65" s="13" customFormat="1">
      <c r="B437" s="161"/>
      <c r="D437" s="153" t="s">
        <v>193</v>
      </c>
      <c r="E437" s="162" t="s">
        <v>3</v>
      </c>
      <c r="F437" s="163" t="s">
        <v>3427</v>
      </c>
      <c r="H437" s="164">
        <v>542.14</v>
      </c>
      <c r="I437" s="165"/>
      <c r="L437" s="161"/>
      <c r="M437" s="166"/>
      <c r="N437" s="167"/>
      <c r="O437" s="167"/>
      <c r="P437" s="167"/>
      <c r="Q437" s="167"/>
      <c r="R437" s="167"/>
      <c r="S437" s="167"/>
      <c r="T437" s="168"/>
      <c r="AT437" s="162" t="s">
        <v>193</v>
      </c>
      <c r="AU437" s="162" t="s">
        <v>87</v>
      </c>
      <c r="AV437" s="13" t="s">
        <v>87</v>
      </c>
      <c r="AW437" s="13" t="s">
        <v>36</v>
      </c>
      <c r="AX437" s="13" t="s">
        <v>85</v>
      </c>
      <c r="AY437" s="162" t="s">
        <v>177</v>
      </c>
    </row>
    <row r="438" spans="1:65" s="2" customFormat="1" ht="16.5" customHeight="1">
      <c r="A438" s="34"/>
      <c r="B438" s="139"/>
      <c r="C438" s="140" t="s">
        <v>1276</v>
      </c>
      <c r="D438" s="140" t="s">
        <v>180</v>
      </c>
      <c r="E438" s="141" t="s">
        <v>3428</v>
      </c>
      <c r="F438" s="142" t="s">
        <v>3429</v>
      </c>
      <c r="G438" s="143" t="s">
        <v>332</v>
      </c>
      <c r="H438" s="144">
        <v>389.4</v>
      </c>
      <c r="I438" s="145"/>
      <c r="J438" s="146">
        <f>ROUND(I438*H438,2)</f>
        <v>0</v>
      </c>
      <c r="K438" s="142" t="s">
        <v>184</v>
      </c>
      <c r="L438" s="35"/>
      <c r="M438" s="147" t="s">
        <v>3</v>
      </c>
      <c r="N438" s="148" t="s">
        <v>48</v>
      </c>
      <c r="O438" s="55"/>
      <c r="P438" s="149">
        <f>O438*H438</f>
        <v>0</v>
      </c>
      <c r="Q438" s="149">
        <v>0</v>
      </c>
      <c r="R438" s="149">
        <f>Q438*H438</f>
        <v>0</v>
      </c>
      <c r="S438" s="149">
        <v>0</v>
      </c>
      <c r="T438" s="150">
        <f>S438*H438</f>
        <v>0</v>
      </c>
      <c r="U438" s="34"/>
      <c r="V438" s="34"/>
      <c r="W438" s="34"/>
      <c r="X438" s="34"/>
      <c r="Y438" s="34"/>
      <c r="Z438" s="34"/>
      <c r="AA438" s="34"/>
      <c r="AB438" s="34"/>
      <c r="AC438" s="34"/>
      <c r="AD438" s="34"/>
      <c r="AE438" s="34"/>
      <c r="AR438" s="151" t="s">
        <v>237</v>
      </c>
      <c r="AT438" s="151" t="s">
        <v>180</v>
      </c>
      <c r="AU438" s="151" t="s">
        <v>87</v>
      </c>
      <c r="AY438" s="19" t="s">
        <v>177</v>
      </c>
      <c r="BE438" s="152">
        <f>IF(N438="základní",J438,0)</f>
        <v>0</v>
      </c>
      <c r="BF438" s="152">
        <f>IF(N438="snížená",J438,0)</f>
        <v>0</v>
      </c>
      <c r="BG438" s="152">
        <f>IF(N438="zákl. přenesená",J438,0)</f>
        <v>0</v>
      </c>
      <c r="BH438" s="152">
        <f>IF(N438="sníž. přenesená",J438,0)</f>
        <v>0</v>
      </c>
      <c r="BI438" s="152">
        <f>IF(N438="nulová",J438,0)</f>
        <v>0</v>
      </c>
      <c r="BJ438" s="19" t="s">
        <v>85</v>
      </c>
      <c r="BK438" s="152">
        <f>ROUND(I438*H438,2)</f>
        <v>0</v>
      </c>
      <c r="BL438" s="19" t="s">
        <v>237</v>
      </c>
      <c r="BM438" s="151" t="s">
        <v>3430</v>
      </c>
    </row>
    <row r="439" spans="1:65" s="2" customFormat="1">
      <c r="A439" s="34"/>
      <c r="B439" s="35"/>
      <c r="C439" s="34"/>
      <c r="D439" s="153" t="s">
        <v>187</v>
      </c>
      <c r="E439" s="34"/>
      <c r="F439" s="154" t="s">
        <v>3431</v>
      </c>
      <c r="G439" s="34"/>
      <c r="H439" s="34"/>
      <c r="I439" s="155"/>
      <c r="J439" s="34"/>
      <c r="K439" s="34"/>
      <c r="L439" s="35"/>
      <c r="M439" s="156"/>
      <c r="N439" s="157"/>
      <c r="O439" s="55"/>
      <c r="P439" s="55"/>
      <c r="Q439" s="55"/>
      <c r="R439" s="55"/>
      <c r="S439" s="55"/>
      <c r="T439" s="56"/>
      <c r="U439" s="34"/>
      <c r="V439" s="34"/>
      <c r="W439" s="34"/>
      <c r="X439" s="34"/>
      <c r="Y439" s="34"/>
      <c r="Z439" s="34"/>
      <c r="AA439" s="34"/>
      <c r="AB439" s="34"/>
      <c r="AC439" s="34"/>
      <c r="AD439" s="34"/>
      <c r="AE439" s="34"/>
      <c r="AT439" s="19" t="s">
        <v>187</v>
      </c>
      <c r="AU439" s="19" t="s">
        <v>87</v>
      </c>
    </row>
    <row r="440" spans="1:65" s="2" customFormat="1">
      <c r="A440" s="34"/>
      <c r="B440" s="35"/>
      <c r="C440" s="34"/>
      <c r="D440" s="158" t="s">
        <v>189</v>
      </c>
      <c r="E440" s="34"/>
      <c r="F440" s="159" t="s">
        <v>3432</v>
      </c>
      <c r="G440" s="34"/>
      <c r="H440" s="34"/>
      <c r="I440" s="155"/>
      <c r="J440" s="34"/>
      <c r="K440" s="34"/>
      <c r="L440" s="35"/>
      <c r="M440" s="156"/>
      <c r="N440" s="157"/>
      <c r="O440" s="55"/>
      <c r="P440" s="55"/>
      <c r="Q440" s="55"/>
      <c r="R440" s="55"/>
      <c r="S440" s="55"/>
      <c r="T440" s="56"/>
      <c r="U440" s="34"/>
      <c r="V440" s="34"/>
      <c r="W440" s="34"/>
      <c r="X440" s="34"/>
      <c r="Y440" s="34"/>
      <c r="Z440" s="34"/>
      <c r="AA440" s="34"/>
      <c r="AB440" s="34"/>
      <c r="AC440" s="34"/>
      <c r="AD440" s="34"/>
      <c r="AE440" s="34"/>
      <c r="AT440" s="19" t="s">
        <v>189</v>
      </c>
      <c r="AU440" s="19" t="s">
        <v>87</v>
      </c>
    </row>
    <row r="441" spans="1:65" s="2" customFormat="1" ht="48.75">
      <c r="A441" s="34"/>
      <c r="B441" s="35"/>
      <c r="C441" s="34"/>
      <c r="D441" s="153" t="s">
        <v>191</v>
      </c>
      <c r="E441" s="34"/>
      <c r="F441" s="160" t="s">
        <v>3426</v>
      </c>
      <c r="G441" s="34"/>
      <c r="H441" s="34"/>
      <c r="I441" s="155"/>
      <c r="J441" s="34"/>
      <c r="K441" s="34"/>
      <c r="L441" s="35"/>
      <c r="M441" s="156"/>
      <c r="N441" s="157"/>
      <c r="O441" s="55"/>
      <c r="P441" s="55"/>
      <c r="Q441" s="55"/>
      <c r="R441" s="55"/>
      <c r="S441" s="55"/>
      <c r="T441" s="56"/>
      <c r="U441" s="34"/>
      <c r="V441" s="34"/>
      <c r="W441" s="34"/>
      <c r="X441" s="34"/>
      <c r="Y441" s="34"/>
      <c r="Z441" s="34"/>
      <c r="AA441" s="34"/>
      <c r="AB441" s="34"/>
      <c r="AC441" s="34"/>
      <c r="AD441" s="34"/>
      <c r="AE441" s="34"/>
      <c r="AT441" s="19" t="s">
        <v>191</v>
      </c>
      <c r="AU441" s="19" t="s">
        <v>87</v>
      </c>
    </row>
    <row r="442" spans="1:65" s="2" customFormat="1" ht="16.5" customHeight="1">
      <c r="A442" s="34"/>
      <c r="B442" s="139"/>
      <c r="C442" s="140" t="s">
        <v>1284</v>
      </c>
      <c r="D442" s="140" t="s">
        <v>180</v>
      </c>
      <c r="E442" s="141" t="s">
        <v>3433</v>
      </c>
      <c r="F442" s="142" t="s">
        <v>3434</v>
      </c>
      <c r="G442" s="143" t="s">
        <v>332</v>
      </c>
      <c r="H442" s="144">
        <v>389.4</v>
      </c>
      <c r="I442" s="145"/>
      <c r="J442" s="146">
        <f>ROUND(I442*H442,2)</f>
        <v>0</v>
      </c>
      <c r="K442" s="142" t="s">
        <v>184</v>
      </c>
      <c r="L442" s="35"/>
      <c r="M442" s="147" t="s">
        <v>3</v>
      </c>
      <c r="N442" s="148" t="s">
        <v>48</v>
      </c>
      <c r="O442" s="55"/>
      <c r="P442" s="149">
        <f>O442*H442</f>
        <v>0</v>
      </c>
      <c r="Q442" s="149">
        <v>3.3000000000000003E-5</v>
      </c>
      <c r="R442" s="149">
        <f>Q442*H442</f>
        <v>1.2850200000000001E-2</v>
      </c>
      <c r="S442" s="149">
        <v>0</v>
      </c>
      <c r="T442" s="150">
        <f>S442*H442</f>
        <v>0</v>
      </c>
      <c r="U442" s="34"/>
      <c r="V442" s="34"/>
      <c r="W442" s="34"/>
      <c r="X442" s="34"/>
      <c r="Y442" s="34"/>
      <c r="Z442" s="34"/>
      <c r="AA442" s="34"/>
      <c r="AB442" s="34"/>
      <c r="AC442" s="34"/>
      <c r="AD442" s="34"/>
      <c r="AE442" s="34"/>
      <c r="AR442" s="151" t="s">
        <v>237</v>
      </c>
      <c r="AT442" s="151" t="s">
        <v>180</v>
      </c>
      <c r="AU442" s="151" t="s">
        <v>87</v>
      </c>
      <c r="AY442" s="19" t="s">
        <v>177</v>
      </c>
      <c r="BE442" s="152">
        <f>IF(N442="základní",J442,0)</f>
        <v>0</v>
      </c>
      <c r="BF442" s="152">
        <f>IF(N442="snížená",J442,0)</f>
        <v>0</v>
      </c>
      <c r="BG442" s="152">
        <f>IF(N442="zákl. přenesená",J442,0)</f>
        <v>0</v>
      </c>
      <c r="BH442" s="152">
        <f>IF(N442="sníž. přenesená",J442,0)</f>
        <v>0</v>
      </c>
      <c r="BI442" s="152">
        <f>IF(N442="nulová",J442,0)</f>
        <v>0</v>
      </c>
      <c r="BJ442" s="19" t="s">
        <v>85</v>
      </c>
      <c r="BK442" s="152">
        <f>ROUND(I442*H442,2)</f>
        <v>0</v>
      </c>
      <c r="BL442" s="19" t="s">
        <v>237</v>
      </c>
      <c r="BM442" s="151" t="s">
        <v>3435</v>
      </c>
    </row>
    <row r="443" spans="1:65" s="2" customFormat="1">
      <c r="A443" s="34"/>
      <c r="B443" s="35"/>
      <c r="C443" s="34"/>
      <c r="D443" s="153" t="s">
        <v>187</v>
      </c>
      <c r="E443" s="34"/>
      <c r="F443" s="154" t="s">
        <v>3436</v>
      </c>
      <c r="G443" s="34"/>
      <c r="H443" s="34"/>
      <c r="I443" s="155"/>
      <c r="J443" s="34"/>
      <c r="K443" s="34"/>
      <c r="L443" s="35"/>
      <c r="M443" s="156"/>
      <c r="N443" s="157"/>
      <c r="O443" s="55"/>
      <c r="P443" s="55"/>
      <c r="Q443" s="55"/>
      <c r="R443" s="55"/>
      <c r="S443" s="55"/>
      <c r="T443" s="56"/>
      <c r="U443" s="34"/>
      <c r="V443" s="34"/>
      <c r="W443" s="34"/>
      <c r="X443" s="34"/>
      <c r="Y443" s="34"/>
      <c r="Z443" s="34"/>
      <c r="AA443" s="34"/>
      <c r="AB443" s="34"/>
      <c r="AC443" s="34"/>
      <c r="AD443" s="34"/>
      <c r="AE443" s="34"/>
      <c r="AT443" s="19" t="s">
        <v>187</v>
      </c>
      <c r="AU443" s="19" t="s">
        <v>87</v>
      </c>
    </row>
    <row r="444" spans="1:65" s="2" customFormat="1">
      <c r="A444" s="34"/>
      <c r="B444" s="35"/>
      <c r="C444" s="34"/>
      <c r="D444" s="158" t="s">
        <v>189</v>
      </c>
      <c r="E444" s="34"/>
      <c r="F444" s="159" t="s">
        <v>3437</v>
      </c>
      <c r="G444" s="34"/>
      <c r="H444" s="34"/>
      <c r="I444" s="155"/>
      <c r="J444" s="34"/>
      <c r="K444" s="34"/>
      <c r="L444" s="35"/>
      <c r="M444" s="156"/>
      <c r="N444" s="157"/>
      <c r="O444" s="55"/>
      <c r="P444" s="55"/>
      <c r="Q444" s="55"/>
      <c r="R444" s="55"/>
      <c r="S444" s="55"/>
      <c r="T444" s="56"/>
      <c r="U444" s="34"/>
      <c r="V444" s="34"/>
      <c r="W444" s="34"/>
      <c r="X444" s="34"/>
      <c r="Y444" s="34"/>
      <c r="Z444" s="34"/>
      <c r="AA444" s="34"/>
      <c r="AB444" s="34"/>
      <c r="AC444" s="34"/>
      <c r="AD444" s="34"/>
      <c r="AE444" s="34"/>
      <c r="AT444" s="19" t="s">
        <v>189</v>
      </c>
      <c r="AU444" s="19" t="s">
        <v>87</v>
      </c>
    </row>
    <row r="445" spans="1:65" s="2" customFormat="1" ht="48.75">
      <c r="A445" s="34"/>
      <c r="B445" s="35"/>
      <c r="C445" s="34"/>
      <c r="D445" s="153" t="s">
        <v>191</v>
      </c>
      <c r="E445" s="34"/>
      <c r="F445" s="160" t="s">
        <v>3426</v>
      </c>
      <c r="G445" s="34"/>
      <c r="H445" s="34"/>
      <c r="I445" s="155"/>
      <c r="J445" s="34"/>
      <c r="K445" s="34"/>
      <c r="L445" s="35"/>
      <c r="M445" s="156"/>
      <c r="N445" s="157"/>
      <c r="O445" s="55"/>
      <c r="P445" s="55"/>
      <c r="Q445" s="55"/>
      <c r="R445" s="55"/>
      <c r="S445" s="55"/>
      <c r="T445" s="56"/>
      <c r="U445" s="34"/>
      <c r="V445" s="34"/>
      <c r="W445" s="34"/>
      <c r="X445" s="34"/>
      <c r="Y445" s="34"/>
      <c r="Z445" s="34"/>
      <c r="AA445" s="34"/>
      <c r="AB445" s="34"/>
      <c r="AC445" s="34"/>
      <c r="AD445" s="34"/>
      <c r="AE445" s="34"/>
      <c r="AT445" s="19" t="s">
        <v>191</v>
      </c>
      <c r="AU445" s="19" t="s">
        <v>87</v>
      </c>
    </row>
    <row r="446" spans="1:65" s="2" customFormat="1" ht="21.75" customHeight="1">
      <c r="A446" s="34"/>
      <c r="B446" s="139"/>
      <c r="C446" s="140" t="s">
        <v>1292</v>
      </c>
      <c r="D446" s="140" t="s">
        <v>180</v>
      </c>
      <c r="E446" s="141" t="s">
        <v>3438</v>
      </c>
      <c r="F446" s="142" t="s">
        <v>3439</v>
      </c>
      <c r="G446" s="143" t="s">
        <v>332</v>
      </c>
      <c r="H446" s="144">
        <v>389.4</v>
      </c>
      <c r="I446" s="145"/>
      <c r="J446" s="146">
        <f>ROUND(I446*H446,2)</f>
        <v>0</v>
      </c>
      <c r="K446" s="142" t="s">
        <v>184</v>
      </c>
      <c r="L446" s="35"/>
      <c r="M446" s="147" t="s">
        <v>3</v>
      </c>
      <c r="N446" s="148" t="s">
        <v>48</v>
      </c>
      <c r="O446" s="55"/>
      <c r="P446" s="149">
        <f>O446*H446</f>
        <v>0</v>
      </c>
      <c r="Q446" s="149">
        <v>4.4999999999999997E-3</v>
      </c>
      <c r="R446" s="149">
        <f>Q446*H446</f>
        <v>1.7522999999999997</v>
      </c>
      <c r="S446" s="149">
        <v>0</v>
      </c>
      <c r="T446" s="150">
        <f>S446*H446</f>
        <v>0</v>
      </c>
      <c r="U446" s="34"/>
      <c r="V446" s="34"/>
      <c r="W446" s="34"/>
      <c r="X446" s="34"/>
      <c r="Y446" s="34"/>
      <c r="Z446" s="34"/>
      <c r="AA446" s="34"/>
      <c r="AB446" s="34"/>
      <c r="AC446" s="34"/>
      <c r="AD446" s="34"/>
      <c r="AE446" s="34"/>
      <c r="AR446" s="151" t="s">
        <v>237</v>
      </c>
      <c r="AT446" s="151" t="s">
        <v>180</v>
      </c>
      <c r="AU446" s="151" t="s">
        <v>87</v>
      </c>
      <c r="AY446" s="19" t="s">
        <v>177</v>
      </c>
      <c r="BE446" s="152">
        <f>IF(N446="základní",J446,0)</f>
        <v>0</v>
      </c>
      <c r="BF446" s="152">
        <f>IF(N446="snížená",J446,0)</f>
        <v>0</v>
      </c>
      <c r="BG446" s="152">
        <f>IF(N446="zákl. přenesená",J446,0)</f>
        <v>0</v>
      </c>
      <c r="BH446" s="152">
        <f>IF(N446="sníž. přenesená",J446,0)</f>
        <v>0</v>
      </c>
      <c r="BI446" s="152">
        <f>IF(N446="nulová",J446,0)</f>
        <v>0</v>
      </c>
      <c r="BJ446" s="19" t="s">
        <v>85</v>
      </c>
      <c r="BK446" s="152">
        <f>ROUND(I446*H446,2)</f>
        <v>0</v>
      </c>
      <c r="BL446" s="19" t="s">
        <v>237</v>
      </c>
      <c r="BM446" s="151" t="s">
        <v>3440</v>
      </c>
    </row>
    <row r="447" spans="1:65" s="2" customFormat="1">
      <c r="A447" s="34"/>
      <c r="B447" s="35"/>
      <c r="C447" s="34"/>
      <c r="D447" s="153" t="s">
        <v>187</v>
      </c>
      <c r="E447" s="34"/>
      <c r="F447" s="154" t="s">
        <v>3441</v>
      </c>
      <c r="G447" s="34"/>
      <c r="H447" s="34"/>
      <c r="I447" s="155"/>
      <c r="J447" s="34"/>
      <c r="K447" s="34"/>
      <c r="L447" s="35"/>
      <c r="M447" s="156"/>
      <c r="N447" s="157"/>
      <c r="O447" s="55"/>
      <c r="P447" s="55"/>
      <c r="Q447" s="55"/>
      <c r="R447" s="55"/>
      <c r="S447" s="55"/>
      <c r="T447" s="56"/>
      <c r="U447" s="34"/>
      <c r="V447" s="34"/>
      <c r="W447" s="34"/>
      <c r="X447" s="34"/>
      <c r="Y447" s="34"/>
      <c r="Z447" s="34"/>
      <c r="AA447" s="34"/>
      <c r="AB447" s="34"/>
      <c r="AC447" s="34"/>
      <c r="AD447" s="34"/>
      <c r="AE447" s="34"/>
      <c r="AT447" s="19" t="s">
        <v>187</v>
      </c>
      <c r="AU447" s="19" t="s">
        <v>87</v>
      </c>
    </row>
    <row r="448" spans="1:65" s="2" customFormat="1">
      <c r="A448" s="34"/>
      <c r="B448" s="35"/>
      <c r="C448" s="34"/>
      <c r="D448" s="158" t="s">
        <v>189</v>
      </c>
      <c r="E448" s="34"/>
      <c r="F448" s="159" t="s">
        <v>3442</v>
      </c>
      <c r="G448" s="34"/>
      <c r="H448" s="34"/>
      <c r="I448" s="155"/>
      <c r="J448" s="34"/>
      <c r="K448" s="34"/>
      <c r="L448" s="35"/>
      <c r="M448" s="156"/>
      <c r="N448" s="157"/>
      <c r="O448" s="55"/>
      <c r="P448" s="55"/>
      <c r="Q448" s="55"/>
      <c r="R448" s="55"/>
      <c r="S448" s="55"/>
      <c r="T448" s="56"/>
      <c r="U448" s="34"/>
      <c r="V448" s="34"/>
      <c r="W448" s="34"/>
      <c r="X448" s="34"/>
      <c r="Y448" s="34"/>
      <c r="Z448" s="34"/>
      <c r="AA448" s="34"/>
      <c r="AB448" s="34"/>
      <c r="AC448" s="34"/>
      <c r="AD448" s="34"/>
      <c r="AE448" s="34"/>
      <c r="AT448" s="19" t="s">
        <v>189</v>
      </c>
      <c r="AU448" s="19" t="s">
        <v>87</v>
      </c>
    </row>
    <row r="449" spans="1:65" s="2" customFormat="1" ht="48.75">
      <c r="A449" s="34"/>
      <c r="B449" s="35"/>
      <c r="C449" s="34"/>
      <c r="D449" s="153" t="s">
        <v>191</v>
      </c>
      <c r="E449" s="34"/>
      <c r="F449" s="160" t="s">
        <v>3426</v>
      </c>
      <c r="G449" s="34"/>
      <c r="H449" s="34"/>
      <c r="I449" s="155"/>
      <c r="J449" s="34"/>
      <c r="K449" s="34"/>
      <c r="L449" s="35"/>
      <c r="M449" s="156"/>
      <c r="N449" s="157"/>
      <c r="O449" s="55"/>
      <c r="P449" s="55"/>
      <c r="Q449" s="55"/>
      <c r="R449" s="55"/>
      <c r="S449" s="55"/>
      <c r="T449" s="56"/>
      <c r="U449" s="34"/>
      <c r="V449" s="34"/>
      <c r="W449" s="34"/>
      <c r="X449" s="34"/>
      <c r="Y449" s="34"/>
      <c r="Z449" s="34"/>
      <c r="AA449" s="34"/>
      <c r="AB449" s="34"/>
      <c r="AC449" s="34"/>
      <c r="AD449" s="34"/>
      <c r="AE449" s="34"/>
      <c r="AT449" s="19" t="s">
        <v>191</v>
      </c>
      <c r="AU449" s="19" t="s">
        <v>87</v>
      </c>
    </row>
    <row r="450" spans="1:65" s="2" customFormat="1" ht="16.5" customHeight="1">
      <c r="A450" s="34"/>
      <c r="B450" s="139"/>
      <c r="C450" s="140" t="s">
        <v>1298</v>
      </c>
      <c r="D450" s="140" t="s">
        <v>180</v>
      </c>
      <c r="E450" s="141" t="s">
        <v>3443</v>
      </c>
      <c r="F450" s="142" t="s">
        <v>3444</v>
      </c>
      <c r="G450" s="143" t="s">
        <v>332</v>
      </c>
      <c r="H450" s="144">
        <v>389.4</v>
      </c>
      <c r="I450" s="145"/>
      <c r="J450" s="146">
        <f>ROUND(I450*H450,2)</f>
        <v>0</v>
      </c>
      <c r="K450" s="142" t="s">
        <v>184</v>
      </c>
      <c r="L450" s="35"/>
      <c r="M450" s="147" t="s">
        <v>3</v>
      </c>
      <c r="N450" s="148" t="s">
        <v>48</v>
      </c>
      <c r="O450" s="55"/>
      <c r="P450" s="149">
        <f>O450*H450</f>
        <v>0</v>
      </c>
      <c r="Q450" s="149">
        <v>4.0000000000000002E-4</v>
      </c>
      <c r="R450" s="149">
        <f>Q450*H450</f>
        <v>0.15576000000000001</v>
      </c>
      <c r="S450" s="149">
        <v>0</v>
      </c>
      <c r="T450" s="150">
        <f>S450*H450</f>
        <v>0</v>
      </c>
      <c r="U450" s="34"/>
      <c r="V450" s="34"/>
      <c r="W450" s="34"/>
      <c r="X450" s="34"/>
      <c r="Y450" s="34"/>
      <c r="Z450" s="34"/>
      <c r="AA450" s="34"/>
      <c r="AB450" s="34"/>
      <c r="AC450" s="34"/>
      <c r="AD450" s="34"/>
      <c r="AE450" s="34"/>
      <c r="AR450" s="151" t="s">
        <v>237</v>
      </c>
      <c r="AT450" s="151" t="s">
        <v>180</v>
      </c>
      <c r="AU450" s="151" t="s">
        <v>87</v>
      </c>
      <c r="AY450" s="19" t="s">
        <v>177</v>
      </c>
      <c r="BE450" s="152">
        <f>IF(N450="základní",J450,0)</f>
        <v>0</v>
      </c>
      <c r="BF450" s="152">
        <f>IF(N450="snížená",J450,0)</f>
        <v>0</v>
      </c>
      <c r="BG450" s="152">
        <f>IF(N450="zákl. přenesená",J450,0)</f>
        <v>0</v>
      </c>
      <c r="BH450" s="152">
        <f>IF(N450="sníž. přenesená",J450,0)</f>
        <v>0</v>
      </c>
      <c r="BI450" s="152">
        <f>IF(N450="nulová",J450,0)</f>
        <v>0</v>
      </c>
      <c r="BJ450" s="19" t="s">
        <v>85</v>
      </c>
      <c r="BK450" s="152">
        <f>ROUND(I450*H450,2)</f>
        <v>0</v>
      </c>
      <c r="BL450" s="19" t="s">
        <v>237</v>
      </c>
      <c r="BM450" s="151" t="s">
        <v>3445</v>
      </c>
    </row>
    <row r="451" spans="1:65" s="2" customFormat="1">
      <c r="A451" s="34"/>
      <c r="B451" s="35"/>
      <c r="C451" s="34"/>
      <c r="D451" s="153" t="s">
        <v>187</v>
      </c>
      <c r="E451" s="34"/>
      <c r="F451" s="154" t="s">
        <v>3446</v>
      </c>
      <c r="G451" s="34"/>
      <c r="H451" s="34"/>
      <c r="I451" s="155"/>
      <c r="J451" s="34"/>
      <c r="K451" s="34"/>
      <c r="L451" s="35"/>
      <c r="M451" s="156"/>
      <c r="N451" s="157"/>
      <c r="O451" s="55"/>
      <c r="P451" s="55"/>
      <c r="Q451" s="55"/>
      <c r="R451" s="55"/>
      <c r="S451" s="55"/>
      <c r="T451" s="56"/>
      <c r="U451" s="34"/>
      <c r="V451" s="34"/>
      <c r="W451" s="34"/>
      <c r="X451" s="34"/>
      <c r="Y451" s="34"/>
      <c r="Z451" s="34"/>
      <c r="AA451" s="34"/>
      <c r="AB451" s="34"/>
      <c r="AC451" s="34"/>
      <c r="AD451" s="34"/>
      <c r="AE451" s="34"/>
      <c r="AT451" s="19" t="s">
        <v>187</v>
      </c>
      <c r="AU451" s="19" t="s">
        <v>87</v>
      </c>
    </row>
    <row r="452" spans="1:65" s="2" customFormat="1">
      <c r="A452" s="34"/>
      <c r="B452" s="35"/>
      <c r="C452" s="34"/>
      <c r="D452" s="158" t="s">
        <v>189</v>
      </c>
      <c r="E452" s="34"/>
      <c r="F452" s="159" t="s">
        <v>3447</v>
      </c>
      <c r="G452" s="34"/>
      <c r="H452" s="34"/>
      <c r="I452" s="155"/>
      <c r="J452" s="34"/>
      <c r="K452" s="34"/>
      <c r="L452" s="35"/>
      <c r="M452" s="156"/>
      <c r="N452" s="157"/>
      <c r="O452" s="55"/>
      <c r="P452" s="55"/>
      <c r="Q452" s="55"/>
      <c r="R452" s="55"/>
      <c r="S452" s="55"/>
      <c r="T452" s="56"/>
      <c r="U452" s="34"/>
      <c r="V452" s="34"/>
      <c r="W452" s="34"/>
      <c r="X452" s="34"/>
      <c r="Y452" s="34"/>
      <c r="Z452" s="34"/>
      <c r="AA452" s="34"/>
      <c r="AB452" s="34"/>
      <c r="AC452" s="34"/>
      <c r="AD452" s="34"/>
      <c r="AE452" s="34"/>
      <c r="AT452" s="19" t="s">
        <v>189</v>
      </c>
      <c r="AU452" s="19" t="s">
        <v>87</v>
      </c>
    </row>
    <row r="453" spans="1:65" s="13" customFormat="1">
      <c r="B453" s="161"/>
      <c r="D453" s="153" t="s">
        <v>193</v>
      </c>
      <c r="E453" s="162" t="s">
        <v>3</v>
      </c>
      <c r="F453" s="163" t="s">
        <v>3448</v>
      </c>
      <c r="H453" s="164">
        <v>171</v>
      </c>
      <c r="I453" s="165"/>
      <c r="L453" s="161"/>
      <c r="M453" s="166"/>
      <c r="N453" s="167"/>
      <c r="O453" s="167"/>
      <c r="P453" s="167"/>
      <c r="Q453" s="167"/>
      <c r="R453" s="167"/>
      <c r="S453" s="167"/>
      <c r="T453" s="168"/>
      <c r="AT453" s="162" t="s">
        <v>193</v>
      </c>
      <c r="AU453" s="162" t="s">
        <v>87</v>
      </c>
      <c r="AV453" s="13" t="s">
        <v>87</v>
      </c>
      <c r="AW453" s="13" t="s">
        <v>36</v>
      </c>
      <c r="AX453" s="13" t="s">
        <v>77</v>
      </c>
      <c r="AY453" s="162" t="s">
        <v>177</v>
      </c>
    </row>
    <row r="454" spans="1:65" s="13" customFormat="1">
      <c r="B454" s="161"/>
      <c r="D454" s="153" t="s">
        <v>193</v>
      </c>
      <c r="E454" s="162" t="s">
        <v>3</v>
      </c>
      <c r="F454" s="163" t="s">
        <v>3449</v>
      </c>
      <c r="H454" s="164">
        <v>218.4</v>
      </c>
      <c r="I454" s="165"/>
      <c r="L454" s="161"/>
      <c r="M454" s="166"/>
      <c r="N454" s="167"/>
      <c r="O454" s="167"/>
      <c r="P454" s="167"/>
      <c r="Q454" s="167"/>
      <c r="R454" s="167"/>
      <c r="S454" s="167"/>
      <c r="T454" s="168"/>
      <c r="AT454" s="162" t="s">
        <v>193</v>
      </c>
      <c r="AU454" s="162" t="s">
        <v>87</v>
      </c>
      <c r="AV454" s="13" t="s">
        <v>87</v>
      </c>
      <c r="AW454" s="13" t="s">
        <v>36</v>
      </c>
      <c r="AX454" s="13" t="s">
        <v>77</v>
      </c>
      <c r="AY454" s="162" t="s">
        <v>177</v>
      </c>
    </row>
    <row r="455" spans="1:65" s="16" customFormat="1">
      <c r="B455" s="184"/>
      <c r="D455" s="153" t="s">
        <v>193</v>
      </c>
      <c r="E455" s="185" t="s">
        <v>3</v>
      </c>
      <c r="F455" s="186" t="s">
        <v>201</v>
      </c>
      <c r="H455" s="187">
        <v>389.4</v>
      </c>
      <c r="I455" s="188"/>
      <c r="L455" s="184"/>
      <c r="M455" s="189"/>
      <c r="N455" s="190"/>
      <c r="O455" s="190"/>
      <c r="P455" s="190"/>
      <c r="Q455" s="190"/>
      <c r="R455" s="190"/>
      <c r="S455" s="190"/>
      <c r="T455" s="191"/>
      <c r="AT455" s="185" t="s">
        <v>193</v>
      </c>
      <c r="AU455" s="185" t="s">
        <v>87</v>
      </c>
      <c r="AV455" s="16" t="s">
        <v>185</v>
      </c>
      <c r="AW455" s="16" t="s">
        <v>36</v>
      </c>
      <c r="AX455" s="16" t="s">
        <v>85</v>
      </c>
      <c r="AY455" s="185" t="s">
        <v>177</v>
      </c>
    </row>
    <row r="456" spans="1:65" s="2" customFormat="1" ht="16.5" customHeight="1">
      <c r="A456" s="34"/>
      <c r="B456" s="139"/>
      <c r="C456" s="195" t="s">
        <v>1306</v>
      </c>
      <c r="D456" s="195" t="s">
        <v>484</v>
      </c>
      <c r="E456" s="196" t="s">
        <v>3450</v>
      </c>
      <c r="F456" s="197" t="s">
        <v>3451</v>
      </c>
      <c r="G456" s="198" t="s">
        <v>332</v>
      </c>
      <c r="H456" s="199">
        <v>428.34</v>
      </c>
      <c r="I456" s="200"/>
      <c r="J456" s="201">
        <f>ROUND(I456*H456,2)</f>
        <v>0</v>
      </c>
      <c r="K456" s="197" t="s">
        <v>184</v>
      </c>
      <c r="L456" s="202"/>
      <c r="M456" s="203" t="s">
        <v>3</v>
      </c>
      <c r="N456" s="204" t="s">
        <v>48</v>
      </c>
      <c r="O456" s="55"/>
      <c r="P456" s="149">
        <f>O456*H456</f>
        <v>0</v>
      </c>
      <c r="Q456" s="149">
        <v>3.3999999999999998E-3</v>
      </c>
      <c r="R456" s="149">
        <f>Q456*H456</f>
        <v>1.4563559999999998</v>
      </c>
      <c r="S456" s="149">
        <v>0</v>
      </c>
      <c r="T456" s="150">
        <f>S456*H456</f>
        <v>0</v>
      </c>
      <c r="U456" s="34"/>
      <c r="V456" s="34"/>
      <c r="W456" s="34"/>
      <c r="X456" s="34"/>
      <c r="Y456" s="34"/>
      <c r="Z456" s="34"/>
      <c r="AA456" s="34"/>
      <c r="AB456" s="34"/>
      <c r="AC456" s="34"/>
      <c r="AD456" s="34"/>
      <c r="AE456" s="34"/>
      <c r="AR456" s="151" t="s">
        <v>537</v>
      </c>
      <c r="AT456" s="151" t="s">
        <v>484</v>
      </c>
      <c r="AU456" s="151" t="s">
        <v>87</v>
      </c>
      <c r="AY456" s="19" t="s">
        <v>177</v>
      </c>
      <c r="BE456" s="152">
        <f>IF(N456="základní",J456,0)</f>
        <v>0</v>
      </c>
      <c r="BF456" s="152">
        <f>IF(N456="snížená",J456,0)</f>
        <v>0</v>
      </c>
      <c r="BG456" s="152">
        <f>IF(N456="zákl. přenesená",J456,0)</f>
        <v>0</v>
      </c>
      <c r="BH456" s="152">
        <f>IF(N456="sníž. přenesená",J456,0)</f>
        <v>0</v>
      </c>
      <c r="BI456" s="152">
        <f>IF(N456="nulová",J456,0)</f>
        <v>0</v>
      </c>
      <c r="BJ456" s="19" t="s">
        <v>85</v>
      </c>
      <c r="BK456" s="152">
        <f>ROUND(I456*H456,2)</f>
        <v>0</v>
      </c>
      <c r="BL456" s="19" t="s">
        <v>237</v>
      </c>
      <c r="BM456" s="151" t="s">
        <v>3452</v>
      </c>
    </row>
    <row r="457" spans="1:65" s="2" customFormat="1">
      <c r="A457" s="34"/>
      <c r="B457" s="35"/>
      <c r="C457" s="34"/>
      <c r="D457" s="153" t="s">
        <v>187</v>
      </c>
      <c r="E457" s="34"/>
      <c r="F457" s="154" t="s">
        <v>3451</v>
      </c>
      <c r="G457" s="34"/>
      <c r="H457" s="34"/>
      <c r="I457" s="155"/>
      <c r="J457" s="34"/>
      <c r="K457" s="34"/>
      <c r="L457" s="35"/>
      <c r="M457" s="156"/>
      <c r="N457" s="157"/>
      <c r="O457" s="55"/>
      <c r="P457" s="55"/>
      <c r="Q457" s="55"/>
      <c r="R457" s="55"/>
      <c r="S457" s="55"/>
      <c r="T457" s="56"/>
      <c r="U457" s="34"/>
      <c r="V457" s="34"/>
      <c r="W457" s="34"/>
      <c r="X457" s="34"/>
      <c r="Y457" s="34"/>
      <c r="Z457" s="34"/>
      <c r="AA457" s="34"/>
      <c r="AB457" s="34"/>
      <c r="AC457" s="34"/>
      <c r="AD457" s="34"/>
      <c r="AE457" s="34"/>
      <c r="AT457" s="19" t="s">
        <v>187</v>
      </c>
      <c r="AU457" s="19" t="s">
        <v>87</v>
      </c>
    </row>
    <row r="458" spans="1:65" s="13" customFormat="1">
      <c r="B458" s="161"/>
      <c r="D458" s="153" t="s">
        <v>193</v>
      </c>
      <c r="F458" s="163" t="s">
        <v>3453</v>
      </c>
      <c r="H458" s="164">
        <v>428.34</v>
      </c>
      <c r="I458" s="165"/>
      <c r="L458" s="161"/>
      <c r="M458" s="166"/>
      <c r="N458" s="167"/>
      <c r="O458" s="167"/>
      <c r="P458" s="167"/>
      <c r="Q458" s="167"/>
      <c r="R458" s="167"/>
      <c r="S458" s="167"/>
      <c r="T458" s="168"/>
      <c r="AT458" s="162" t="s">
        <v>193</v>
      </c>
      <c r="AU458" s="162" t="s">
        <v>87</v>
      </c>
      <c r="AV458" s="13" t="s">
        <v>87</v>
      </c>
      <c r="AW458" s="13" t="s">
        <v>4</v>
      </c>
      <c r="AX458" s="13" t="s">
        <v>85</v>
      </c>
      <c r="AY458" s="162" t="s">
        <v>177</v>
      </c>
    </row>
    <row r="459" spans="1:65" s="2" customFormat="1" ht="16.5" customHeight="1">
      <c r="A459" s="34"/>
      <c r="B459" s="139"/>
      <c r="C459" s="140" t="s">
        <v>1314</v>
      </c>
      <c r="D459" s="140" t="s">
        <v>180</v>
      </c>
      <c r="E459" s="141" t="s">
        <v>3454</v>
      </c>
      <c r="F459" s="142" t="s">
        <v>3455</v>
      </c>
      <c r="G459" s="143" t="s">
        <v>476</v>
      </c>
      <c r="H459" s="144">
        <v>76.290000000000006</v>
      </c>
      <c r="I459" s="145"/>
      <c r="J459" s="146">
        <f>ROUND(I459*H459,2)</f>
        <v>0</v>
      </c>
      <c r="K459" s="142" t="s">
        <v>184</v>
      </c>
      <c r="L459" s="35"/>
      <c r="M459" s="147" t="s">
        <v>3</v>
      </c>
      <c r="N459" s="148" t="s">
        <v>48</v>
      </c>
      <c r="O459" s="55"/>
      <c r="P459" s="149">
        <f>O459*H459</f>
        <v>0</v>
      </c>
      <c r="Q459" s="149">
        <v>1.84E-5</v>
      </c>
      <c r="R459" s="149">
        <f>Q459*H459</f>
        <v>1.403736E-3</v>
      </c>
      <c r="S459" s="149">
        <v>0</v>
      </c>
      <c r="T459" s="150">
        <f>S459*H459</f>
        <v>0</v>
      </c>
      <c r="U459" s="34"/>
      <c r="V459" s="34"/>
      <c r="W459" s="34"/>
      <c r="X459" s="34"/>
      <c r="Y459" s="34"/>
      <c r="Z459" s="34"/>
      <c r="AA459" s="34"/>
      <c r="AB459" s="34"/>
      <c r="AC459" s="34"/>
      <c r="AD459" s="34"/>
      <c r="AE459" s="34"/>
      <c r="AR459" s="151" t="s">
        <v>237</v>
      </c>
      <c r="AT459" s="151" t="s">
        <v>180</v>
      </c>
      <c r="AU459" s="151" t="s">
        <v>87</v>
      </c>
      <c r="AY459" s="19" t="s">
        <v>177</v>
      </c>
      <c r="BE459" s="152">
        <f>IF(N459="základní",J459,0)</f>
        <v>0</v>
      </c>
      <c r="BF459" s="152">
        <f>IF(N459="snížená",J459,0)</f>
        <v>0</v>
      </c>
      <c r="BG459" s="152">
        <f>IF(N459="zákl. přenesená",J459,0)</f>
        <v>0</v>
      </c>
      <c r="BH459" s="152">
        <f>IF(N459="sníž. přenesená",J459,0)</f>
        <v>0</v>
      </c>
      <c r="BI459" s="152">
        <f>IF(N459="nulová",J459,0)</f>
        <v>0</v>
      </c>
      <c r="BJ459" s="19" t="s">
        <v>85</v>
      </c>
      <c r="BK459" s="152">
        <f>ROUND(I459*H459,2)</f>
        <v>0</v>
      </c>
      <c r="BL459" s="19" t="s">
        <v>237</v>
      </c>
      <c r="BM459" s="151" t="s">
        <v>3456</v>
      </c>
    </row>
    <row r="460" spans="1:65" s="2" customFormat="1">
      <c r="A460" s="34"/>
      <c r="B460" s="35"/>
      <c r="C460" s="34"/>
      <c r="D460" s="153" t="s">
        <v>187</v>
      </c>
      <c r="E460" s="34"/>
      <c r="F460" s="154" t="s">
        <v>3457</v>
      </c>
      <c r="G460" s="34"/>
      <c r="H460" s="34"/>
      <c r="I460" s="155"/>
      <c r="J460" s="34"/>
      <c r="K460" s="34"/>
      <c r="L460" s="35"/>
      <c r="M460" s="156"/>
      <c r="N460" s="157"/>
      <c r="O460" s="55"/>
      <c r="P460" s="55"/>
      <c r="Q460" s="55"/>
      <c r="R460" s="55"/>
      <c r="S460" s="55"/>
      <c r="T460" s="56"/>
      <c r="U460" s="34"/>
      <c r="V460" s="34"/>
      <c r="W460" s="34"/>
      <c r="X460" s="34"/>
      <c r="Y460" s="34"/>
      <c r="Z460" s="34"/>
      <c r="AA460" s="34"/>
      <c r="AB460" s="34"/>
      <c r="AC460" s="34"/>
      <c r="AD460" s="34"/>
      <c r="AE460" s="34"/>
      <c r="AT460" s="19" t="s">
        <v>187</v>
      </c>
      <c r="AU460" s="19" t="s">
        <v>87</v>
      </c>
    </row>
    <row r="461" spans="1:65" s="2" customFormat="1">
      <c r="A461" s="34"/>
      <c r="B461" s="35"/>
      <c r="C461" s="34"/>
      <c r="D461" s="158" t="s">
        <v>189</v>
      </c>
      <c r="E461" s="34"/>
      <c r="F461" s="159" t="s">
        <v>3458</v>
      </c>
      <c r="G461" s="34"/>
      <c r="H461" s="34"/>
      <c r="I461" s="155"/>
      <c r="J461" s="34"/>
      <c r="K461" s="34"/>
      <c r="L461" s="35"/>
      <c r="M461" s="156"/>
      <c r="N461" s="157"/>
      <c r="O461" s="55"/>
      <c r="P461" s="55"/>
      <c r="Q461" s="55"/>
      <c r="R461" s="55"/>
      <c r="S461" s="55"/>
      <c r="T461" s="56"/>
      <c r="U461" s="34"/>
      <c r="V461" s="34"/>
      <c r="W461" s="34"/>
      <c r="X461" s="34"/>
      <c r="Y461" s="34"/>
      <c r="Z461" s="34"/>
      <c r="AA461" s="34"/>
      <c r="AB461" s="34"/>
      <c r="AC461" s="34"/>
      <c r="AD461" s="34"/>
      <c r="AE461" s="34"/>
      <c r="AT461" s="19" t="s">
        <v>189</v>
      </c>
      <c r="AU461" s="19" t="s">
        <v>87</v>
      </c>
    </row>
    <row r="462" spans="1:65" s="13" customFormat="1">
      <c r="B462" s="161"/>
      <c r="D462" s="153" t="s">
        <v>193</v>
      </c>
      <c r="E462" s="162" t="s">
        <v>3</v>
      </c>
      <c r="F462" s="163" t="s">
        <v>3459</v>
      </c>
      <c r="H462" s="164">
        <v>35</v>
      </c>
      <c r="I462" s="165"/>
      <c r="L462" s="161"/>
      <c r="M462" s="166"/>
      <c r="N462" s="167"/>
      <c r="O462" s="167"/>
      <c r="P462" s="167"/>
      <c r="Q462" s="167"/>
      <c r="R462" s="167"/>
      <c r="S462" s="167"/>
      <c r="T462" s="168"/>
      <c r="AT462" s="162" t="s">
        <v>193</v>
      </c>
      <c r="AU462" s="162" t="s">
        <v>87</v>
      </c>
      <c r="AV462" s="13" t="s">
        <v>87</v>
      </c>
      <c r="AW462" s="13" t="s">
        <v>36</v>
      </c>
      <c r="AX462" s="13" t="s">
        <v>77</v>
      </c>
      <c r="AY462" s="162" t="s">
        <v>177</v>
      </c>
    </row>
    <row r="463" spans="1:65" s="13" customFormat="1">
      <c r="B463" s="161"/>
      <c r="D463" s="153" t="s">
        <v>193</v>
      </c>
      <c r="E463" s="162" t="s">
        <v>3</v>
      </c>
      <c r="F463" s="163" t="s">
        <v>3460</v>
      </c>
      <c r="H463" s="164">
        <v>13.69</v>
      </c>
      <c r="I463" s="165"/>
      <c r="L463" s="161"/>
      <c r="M463" s="166"/>
      <c r="N463" s="167"/>
      <c r="O463" s="167"/>
      <c r="P463" s="167"/>
      <c r="Q463" s="167"/>
      <c r="R463" s="167"/>
      <c r="S463" s="167"/>
      <c r="T463" s="168"/>
      <c r="AT463" s="162" t="s">
        <v>193</v>
      </c>
      <c r="AU463" s="162" t="s">
        <v>87</v>
      </c>
      <c r="AV463" s="13" t="s">
        <v>87</v>
      </c>
      <c r="AW463" s="13" t="s">
        <v>36</v>
      </c>
      <c r="AX463" s="13" t="s">
        <v>77</v>
      </c>
      <c r="AY463" s="162" t="s">
        <v>177</v>
      </c>
    </row>
    <row r="464" spans="1:65" s="13" customFormat="1">
      <c r="B464" s="161"/>
      <c r="D464" s="153" t="s">
        <v>193</v>
      </c>
      <c r="E464" s="162" t="s">
        <v>3</v>
      </c>
      <c r="F464" s="163" t="s">
        <v>3461</v>
      </c>
      <c r="H464" s="164">
        <v>9.8000000000000007</v>
      </c>
      <c r="I464" s="165"/>
      <c r="L464" s="161"/>
      <c r="M464" s="166"/>
      <c r="N464" s="167"/>
      <c r="O464" s="167"/>
      <c r="P464" s="167"/>
      <c r="Q464" s="167"/>
      <c r="R464" s="167"/>
      <c r="S464" s="167"/>
      <c r="T464" s="168"/>
      <c r="AT464" s="162" t="s">
        <v>193</v>
      </c>
      <c r="AU464" s="162" t="s">
        <v>87</v>
      </c>
      <c r="AV464" s="13" t="s">
        <v>87</v>
      </c>
      <c r="AW464" s="13" t="s">
        <v>36</v>
      </c>
      <c r="AX464" s="13" t="s">
        <v>77</v>
      </c>
      <c r="AY464" s="162" t="s">
        <v>177</v>
      </c>
    </row>
    <row r="465" spans="1:65" s="13" customFormat="1">
      <c r="B465" s="161"/>
      <c r="D465" s="153" t="s">
        <v>193</v>
      </c>
      <c r="E465" s="162" t="s">
        <v>3</v>
      </c>
      <c r="F465" s="163" t="s">
        <v>3462</v>
      </c>
      <c r="H465" s="164">
        <v>17.8</v>
      </c>
      <c r="I465" s="165"/>
      <c r="L465" s="161"/>
      <c r="M465" s="166"/>
      <c r="N465" s="167"/>
      <c r="O465" s="167"/>
      <c r="P465" s="167"/>
      <c r="Q465" s="167"/>
      <c r="R465" s="167"/>
      <c r="S465" s="167"/>
      <c r="T465" s="168"/>
      <c r="AT465" s="162" t="s">
        <v>193</v>
      </c>
      <c r="AU465" s="162" t="s">
        <v>87</v>
      </c>
      <c r="AV465" s="13" t="s">
        <v>87</v>
      </c>
      <c r="AW465" s="13" t="s">
        <v>36</v>
      </c>
      <c r="AX465" s="13" t="s">
        <v>77</v>
      </c>
      <c r="AY465" s="162" t="s">
        <v>177</v>
      </c>
    </row>
    <row r="466" spans="1:65" s="16" customFormat="1">
      <c r="B466" s="184"/>
      <c r="D466" s="153" t="s">
        <v>193</v>
      </c>
      <c r="E466" s="185" t="s">
        <v>3</v>
      </c>
      <c r="F466" s="186" t="s">
        <v>201</v>
      </c>
      <c r="H466" s="187">
        <v>76.289999999999992</v>
      </c>
      <c r="I466" s="188"/>
      <c r="L466" s="184"/>
      <c r="M466" s="189"/>
      <c r="N466" s="190"/>
      <c r="O466" s="190"/>
      <c r="P466" s="190"/>
      <c r="Q466" s="190"/>
      <c r="R466" s="190"/>
      <c r="S466" s="190"/>
      <c r="T466" s="191"/>
      <c r="AT466" s="185" t="s">
        <v>193</v>
      </c>
      <c r="AU466" s="185" t="s">
        <v>87</v>
      </c>
      <c r="AV466" s="16" t="s">
        <v>185</v>
      </c>
      <c r="AW466" s="16" t="s">
        <v>36</v>
      </c>
      <c r="AX466" s="16" t="s">
        <v>85</v>
      </c>
      <c r="AY466" s="185" t="s">
        <v>177</v>
      </c>
    </row>
    <row r="467" spans="1:65" s="2" customFormat="1" ht="16.5" customHeight="1">
      <c r="A467" s="34"/>
      <c r="B467" s="139"/>
      <c r="C467" s="140" t="s">
        <v>1326</v>
      </c>
      <c r="D467" s="140" t="s">
        <v>180</v>
      </c>
      <c r="E467" s="141" t="s">
        <v>3463</v>
      </c>
      <c r="F467" s="142" t="s">
        <v>3464</v>
      </c>
      <c r="G467" s="143" t="s">
        <v>476</v>
      </c>
      <c r="H467" s="144">
        <v>160.87</v>
      </c>
      <c r="I467" s="145"/>
      <c r="J467" s="146">
        <f>ROUND(I467*H467,2)</f>
        <v>0</v>
      </c>
      <c r="K467" s="142" t="s">
        <v>184</v>
      </c>
      <c r="L467" s="35"/>
      <c r="M467" s="147" t="s">
        <v>3</v>
      </c>
      <c r="N467" s="148" t="s">
        <v>48</v>
      </c>
      <c r="O467" s="55"/>
      <c r="P467" s="149">
        <f>O467*H467</f>
        <v>0</v>
      </c>
      <c r="Q467" s="149">
        <v>1.4935E-5</v>
      </c>
      <c r="R467" s="149">
        <f>Q467*H467</f>
        <v>2.4025934500000001E-3</v>
      </c>
      <c r="S467" s="149">
        <v>0</v>
      </c>
      <c r="T467" s="150">
        <f>S467*H467</f>
        <v>0</v>
      </c>
      <c r="U467" s="34"/>
      <c r="V467" s="34"/>
      <c r="W467" s="34"/>
      <c r="X467" s="34"/>
      <c r="Y467" s="34"/>
      <c r="Z467" s="34"/>
      <c r="AA467" s="34"/>
      <c r="AB467" s="34"/>
      <c r="AC467" s="34"/>
      <c r="AD467" s="34"/>
      <c r="AE467" s="34"/>
      <c r="AR467" s="151" t="s">
        <v>237</v>
      </c>
      <c r="AT467" s="151" t="s">
        <v>180</v>
      </c>
      <c r="AU467" s="151" t="s">
        <v>87</v>
      </c>
      <c r="AY467" s="19" t="s">
        <v>177</v>
      </c>
      <c r="BE467" s="152">
        <f>IF(N467="základní",J467,0)</f>
        <v>0</v>
      </c>
      <c r="BF467" s="152">
        <f>IF(N467="snížená",J467,0)</f>
        <v>0</v>
      </c>
      <c r="BG467" s="152">
        <f>IF(N467="zákl. přenesená",J467,0)</f>
        <v>0</v>
      </c>
      <c r="BH467" s="152">
        <f>IF(N467="sníž. přenesená",J467,0)</f>
        <v>0</v>
      </c>
      <c r="BI467" s="152">
        <f>IF(N467="nulová",J467,0)</f>
        <v>0</v>
      </c>
      <c r="BJ467" s="19" t="s">
        <v>85</v>
      </c>
      <c r="BK467" s="152">
        <f>ROUND(I467*H467,2)</f>
        <v>0</v>
      </c>
      <c r="BL467" s="19" t="s">
        <v>237</v>
      </c>
      <c r="BM467" s="151" t="s">
        <v>3465</v>
      </c>
    </row>
    <row r="468" spans="1:65" s="2" customFormat="1">
      <c r="A468" s="34"/>
      <c r="B468" s="35"/>
      <c r="C468" s="34"/>
      <c r="D468" s="153" t="s">
        <v>187</v>
      </c>
      <c r="E468" s="34"/>
      <c r="F468" s="154" t="s">
        <v>3466</v>
      </c>
      <c r="G468" s="34"/>
      <c r="H468" s="34"/>
      <c r="I468" s="155"/>
      <c r="J468" s="34"/>
      <c r="K468" s="34"/>
      <c r="L468" s="35"/>
      <c r="M468" s="156"/>
      <c r="N468" s="157"/>
      <c r="O468" s="55"/>
      <c r="P468" s="55"/>
      <c r="Q468" s="55"/>
      <c r="R468" s="55"/>
      <c r="S468" s="55"/>
      <c r="T468" s="56"/>
      <c r="U468" s="34"/>
      <c r="V468" s="34"/>
      <c r="W468" s="34"/>
      <c r="X468" s="34"/>
      <c r="Y468" s="34"/>
      <c r="Z468" s="34"/>
      <c r="AA468" s="34"/>
      <c r="AB468" s="34"/>
      <c r="AC468" s="34"/>
      <c r="AD468" s="34"/>
      <c r="AE468" s="34"/>
      <c r="AT468" s="19" t="s">
        <v>187</v>
      </c>
      <c r="AU468" s="19" t="s">
        <v>87</v>
      </c>
    </row>
    <row r="469" spans="1:65" s="2" customFormat="1">
      <c r="A469" s="34"/>
      <c r="B469" s="35"/>
      <c r="C469" s="34"/>
      <c r="D469" s="158" t="s">
        <v>189</v>
      </c>
      <c r="E469" s="34"/>
      <c r="F469" s="159" t="s">
        <v>3467</v>
      </c>
      <c r="G469" s="34"/>
      <c r="H469" s="34"/>
      <c r="I469" s="155"/>
      <c r="J469" s="34"/>
      <c r="K469" s="34"/>
      <c r="L469" s="35"/>
      <c r="M469" s="156"/>
      <c r="N469" s="157"/>
      <c r="O469" s="55"/>
      <c r="P469" s="55"/>
      <c r="Q469" s="55"/>
      <c r="R469" s="55"/>
      <c r="S469" s="55"/>
      <c r="T469" s="56"/>
      <c r="U469" s="34"/>
      <c r="V469" s="34"/>
      <c r="W469" s="34"/>
      <c r="X469" s="34"/>
      <c r="Y469" s="34"/>
      <c r="Z469" s="34"/>
      <c r="AA469" s="34"/>
      <c r="AB469" s="34"/>
      <c r="AC469" s="34"/>
      <c r="AD469" s="34"/>
      <c r="AE469" s="34"/>
      <c r="AT469" s="19" t="s">
        <v>189</v>
      </c>
      <c r="AU469" s="19" t="s">
        <v>87</v>
      </c>
    </row>
    <row r="470" spans="1:65" s="13" customFormat="1">
      <c r="B470" s="161"/>
      <c r="D470" s="153" t="s">
        <v>193</v>
      </c>
      <c r="E470" s="162" t="s">
        <v>3</v>
      </c>
      <c r="F470" s="163" t="s">
        <v>3468</v>
      </c>
      <c r="H470" s="164">
        <v>50.51</v>
      </c>
      <c r="I470" s="165"/>
      <c r="L470" s="161"/>
      <c r="M470" s="166"/>
      <c r="N470" s="167"/>
      <c r="O470" s="167"/>
      <c r="P470" s="167"/>
      <c r="Q470" s="167"/>
      <c r="R470" s="167"/>
      <c r="S470" s="167"/>
      <c r="T470" s="168"/>
      <c r="AT470" s="162" t="s">
        <v>193</v>
      </c>
      <c r="AU470" s="162" t="s">
        <v>87</v>
      </c>
      <c r="AV470" s="13" t="s">
        <v>87</v>
      </c>
      <c r="AW470" s="13" t="s">
        <v>36</v>
      </c>
      <c r="AX470" s="13" t="s">
        <v>77</v>
      </c>
      <c r="AY470" s="162" t="s">
        <v>177</v>
      </c>
    </row>
    <row r="471" spans="1:65" s="13" customFormat="1">
      <c r="B471" s="161"/>
      <c r="D471" s="153" t="s">
        <v>193</v>
      </c>
      <c r="E471" s="162" t="s">
        <v>3</v>
      </c>
      <c r="F471" s="163" t="s">
        <v>3469</v>
      </c>
      <c r="H471" s="164">
        <v>37.78</v>
      </c>
      <c r="I471" s="165"/>
      <c r="L471" s="161"/>
      <c r="M471" s="166"/>
      <c r="N471" s="167"/>
      <c r="O471" s="167"/>
      <c r="P471" s="167"/>
      <c r="Q471" s="167"/>
      <c r="R471" s="167"/>
      <c r="S471" s="167"/>
      <c r="T471" s="168"/>
      <c r="AT471" s="162" t="s">
        <v>193</v>
      </c>
      <c r="AU471" s="162" t="s">
        <v>87</v>
      </c>
      <c r="AV471" s="13" t="s">
        <v>87</v>
      </c>
      <c r="AW471" s="13" t="s">
        <v>36</v>
      </c>
      <c r="AX471" s="13" t="s">
        <v>77</v>
      </c>
      <c r="AY471" s="162" t="s">
        <v>177</v>
      </c>
    </row>
    <row r="472" spans="1:65" s="13" customFormat="1">
      <c r="B472" s="161"/>
      <c r="D472" s="153" t="s">
        <v>193</v>
      </c>
      <c r="E472" s="162" t="s">
        <v>3</v>
      </c>
      <c r="F472" s="163" t="s">
        <v>3470</v>
      </c>
      <c r="H472" s="164">
        <v>44.51</v>
      </c>
      <c r="I472" s="165"/>
      <c r="L472" s="161"/>
      <c r="M472" s="166"/>
      <c r="N472" s="167"/>
      <c r="O472" s="167"/>
      <c r="P472" s="167"/>
      <c r="Q472" s="167"/>
      <c r="R472" s="167"/>
      <c r="S472" s="167"/>
      <c r="T472" s="168"/>
      <c r="AT472" s="162" t="s">
        <v>193</v>
      </c>
      <c r="AU472" s="162" t="s">
        <v>87</v>
      </c>
      <c r="AV472" s="13" t="s">
        <v>87</v>
      </c>
      <c r="AW472" s="13" t="s">
        <v>36</v>
      </c>
      <c r="AX472" s="13" t="s">
        <v>77</v>
      </c>
      <c r="AY472" s="162" t="s">
        <v>177</v>
      </c>
    </row>
    <row r="473" spans="1:65" s="13" customFormat="1">
      <c r="B473" s="161"/>
      <c r="D473" s="153" t="s">
        <v>193</v>
      </c>
      <c r="E473" s="162" t="s">
        <v>3</v>
      </c>
      <c r="F473" s="163" t="s">
        <v>3471</v>
      </c>
      <c r="H473" s="164">
        <v>28.07</v>
      </c>
      <c r="I473" s="165"/>
      <c r="L473" s="161"/>
      <c r="M473" s="166"/>
      <c r="N473" s="167"/>
      <c r="O473" s="167"/>
      <c r="P473" s="167"/>
      <c r="Q473" s="167"/>
      <c r="R473" s="167"/>
      <c r="S473" s="167"/>
      <c r="T473" s="168"/>
      <c r="AT473" s="162" t="s">
        <v>193</v>
      </c>
      <c r="AU473" s="162" t="s">
        <v>87</v>
      </c>
      <c r="AV473" s="13" t="s">
        <v>87</v>
      </c>
      <c r="AW473" s="13" t="s">
        <v>36</v>
      </c>
      <c r="AX473" s="13" t="s">
        <v>77</v>
      </c>
      <c r="AY473" s="162" t="s">
        <v>177</v>
      </c>
    </row>
    <row r="474" spans="1:65" s="16" customFormat="1">
      <c r="B474" s="184"/>
      <c r="D474" s="153" t="s">
        <v>193</v>
      </c>
      <c r="E474" s="185" t="s">
        <v>3</v>
      </c>
      <c r="F474" s="186" t="s">
        <v>201</v>
      </c>
      <c r="H474" s="187">
        <v>160.86999999999998</v>
      </c>
      <c r="I474" s="188"/>
      <c r="L474" s="184"/>
      <c r="M474" s="189"/>
      <c r="N474" s="190"/>
      <c r="O474" s="190"/>
      <c r="P474" s="190"/>
      <c r="Q474" s="190"/>
      <c r="R474" s="190"/>
      <c r="S474" s="190"/>
      <c r="T474" s="191"/>
      <c r="AT474" s="185" t="s">
        <v>193</v>
      </c>
      <c r="AU474" s="185" t="s">
        <v>87</v>
      </c>
      <c r="AV474" s="16" t="s">
        <v>185</v>
      </c>
      <c r="AW474" s="16" t="s">
        <v>36</v>
      </c>
      <c r="AX474" s="16" t="s">
        <v>85</v>
      </c>
      <c r="AY474" s="185" t="s">
        <v>177</v>
      </c>
    </row>
    <row r="475" spans="1:65" s="2" customFormat="1" ht="16.5" customHeight="1">
      <c r="A475" s="34"/>
      <c r="B475" s="139"/>
      <c r="C475" s="195" t="s">
        <v>1334</v>
      </c>
      <c r="D475" s="195" t="s">
        <v>484</v>
      </c>
      <c r="E475" s="196" t="s">
        <v>3472</v>
      </c>
      <c r="F475" s="197" t="s">
        <v>3473</v>
      </c>
      <c r="G475" s="198" t="s">
        <v>476</v>
      </c>
      <c r="H475" s="199">
        <v>164.08699999999999</v>
      </c>
      <c r="I475" s="200"/>
      <c r="J475" s="201">
        <f>ROUND(I475*H475,2)</f>
        <v>0</v>
      </c>
      <c r="K475" s="197" t="s">
        <v>184</v>
      </c>
      <c r="L475" s="202"/>
      <c r="M475" s="203" t="s">
        <v>3</v>
      </c>
      <c r="N475" s="204" t="s">
        <v>48</v>
      </c>
      <c r="O475" s="55"/>
      <c r="P475" s="149">
        <f>O475*H475</f>
        <v>0</v>
      </c>
      <c r="Q475" s="149">
        <v>3.5E-4</v>
      </c>
      <c r="R475" s="149">
        <f>Q475*H475</f>
        <v>5.7430449999999994E-2</v>
      </c>
      <c r="S475" s="149">
        <v>0</v>
      </c>
      <c r="T475" s="150">
        <f>S475*H475</f>
        <v>0</v>
      </c>
      <c r="U475" s="34"/>
      <c r="V475" s="34"/>
      <c r="W475" s="34"/>
      <c r="X475" s="34"/>
      <c r="Y475" s="34"/>
      <c r="Z475" s="34"/>
      <c r="AA475" s="34"/>
      <c r="AB475" s="34"/>
      <c r="AC475" s="34"/>
      <c r="AD475" s="34"/>
      <c r="AE475" s="34"/>
      <c r="AR475" s="151" t="s">
        <v>537</v>
      </c>
      <c r="AT475" s="151" t="s">
        <v>484</v>
      </c>
      <c r="AU475" s="151" t="s">
        <v>87</v>
      </c>
      <c r="AY475" s="19" t="s">
        <v>177</v>
      </c>
      <c r="BE475" s="152">
        <f>IF(N475="základní",J475,0)</f>
        <v>0</v>
      </c>
      <c r="BF475" s="152">
        <f>IF(N475="snížená",J475,0)</f>
        <v>0</v>
      </c>
      <c r="BG475" s="152">
        <f>IF(N475="zákl. přenesená",J475,0)</f>
        <v>0</v>
      </c>
      <c r="BH475" s="152">
        <f>IF(N475="sníž. přenesená",J475,0)</f>
        <v>0</v>
      </c>
      <c r="BI475" s="152">
        <f>IF(N475="nulová",J475,0)</f>
        <v>0</v>
      </c>
      <c r="BJ475" s="19" t="s">
        <v>85</v>
      </c>
      <c r="BK475" s="152">
        <f>ROUND(I475*H475,2)</f>
        <v>0</v>
      </c>
      <c r="BL475" s="19" t="s">
        <v>237</v>
      </c>
      <c r="BM475" s="151" t="s">
        <v>3474</v>
      </c>
    </row>
    <row r="476" spans="1:65" s="2" customFormat="1">
      <c r="A476" s="34"/>
      <c r="B476" s="35"/>
      <c r="C476" s="34"/>
      <c r="D476" s="153" t="s">
        <v>187</v>
      </c>
      <c r="E476" s="34"/>
      <c r="F476" s="154" t="s">
        <v>3473</v>
      </c>
      <c r="G476" s="34"/>
      <c r="H476" s="34"/>
      <c r="I476" s="155"/>
      <c r="J476" s="34"/>
      <c r="K476" s="34"/>
      <c r="L476" s="35"/>
      <c r="M476" s="156"/>
      <c r="N476" s="157"/>
      <c r="O476" s="55"/>
      <c r="P476" s="55"/>
      <c r="Q476" s="55"/>
      <c r="R476" s="55"/>
      <c r="S476" s="55"/>
      <c r="T476" s="56"/>
      <c r="U476" s="34"/>
      <c r="V476" s="34"/>
      <c r="W476" s="34"/>
      <c r="X476" s="34"/>
      <c r="Y476" s="34"/>
      <c r="Z476" s="34"/>
      <c r="AA476" s="34"/>
      <c r="AB476" s="34"/>
      <c r="AC476" s="34"/>
      <c r="AD476" s="34"/>
      <c r="AE476" s="34"/>
      <c r="AT476" s="19" t="s">
        <v>187</v>
      </c>
      <c r="AU476" s="19" t="s">
        <v>87</v>
      </c>
    </row>
    <row r="477" spans="1:65" s="13" customFormat="1">
      <c r="B477" s="161"/>
      <c r="D477" s="153" t="s">
        <v>193</v>
      </c>
      <c r="F477" s="163" t="s">
        <v>3475</v>
      </c>
      <c r="H477" s="164">
        <v>164.08699999999999</v>
      </c>
      <c r="I477" s="165"/>
      <c r="L477" s="161"/>
      <c r="M477" s="166"/>
      <c r="N477" s="167"/>
      <c r="O477" s="167"/>
      <c r="P477" s="167"/>
      <c r="Q477" s="167"/>
      <c r="R477" s="167"/>
      <c r="S477" s="167"/>
      <c r="T477" s="168"/>
      <c r="AT477" s="162" t="s">
        <v>193</v>
      </c>
      <c r="AU477" s="162" t="s">
        <v>87</v>
      </c>
      <c r="AV477" s="13" t="s">
        <v>87</v>
      </c>
      <c r="AW477" s="13" t="s">
        <v>4</v>
      </c>
      <c r="AX477" s="13" t="s">
        <v>85</v>
      </c>
      <c r="AY477" s="162" t="s">
        <v>177</v>
      </c>
    </row>
    <row r="478" spans="1:65" s="2" customFormat="1" ht="16.5" customHeight="1">
      <c r="A478" s="34"/>
      <c r="B478" s="139"/>
      <c r="C478" s="140" t="s">
        <v>1340</v>
      </c>
      <c r="D478" s="140" t="s">
        <v>180</v>
      </c>
      <c r="E478" s="141" t="s">
        <v>3476</v>
      </c>
      <c r="F478" s="142" t="s">
        <v>3477</v>
      </c>
      <c r="G478" s="143" t="s">
        <v>332</v>
      </c>
      <c r="H478" s="144">
        <v>389.4</v>
      </c>
      <c r="I478" s="145"/>
      <c r="J478" s="146">
        <f>ROUND(I478*H478,2)</f>
        <v>0</v>
      </c>
      <c r="K478" s="142" t="s">
        <v>184</v>
      </c>
      <c r="L478" s="35"/>
      <c r="M478" s="147" t="s">
        <v>3</v>
      </c>
      <c r="N478" s="148" t="s">
        <v>48</v>
      </c>
      <c r="O478" s="55"/>
      <c r="P478" s="149">
        <f>O478*H478</f>
        <v>0</v>
      </c>
      <c r="Q478" s="149">
        <v>0</v>
      </c>
      <c r="R478" s="149">
        <f>Q478*H478</f>
        <v>0</v>
      </c>
      <c r="S478" s="149">
        <v>0</v>
      </c>
      <c r="T478" s="150">
        <f>S478*H478</f>
        <v>0</v>
      </c>
      <c r="U478" s="34"/>
      <c r="V478" s="34"/>
      <c r="W478" s="34"/>
      <c r="X478" s="34"/>
      <c r="Y478" s="34"/>
      <c r="Z478" s="34"/>
      <c r="AA478" s="34"/>
      <c r="AB478" s="34"/>
      <c r="AC478" s="34"/>
      <c r="AD478" s="34"/>
      <c r="AE478" s="34"/>
      <c r="AR478" s="151" t="s">
        <v>237</v>
      </c>
      <c r="AT478" s="151" t="s">
        <v>180</v>
      </c>
      <c r="AU478" s="151" t="s">
        <v>87</v>
      </c>
      <c r="AY478" s="19" t="s">
        <v>177</v>
      </c>
      <c r="BE478" s="152">
        <f>IF(N478="základní",J478,0)</f>
        <v>0</v>
      </c>
      <c r="BF478" s="152">
        <f>IF(N478="snížená",J478,0)</f>
        <v>0</v>
      </c>
      <c r="BG478" s="152">
        <f>IF(N478="zákl. přenesená",J478,0)</f>
        <v>0</v>
      </c>
      <c r="BH478" s="152">
        <f>IF(N478="sníž. přenesená",J478,0)</f>
        <v>0</v>
      </c>
      <c r="BI478" s="152">
        <f>IF(N478="nulová",J478,0)</f>
        <v>0</v>
      </c>
      <c r="BJ478" s="19" t="s">
        <v>85</v>
      </c>
      <c r="BK478" s="152">
        <f>ROUND(I478*H478,2)</f>
        <v>0</v>
      </c>
      <c r="BL478" s="19" t="s">
        <v>237</v>
      </c>
      <c r="BM478" s="151" t="s">
        <v>3478</v>
      </c>
    </row>
    <row r="479" spans="1:65" s="2" customFormat="1">
      <c r="A479" s="34"/>
      <c r="B479" s="35"/>
      <c r="C479" s="34"/>
      <c r="D479" s="153" t="s">
        <v>187</v>
      </c>
      <c r="E479" s="34"/>
      <c r="F479" s="154" t="s">
        <v>3479</v>
      </c>
      <c r="G479" s="34"/>
      <c r="H479" s="34"/>
      <c r="I479" s="155"/>
      <c r="J479" s="34"/>
      <c r="K479" s="34"/>
      <c r="L479" s="35"/>
      <c r="M479" s="156"/>
      <c r="N479" s="157"/>
      <c r="O479" s="55"/>
      <c r="P479" s="55"/>
      <c r="Q479" s="55"/>
      <c r="R479" s="55"/>
      <c r="S479" s="55"/>
      <c r="T479" s="56"/>
      <c r="U479" s="34"/>
      <c r="V479" s="34"/>
      <c r="W479" s="34"/>
      <c r="X479" s="34"/>
      <c r="Y479" s="34"/>
      <c r="Z479" s="34"/>
      <c r="AA479" s="34"/>
      <c r="AB479" s="34"/>
      <c r="AC479" s="34"/>
      <c r="AD479" s="34"/>
      <c r="AE479" s="34"/>
      <c r="AT479" s="19" t="s">
        <v>187</v>
      </c>
      <c r="AU479" s="19" t="s">
        <v>87</v>
      </c>
    </row>
    <row r="480" spans="1:65" s="2" customFormat="1">
      <c r="A480" s="34"/>
      <c r="B480" s="35"/>
      <c r="C480" s="34"/>
      <c r="D480" s="158" t="s">
        <v>189</v>
      </c>
      <c r="E480" s="34"/>
      <c r="F480" s="159" t="s">
        <v>3480</v>
      </c>
      <c r="G480" s="34"/>
      <c r="H480" s="34"/>
      <c r="I480" s="155"/>
      <c r="J480" s="34"/>
      <c r="K480" s="34"/>
      <c r="L480" s="35"/>
      <c r="M480" s="156"/>
      <c r="N480" s="157"/>
      <c r="O480" s="55"/>
      <c r="P480" s="55"/>
      <c r="Q480" s="55"/>
      <c r="R480" s="55"/>
      <c r="S480" s="55"/>
      <c r="T480" s="56"/>
      <c r="U480" s="34"/>
      <c r="V480" s="34"/>
      <c r="W480" s="34"/>
      <c r="X480" s="34"/>
      <c r="Y480" s="34"/>
      <c r="Z480" s="34"/>
      <c r="AA480" s="34"/>
      <c r="AB480" s="34"/>
      <c r="AC480" s="34"/>
      <c r="AD480" s="34"/>
      <c r="AE480" s="34"/>
      <c r="AT480" s="19" t="s">
        <v>189</v>
      </c>
      <c r="AU480" s="19" t="s">
        <v>87</v>
      </c>
    </row>
    <row r="481" spans="1:65" s="2" customFormat="1" ht="39">
      <c r="A481" s="34"/>
      <c r="B481" s="35"/>
      <c r="C481" s="34"/>
      <c r="D481" s="153" t="s">
        <v>191</v>
      </c>
      <c r="E481" s="34"/>
      <c r="F481" s="160" t="s">
        <v>3481</v>
      </c>
      <c r="G481" s="34"/>
      <c r="H481" s="34"/>
      <c r="I481" s="155"/>
      <c r="J481" s="34"/>
      <c r="K481" s="34"/>
      <c r="L481" s="35"/>
      <c r="M481" s="156"/>
      <c r="N481" s="157"/>
      <c r="O481" s="55"/>
      <c r="P481" s="55"/>
      <c r="Q481" s="55"/>
      <c r="R481" s="55"/>
      <c r="S481" s="55"/>
      <c r="T481" s="56"/>
      <c r="U481" s="34"/>
      <c r="V481" s="34"/>
      <c r="W481" s="34"/>
      <c r="X481" s="34"/>
      <c r="Y481" s="34"/>
      <c r="Z481" s="34"/>
      <c r="AA481" s="34"/>
      <c r="AB481" s="34"/>
      <c r="AC481" s="34"/>
      <c r="AD481" s="34"/>
      <c r="AE481" s="34"/>
      <c r="AT481" s="19" t="s">
        <v>191</v>
      </c>
      <c r="AU481" s="19" t="s">
        <v>87</v>
      </c>
    </row>
    <row r="482" spans="1:65" s="2" customFormat="1" ht="16.5" customHeight="1">
      <c r="A482" s="34"/>
      <c r="B482" s="139"/>
      <c r="C482" s="140" t="s">
        <v>2678</v>
      </c>
      <c r="D482" s="140" t="s">
        <v>180</v>
      </c>
      <c r="E482" s="141" t="s">
        <v>3482</v>
      </c>
      <c r="F482" s="142" t="s">
        <v>3483</v>
      </c>
      <c r="G482" s="143" t="s">
        <v>183</v>
      </c>
      <c r="H482" s="144">
        <v>3.4390000000000001</v>
      </c>
      <c r="I482" s="145"/>
      <c r="J482" s="146">
        <f>ROUND(I482*H482,2)</f>
        <v>0</v>
      </c>
      <c r="K482" s="142" t="s">
        <v>184</v>
      </c>
      <c r="L482" s="35"/>
      <c r="M482" s="147" t="s">
        <v>3</v>
      </c>
      <c r="N482" s="148" t="s">
        <v>48</v>
      </c>
      <c r="O482" s="55"/>
      <c r="P482" s="149">
        <f>O482*H482</f>
        <v>0</v>
      </c>
      <c r="Q482" s="149">
        <v>0</v>
      </c>
      <c r="R482" s="149">
        <f>Q482*H482</f>
        <v>0</v>
      </c>
      <c r="S482" s="149">
        <v>0</v>
      </c>
      <c r="T482" s="150">
        <f>S482*H482</f>
        <v>0</v>
      </c>
      <c r="U482" s="34"/>
      <c r="V482" s="34"/>
      <c r="W482" s="34"/>
      <c r="X482" s="34"/>
      <c r="Y482" s="34"/>
      <c r="Z482" s="34"/>
      <c r="AA482" s="34"/>
      <c r="AB482" s="34"/>
      <c r="AC482" s="34"/>
      <c r="AD482" s="34"/>
      <c r="AE482" s="34"/>
      <c r="AR482" s="151" t="s">
        <v>237</v>
      </c>
      <c r="AT482" s="151" t="s">
        <v>180</v>
      </c>
      <c r="AU482" s="151" t="s">
        <v>87</v>
      </c>
      <c r="AY482" s="19" t="s">
        <v>177</v>
      </c>
      <c r="BE482" s="152">
        <f>IF(N482="základní",J482,0)</f>
        <v>0</v>
      </c>
      <c r="BF482" s="152">
        <f>IF(N482="snížená",J482,0)</f>
        <v>0</v>
      </c>
      <c r="BG482" s="152">
        <f>IF(N482="zákl. přenesená",J482,0)</f>
        <v>0</v>
      </c>
      <c r="BH482" s="152">
        <f>IF(N482="sníž. přenesená",J482,0)</f>
        <v>0</v>
      </c>
      <c r="BI482" s="152">
        <f>IF(N482="nulová",J482,0)</f>
        <v>0</v>
      </c>
      <c r="BJ482" s="19" t="s">
        <v>85</v>
      </c>
      <c r="BK482" s="152">
        <f>ROUND(I482*H482,2)</f>
        <v>0</v>
      </c>
      <c r="BL482" s="19" t="s">
        <v>237</v>
      </c>
      <c r="BM482" s="151" t="s">
        <v>3484</v>
      </c>
    </row>
    <row r="483" spans="1:65" s="2" customFormat="1" ht="19.5">
      <c r="A483" s="34"/>
      <c r="B483" s="35"/>
      <c r="C483" s="34"/>
      <c r="D483" s="153" t="s">
        <v>187</v>
      </c>
      <c r="E483" s="34"/>
      <c r="F483" s="154" t="s">
        <v>3485</v>
      </c>
      <c r="G483" s="34"/>
      <c r="H483" s="34"/>
      <c r="I483" s="155"/>
      <c r="J483" s="34"/>
      <c r="K483" s="34"/>
      <c r="L483" s="35"/>
      <c r="M483" s="156"/>
      <c r="N483" s="157"/>
      <c r="O483" s="55"/>
      <c r="P483" s="55"/>
      <c r="Q483" s="55"/>
      <c r="R483" s="55"/>
      <c r="S483" s="55"/>
      <c r="T483" s="56"/>
      <c r="U483" s="34"/>
      <c r="V483" s="34"/>
      <c r="W483" s="34"/>
      <c r="X483" s="34"/>
      <c r="Y483" s="34"/>
      <c r="Z483" s="34"/>
      <c r="AA483" s="34"/>
      <c r="AB483" s="34"/>
      <c r="AC483" s="34"/>
      <c r="AD483" s="34"/>
      <c r="AE483" s="34"/>
      <c r="AT483" s="19" t="s">
        <v>187</v>
      </c>
      <c r="AU483" s="19" t="s">
        <v>87</v>
      </c>
    </row>
    <row r="484" spans="1:65" s="2" customFormat="1">
      <c r="A484" s="34"/>
      <c r="B484" s="35"/>
      <c r="C484" s="34"/>
      <c r="D484" s="158" t="s">
        <v>189</v>
      </c>
      <c r="E484" s="34"/>
      <c r="F484" s="159" t="s">
        <v>3486</v>
      </c>
      <c r="G484" s="34"/>
      <c r="H484" s="34"/>
      <c r="I484" s="155"/>
      <c r="J484" s="34"/>
      <c r="K484" s="34"/>
      <c r="L484" s="35"/>
      <c r="M484" s="156"/>
      <c r="N484" s="157"/>
      <c r="O484" s="55"/>
      <c r="P484" s="55"/>
      <c r="Q484" s="55"/>
      <c r="R484" s="55"/>
      <c r="S484" s="55"/>
      <c r="T484" s="56"/>
      <c r="U484" s="34"/>
      <c r="V484" s="34"/>
      <c r="W484" s="34"/>
      <c r="X484" s="34"/>
      <c r="Y484" s="34"/>
      <c r="Z484" s="34"/>
      <c r="AA484" s="34"/>
      <c r="AB484" s="34"/>
      <c r="AC484" s="34"/>
      <c r="AD484" s="34"/>
      <c r="AE484" s="34"/>
      <c r="AT484" s="19" t="s">
        <v>189</v>
      </c>
      <c r="AU484" s="19" t="s">
        <v>87</v>
      </c>
    </row>
    <row r="485" spans="1:65" s="2" customFormat="1" ht="78">
      <c r="A485" s="34"/>
      <c r="B485" s="35"/>
      <c r="C485" s="34"/>
      <c r="D485" s="153" t="s">
        <v>191</v>
      </c>
      <c r="E485" s="34"/>
      <c r="F485" s="160" t="s">
        <v>2301</v>
      </c>
      <c r="G485" s="34"/>
      <c r="H485" s="34"/>
      <c r="I485" s="155"/>
      <c r="J485" s="34"/>
      <c r="K485" s="34"/>
      <c r="L485" s="35"/>
      <c r="M485" s="156"/>
      <c r="N485" s="157"/>
      <c r="O485" s="55"/>
      <c r="P485" s="55"/>
      <c r="Q485" s="55"/>
      <c r="R485" s="55"/>
      <c r="S485" s="55"/>
      <c r="T485" s="56"/>
      <c r="U485" s="34"/>
      <c r="V485" s="34"/>
      <c r="W485" s="34"/>
      <c r="X485" s="34"/>
      <c r="Y485" s="34"/>
      <c r="Z485" s="34"/>
      <c r="AA485" s="34"/>
      <c r="AB485" s="34"/>
      <c r="AC485" s="34"/>
      <c r="AD485" s="34"/>
      <c r="AE485" s="34"/>
      <c r="AT485" s="19" t="s">
        <v>191</v>
      </c>
      <c r="AU485" s="19" t="s">
        <v>87</v>
      </c>
    </row>
    <row r="486" spans="1:65" s="2" customFormat="1" ht="16.5" customHeight="1">
      <c r="A486" s="34"/>
      <c r="B486" s="139"/>
      <c r="C486" s="140" t="s">
        <v>2680</v>
      </c>
      <c r="D486" s="140" t="s">
        <v>180</v>
      </c>
      <c r="E486" s="141" t="s">
        <v>3487</v>
      </c>
      <c r="F486" s="142" t="s">
        <v>3488</v>
      </c>
      <c r="G486" s="143" t="s">
        <v>183</v>
      </c>
      <c r="H486" s="144">
        <v>3.4390000000000001</v>
      </c>
      <c r="I486" s="145"/>
      <c r="J486" s="146">
        <f>ROUND(I486*H486,2)</f>
        <v>0</v>
      </c>
      <c r="K486" s="142" t="s">
        <v>184</v>
      </c>
      <c r="L486" s="35"/>
      <c r="M486" s="147" t="s">
        <v>3</v>
      </c>
      <c r="N486" s="148" t="s">
        <v>48</v>
      </c>
      <c r="O486" s="55"/>
      <c r="P486" s="149">
        <f>O486*H486</f>
        <v>0</v>
      </c>
      <c r="Q486" s="149">
        <v>0</v>
      </c>
      <c r="R486" s="149">
        <f>Q486*H486</f>
        <v>0</v>
      </c>
      <c r="S486" s="149">
        <v>0</v>
      </c>
      <c r="T486" s="150">
        <f>S486*H486</f>
        <v>0</v>
      </c>
      <c r="U486" s="34"/>
      <c r="V486" s="34"/>
      <c r="W486" s="34"/>
      <c r="X486" s="34"/>
      <c r="Y486" s="34"/>
      <c r="Z486" s="34"/>
      <c r="AA486" s="34"/>
      <c r="AB486" s="34"/>
      <c r="AC486" s="34"/>
      <c r="AD486" s="34"/>
      <c r="AE486" s="34"/>
      <c r="AR486" s="151" t="s">
        <v>237</v>
      </c>
      <c r="AT486" s="151" t="s">
        <v>180</v>
      </c>
      <c r="AU486" s="151" t="s">
        <v>87</v>
      </c>
      <c r="AY486" s="19" t="s">
        <v>177</v>
      </c>
      <c r="BE486" s="152">
        <f>IF(N486="základní",J486,0)</f>
        <v>0</v>
      </c>
      <c r="BF486" s="152">
        <f>IF(N486="snížená",J486,0)</f>
        <v>0</v>
      </c>
      <c r="BG486" s="152">
        <f>IF(N486="zákl. přenesená",J486,0)</f>
        <v>0</v>
      </c>
      <c r="BH486" s="152">
        <f>IF(N486="sníž. přenesená",J486,0)</f>
        <v>0</v>
      </c>
      <c r="BI486" s="152">
        <f>IF(N486="nulová",J486,0)</f>
        <v>0</v>
      </c>
      <c r="BJ486" s="19" t="s">
        <v>85</v>
      </c>
      <c r="BK486" s="152">
        <f>ROUND(I486*H486,2)</f>
        <v>0</v>
      </c>
      <c r="BL486" s="19" t="s">
        <v>237</v>
      </c>
      <c r="BM486" s="151" t="s">
        <v>3489</v>
      </c>
    </row>
    <row r="487" spans="1:65" s="2" customFormat="1" ht="19.5">
      <c r="A487" s="34"/>
      <c r="B487" s="35"/>
      <c r="C487" s="34"/>
      <c r="D487" s="153" t="s">
        <v>187</v>
      </c>
      <c r="E487" s="34"/>
      <c r="F487" s="154" t="s">
        <v>3490</v>
      </c>
      <c r="G487" s="34"/>
      <c r="H487" s="34"/>
      <c r="I487" s="155"/>
      <c r="J487" s="34"/>
      <c r="K487" s="34"/>
      <c r="L487" s="35"/>
      <c r="M487" s="156"/>
      <c r="N487" s="157"/>
      <c r="O487" s="55"/>
      <c r="P487" s="55"/>
      <c r="Q487" s="55"/>
      <c r="R487" s="55"/>
      <c r="S487" s="55"/>
      <c r="T487" s="56"/>
      <c r="U487" s="34"/>
      <c r="V487" s="34"/>
      <c r="W487" s="34"/>
      <c r="X487" s="34"/>
      <c r="Y487" s="34"/>
      <c r="Z487" s="34"/>
      <c r="AA487" s="34"/>
      <c r="AB487" s="34"/>
      <c r="AC487" s="34"/>
      <c r="AD487" s="34"/>
      <c r="AE487" s="34"/>
      <c r="AT487" s="19" t="s">
        <v>187</v>
      </c>
      <c r="AU487" s="19" t="s">
        <v>87</v>
      </c>
    </row>
    <row r="488" spans="1:65" s="2" customFormat="1">
      <c r="A488" s="34"/>
      <c r="B488" s="35"/>
      <c r="C488" s="34"/>
      <c r="D488" s="158" t="s">
        <v>189</v>
      </c>
      <c r="E488" s="34"/>
      <c r="F488" s="159" t="s">
        <v>3491</v>
      </c>
      <c r="G488" s="34"/>
      <c r="H488" s="34"/>
      <c r="I488" s="155"/>
      <c r="J488" s="34"/>
      <c r="K488" s="34"/>
      <c r="L488" s="35"/>
      <c r="M488" s="156"/>
      <c r="N488" s="157"/>
      <c r="O488" s="55"/>
      <c r="P488" s="55"/>
      <c r="Q488" s="55"/>
      <c r="R488" s="55"/>
      <c r="S488" s="55"/>
      <c r="T488" s="56"/>
      <c r="U488" s="34"/>
      <c r="V488" s="34"/>
      <c r="W488" s="34"/>
      <c r="X488" s="34"/>
      <c r="Y488" s="34"/>
      <c r="Z488" s="34"/>
      <c r="AA488" s="34"/>
      <c r="AB488" s="34"/>
      <c r="AC488" s="34"/>
      <c r="AD488" s="34"/>
      <c r="AE488" s="34"/>
      <c r="AT488" s="19" t="s">
        <v>189</v>
      </c>
      <c r="AU488" s="19" t="s">
        <v>87</v>
      </c>
    </row>
    <row r="489" spans="1:65" s="2" customFormat="1" ht="78">
      <c r="A489" s="34"/>
      <c r="B489" s="35"/>
      <c r="C489" s="34"/>
      <c r="D489" s="153" t="s">
        <v>191</v>
      </c>
      <c r="E489" s="34"/>
      <c r="F489" s="160" t="s">
        <v>2301</v>
      </c>
      <c r="G489" s="34"/>
      <c r="H489" s="34"/>
      <c r="I489" s="155"/>
      <c r="J489" s="34"/>
      <c r="K489" s="34"/>
      <c r="L489" s="35"/>
      <c r="M489" s="156"/>
      <c r="N489" s="157"/>
      <c r="O489" s="55"/>
      <c r="P489" s="55"/>
      <c r="Q489" s="55"/>
      <c r="R489" s="55"/>
      <c r="S489" s="55"/>
      <c r="T489" s="56"/>
      <c r="U489" s="34"/>
      <c r="V489" s="34"/>
      <c r="W489" s="34"/>
      <c r="X489" s="34"/>
      <c r="Y489" s="34"/>
      <c r="Z489" s="34"/>
      <c r="AA489" s="34"/>
      <c r="AB489" s="34"/>
      <c r="AC489" s="34"/>
      <c r="AD489" s="34"/>
      <c r="AE489" s="34"/>
      <c r="AT489" s="19" t="s">
        <v>191</v>
      </c>
      <c r="AU489" s="19" t="s">
        <v>87</v>
      </c>
    </row>
    <row r="490" spans="1:65" s="12" customFormat="1" ht="22.9" customHeight="1">
      <c r="B490" s="126"/>
      <c r="D490" s="127" t="s">
        <v>76</v>
      </c>
      <c r="E490" s="137" t="s">
        <v>3492</v>
      </c>
      <c r="F490" s="137" t="s">
        <v>3493</v>
      </c>
      <c r="I490" s="129"/>
      <c r="J490" s="138">
        <f>BK490</f>
        <v>0</v>
      </c>
      <c r="L490" s="126"/>
      <c r="M490" s="131"/>
      <c r="N490" s="132"/>
      <c r="O490" s="132"/>
      <c r="P490" s="133">
        <f>SUM(P491:P574)</f>
        <v>0</v>
      </c>
      <c r="Q490" s="132"/>
      <c r="R490" s="133">
        <f>SUM(R491:R574)</f>
        <v>1.44779992</v>
      </c>
      <c r="S490" s="132"/>
      <c r="T490" s="134">
        <f>SUM(T491:T574)</f>
        <v>0</v>
      </c>
      <c r="AR490" s="127" t="s">
        <v>87</v>
      </c>
      <c r="AT490" s="135" t="s">
        <v>76</v>
      </c>
      <c r="AU490" s="135" t="s">
        <v>85</v>
      </c>
      <c r="AY490" s="127" t="s">
        <v>177</v>
      </c>
      <c r="BK490" s="136">
        <f>SUM(BK491:BK574)</f>
        <v>0</v>
      </c>
    </row>
    <row r="491" spans="1:65" s="2" customFormat="1" ht="16.5" customHeight="1">
      <c r="A491" s="34"/>
      <c r="B491" s="139"/>
      <c r="C491" s="140" t="s">
        <v>2683</v>
      </c>
      <c r="D491" s="140" t="s">
        <v>180</v>
      </c>
      <c r="E491" s="141" t="s">
        <v>3494</v>
      </c>
      <c r="F491" s="142" t="s">
        <v>3495</v>
      </c>
      <c r="G491" s="143" t="s">
        <v>332</v>
      </c>
      <c r="H491" s="144">
        <v>57.896000000000001</v>
      </c>
      <c r="I491" s="145"/>
      <c r="J491" s="146">
        <f>ROUND(I491*H491,2)</f>
        <v>0</v>
      </c>
      <c r="K491" s="142" t="s">
        <v>184</v>
      </c>
      <c r="L491" s="35"/>
      <c r="M491" s="147" t="s">
        <v>3</v>
      </c>
      <c r="N491" s="148" t="s">
        <v>48</v>
      </c>
      <c r="O491" s="55"/>
      <c r="P491" s="149">
        <f>O491*H491</f>
        <v>0</v>
      </c>
      <c r="Q491" s="149">
        <v>0</v>
      </c>
      <c r="R491" s="149">
        <f>Q491*H491</f>
        <v>0</v>
      </c>
      <c r="S491" s="149">
        <v>0</v>
      </c>
      <c r="T491" s="150">
        <f>S491*H491</f>
        <v>0</v>
      </c>
      <c r="U491" s="34"/>
      <c r="V491" s="34"/>
      <c r="W491" s="34"/>
      <c r="X491" s="34"/>
      <c r="Y491" s="34"/>
      <c r="Z491" s="34"/>
      <c r="AA491" s="34"/>
      <c r="AB491" s="34"/>
      <c r="AC491" s="34"/>
      <c r="AD491" s="34"/>
      <c r="AE491" s="34"/>
      <c r="AR491" s="151" t="s">
        <v>237</v>
      </c>
      <c r="AT491" s="151" t="s">
        <v>180</v>
      </c>
      <c r="AU491" s="151" t="s">
        <v>87</v>
      </c>
      <c r="AY491" s="19" t="s">
        <v>177</v>
      </c>
      <c r="BE491" s="152">
        <f>IF(N491="základní",J491,0)</f>
        <v>0</v>
      </c>
      <c r="BF491" s="152">
        <f>IF(N491="snížená",J491,0)</f>
        <v>0</v>
      </c>
      <c r="BG491" s="152">
        <f>IF(N491="zákl. přenesená",J491,0)</f>
        <v>0</v>
      </c>
      <c r="BH491" s="152">
        <f>IF(N491="sníž. přenesená",J491,0)</f>
        <v>0</v>
      </c>
      <c r="BI491" s="152">
        <f>IF(N491="nulová",J491,0)</f>
        <v>0</v>
      </c>
      <c r="BJ491" s="19" t="s">
        <v>85</v>
      </c>
      <c r="BK491" s="152">
        <f>ROUND(I491*H491,2)</f>
        <v>0</v>
      </c>
      <c r="BL491" s="19" t="s">
        <v>237</v>
      </c>
      <c r="BM491" s="151" t="s">
        <v>3496</v>
      </c>
    </row>
    <row r="492" spans="1:65" s="2" customFormat="1">
      <c r="A492" s="34"/>
      <c r="B492" s="35"/>
      <c r="C492" s="34"/>
      <c r="D492" s="153" t="s">
        <v>187</v>
      </c>
      <c r="E492" s="34"/>
      <c r="F492" s="154" t="s">
        <v>3497</v>
      </c>
      <c r="G492" s="34"/>
      <c r="H492" s="34"/>
      <c r="I492" s="155"/>
      <c r="J492" s="34"/>
      <c r="K492" s="34"/>
      <c r="L492" s="35"/>
      <c r="M492" s="156"/>
      <c r="N492" s="157"/>
      <c r="O492" s="55"/>
      <c r="P492" s="55"/>
      <c r="Q492" s="55"/>
      <c r="R492" s="55"/>
      <c r="S492" s="55"/>
      <c r="T492" s="56"/>
      <c r="U492" s="34"/>
      <c r="V492" s="34"/>
      <c r="W492" s="34"/>
      <c r="X492" s="34"/>
      <c r="Y492" s="34"/>
      <c r="Z492" s="34"/>
      <c r="AA492" s="34"/>
      <c r="AB492" s="34"/>
      <c r="AC492" s="34"/>
      <c r="AD492" s="34"/>
      <c r="AE492" s="34"/>
      <c r="AT492" s="19" t="s">
        <v>187</v>
      </c>
      <c r="AU492" s="19" t="s">
        <v>87</v>
      </c>
    </row>
    <row r="493" spans="1:65" s="2" customFormat="1">
      <c r="A493" s="34"/>
      <c r="B493" s="35"/>
      <c r="C493" s="34"/>
      <c r="D493" s="158" t="s">
        <v>189</v>
      </c>
      <c r="E493" s="34"/>
      <c r="F493" s="159" t="s">
        <v>3498</v>
      </c>
      <c r="G493" s="34"/>
      <c r="H493" s="34"/>
      <c r="I493" s="155"/>
      <c r="J493" s="34"/>
      <c r="K493" s="34"/>
      <c r="L493" s="35"/>
      <c r="M493" s="156"/>
      <c r="N493" s="157"/>
      <c r="O493" s="55"/>
      <c r="P493" s="55"/>
      <c r="Q493" s="55"/>
      <c r="R493" s="55"/>
      <c r="S493" s="55"/>
      <c r="T493" s="56"/>
      <c r="U493" s="34"/>
      <c r="V493" s="34"/>
      <c r="W493" s="34"/>
      <c r="X493" s="34"/>
      <c r="Y493" s="34"/>
      <c r="Z493" s="34"/>
      <c r="AA493" s="34"/>
      <c r="AB493" s="34"/>
      <c r="AC493" s="34"/>
      <c r="AD493" s="34"/>
      <c r="AE493" s="34"/>
      <c r="AT493" s="19" t="s">
        <v>189</v>
      </c>
      <c r="AU493" s="19" t="s">
        <v>87</v>
      </c>
    </row>
    <row r="494" spans="1:65" s="2" customFormat="1" ht="68.25">
      <c r="A494" s="34"/>
      <c r="B494" s="35"/>
      <c r="C494" s="34"/>
      <c r="D494" s="153" t="s">
        <v>191</v>
      </c>
      <c r="E494" s="34"/>
      <c r="F494" s="160" t="s">
        <v>3499</v>
      </c>
      <c r="G494" s="34"/>
      <c r="H494" s="34"/>
      <c r="I494" s="155"/>
      <c r="J494" s="34"/>
      <c r="K494" s="34"/>
      <c r="L494" s="35"/>
      <c r="M494" s="156"/>
      <c r="N494" s="157"/>
      <c r="O494" s="55"/>
      <c r="P494" s="55"/>
      <c r="Q494" s="55"/>
      <c r="R494" s="55"/>
      <c r="S494" s="55"/>
      <c r="T494" s="56"/>
      <c r="U494" s="34"/>
      <c r="V494" s="34"/>
      <c r="W494" s="34"/>
      <c r="X494" s="34"/>
      <c r="Y494" s="34"/>
      <c r="Z494" s="34"/>
      <c r="AA494" s="34"/>
      <c r="AB494" s="34"/>
      <c r="AC494" s="34"/>
      <c r="AD494" s="34"/>
      <c r="AE494" s="34"/>
      <c r="AT494" s="19" t="s">
        <v>191</v>
      </c>
      <c r="AU494" s="19" t="s">
        <v>87</v>
      </c>
    </row>
    <row r="495" spans="1:65" s="2" customFormat="1" ht="16.5" customHeight="1">
      <c r="A495" s="34"/>
      <c r="B495" s="139"/>
      <c r="C495" s="140" t="s">
        <v>2685</v>
      </c>
      <c r="D495" s="140" t="s">
        <v>180</v>
      </c>
      <c r="E495" s="141" t="s">
        <v>3500</v>
      </c>
      <c r="F495" s="142" t="s">
        <v>3501</v>
      </c>
      <c r="G495" s="143" t="s">
        <v>332</v>
      </c>
      <c r="H495" s="144">
        <v>57.896000000000001</v>
      </c>
      <c r="I495" s="145"/>
      <c r="J495" s="146">
        <f>ROUND(I495*H495,2)</f>
        <v>0</v>
      </c>
      <c r="K495" s="142" t="s">
        <v>184</v>
      </c>
      <c r="L495" s="35"/>
      <c r="M495" s="147" t="s">
        <v>3</v>
      </c>
      <c r="N495" s="148" t="s">
        <v>48</v>
      </c>
      <c r="O495" s="55"/>
      <c r="P495" s="149">
        <f>O495*H495</f>
        <v>0</v>
      </c>
      <c r="Q495" s="149">
        <v>2.9999999999999997E-4</v>
      </c>
      <c r="R495" s="149">
        <f>Q495*H495</f>
        <v>1.73688E-2</v>
      </c>
      <c r="S495" s="149">
        <v>0</v>
      </c>
      <c r="T495" s="150">
        <f>S495*H495</f>
        <v>0</v>
      </c>
      <c r="U495" s="34"/>
      <c r="V495" s="34"/>
      <c r="W495" s="34"/>
      <c r="X495" s="34"/>
      <c r="Y495" s="34"/>
      <c r="Z495" s="34"/>
      <c r="AA495" s="34"/>
      <c r="AB495" s="34"/>
      <c r="AC495" s="34"/>
      <c r="AD495" s="34"/>
      <c r="AE495" s="34"/>
      <c r="AR495" s="151" t="s">
        <v>237</v>
      </c>
      <c r="AT495" s="151" t="s">
        <v>180</v>
      </c>
      <c r="AU495" s="151" t="s">
        <v>87</v>
      </c>
      <c r="AY495" s="19" t="s">
        <v>177</v>
      </c>
      <c r="BE495" s="152">
        <f>IF(N495="základní",J495,0)</f>
        <v>0</v>
      </c>
      <c r="BF495" s="152">
        <f>IF(N495="snížená",J495,0)</f>
        <v>0</v>
      </c>
      <c r="BG495" s="152">
        <f>IF(N495="zákl. přenesená",J495,0)</f>
        <v>0</v>
      </c>
      <c r="BH495" s="152">
        <f>IF(N495="sníž. přenesená",J495,0)</f>
        <v>0</v>
      </c>
      <c r="BI495" s="152">
        <f>IF(N495="nulová",J495,0)</f>
        <v>0</v>
      </c>
      <c r="BJ495" s="19" t="s">
        <v>85</v>
      </c>
      <c r="BK495" s="152">
        <f>ROUND(I495*H495,2)</f>
        <v>0</v>
      </c>
      <c r="BL495" s="19" t="s">
        <v>237</v>
      </c>
      <c r="BM495" s="151" t="s">
        <v>3502</v>
      </c>
    </row>
    <row r="496" spans="1:65" s="2" customFormat="1">
      <c r="A496" s="34"/>
      <c r="B496" s="35"/>
      <c r="C496" s="34"/>
      <c r="D496" s="153" t="s">
        <v>187</v>
      </c>
      <c r="E496" s="34"/>
      <c r="F496" s="154" t="s">
        <v>3503</v>
      </c>
      <c r="G496" s="34"/>
      <c r="H496" s="34"/>
      <c r="I496" s="155"/>
      <c r="J496" s="34"/>
      <c r="K496" s="34"/>
      <c r="L496" s="35"/>
      <c r="M496" s="156"/>
      <c r="N496" s="157"/>
      <c r="O496" s="55"/>
      <c r="P496" s="55"/>
      <c r="Q496" s="55"/>
      <c r="R496" s="55"/>
      <c r="S496" s="55"/>
      <c r="T496" s="56"/>
      <c r="U496" s="34"/>
      <c r="V496" s="34"/>
      <c r="W496" s="34"/>
      <c r="X496" s="34"/>
      <c r="Y496" s="34"/>
      <c r="Z496" s="34"/>
      <c r="AA496" s="34"/>
      <c r="AB496" s="34"/>
      <c r="AC496" s="34"/>
      <c r="AD496" s="34"/>
      <c r="AE496" s="34"/>
      <c r="AT496" s="19" t="s">
        <v>187</v>
      </c>
      <c r="AU496" s="19" t="s">
        <v>87</v>
      </c>
    </row>
    <row r="497" spans="1:65" s="2" customFormat="1">
      <c r="A497" s="34"/>
      <c r="B497" s="35"/>
      <c r="C497" s="34"/>
      <c r="D497" s="158" t="s">
        <v>189</v>
      </c>
      <c r="E497" s="34"/>
      <c r="F497" s="159" t="s">
        <v>3504</v>
      </c>
      <c r="G497" s="34"/>
      <c r="H497" s="34"/>
      <c r="I497" s="155"/>
      <c r="J497" s="34"/>
      <c r="K497" s="34"/>
      <c r="L497" s="35"/>
      <c r="M497" s="156"/>
      <c r="N497" s="157"/>
      <c r="O497" s="55"/>
      <c r="P497" s="55"/>
      <c r="Q497" s="55"/>
      <c r="R497" s="55"/>
      <c r="S497" s="55"/>
      <c r="T497" s="56"/>
      <c r="U497" s="34"/>
      <c r="V497" s="34"/>
      <c r="W497" s="34"/>
      <c r="X497" s="34"/>
      <c r="Y497" s="34"/>
      <c r="Z497" s="34"/>
      <c r="AA497" s="34"/>
      <c r="AB497" s="34"/>
      <c r="AC497" s="34"/>
      <c r="AD497" s="34"/>
      <c r="AE497" s="34"/>
      <c r="AT497" s="19" t="s">
        <v>189</v>
      </c>
      <c r="AU497" s="19" t="s">
        <v>87</v>
      </c>
    </row>
    <row r="498" spans="1:65" s="2" customFormat="1" ht="68.25">
      <c r="A498" s="34"/>
      <c r="B498" s="35"/>
      <c r="C498" s="34"/>
      <c r="D498" s="153" t="s">
        <v>191</v>
      </c>
      <c r="E498" s="34"/>
      <c r="F498" s="160" t="s">
        <v>3499</v>
      </c>
      <c r="G498" s="34"/>
      <c r="H498" s="34"/>
      <c r="I498" s="155"/>
      <c r="J498" s="34"/>
      <c r="K498" s="34"/>
      <c r="L498" s="35"/>
      <c r="M498" s="156"/>
      <c r="N498" s="157"/>
      <c r="O498" s="55"/>
      <c r="P498" s="55"/>
      <c r="Q498" s="55"/>
      <c r="R498" s="55"/>
      <c r="S498" s="55"/>
      <c r="T498" s="56"/>
      <c r="U498" s="34"/>
      <c r="V498" s="34"/>
      <c r="W498" s="34"/>
      <c r="X498" s="34"/>
      <c r="Y498" s="34"/>
      <c r="Z498" s="34"/>
      <c r="AA498" s="34"/>
      <c r="AB498" s="34"/>
      <c r="AC498" s="34"/>
      <c r="AD498" s="34"/>
      <c r="AE498" s="34"/>
      <c r="AT498" s="19" t="s">
        <v>191</v>
      </c>
      <c r="AU498" s="19" t="s">
        <v>87</v>
      </c>
    </row>
    <row r="499" spans="1:65" s="2" customFormat="1" ht="16.5" customHeight="1">
      <c r="A499" s="34"/>
      <c r="B499" s="139"/>
      <c r="C499" s="140" t="s">
        <v>2688</v>
      </c>
      <c r="D499" s="140" t="s">
        <v>180</v>
      </c>
      <c r="E499" s="141" t="s">
        <v>3505</v>
      </c>
      <c r="F499" s="142" t="s">
        <v>3506</v>
      </c>
      <c r="G499" s="143" t="s">
        <v>332</v>
      </c>
      <c r="H499" s="144">
        <v>72.896000000000001</v>
      </c>
      <c r="I499" s="145"/>
      <c r="J499" s="146">
        <f>ROUND(I499*H499,2)</f>
        <v>0</v>
      </c>
      <c r="K499" s="142" t="s">
        <v>184</v>
      </c>
      <c r="L499" s="35"/>
      <c r="M499" s="147" t="s">
        <v>3</v>
      </c>
      <c r="N499" s="148" t="s">
        <v>48</v>
      </c>
      <c r="O499" s="55"/>
      <c r="P499" s="149">
        <f>O499*H499</f>
        <v>0</v>
      </c>
      <c r="Q499" s="149">
        <v>6.0000000000000001E-3</v>
      </c>
      <c r="R499" s="149">
        <f>Q499*H499</f>
        <v>0.43737599999999999</v>
      </c>
      <c r="S499" s="149">
        <v>0</v>
      </c>
      <c r="T499" s="150">
        <f>S499*H499</f>
        <v>0</v>
      </c>
      <c r="U499" s="34"/>
      <c r="V499" s="34"/>
      <c r="W499" s="34"/>
      <c r="X499" s="34"/>
      <c r="Y499" s="34"/>
      <c r="Z499" s="34"/>
      <c r="AA499" s="34"/>
      <c r="AB499" s="34"/>
      <c r="AC499" s="34"/>
      <c r="AD499" s="34"/>
      <c r="AE499" s="34"/>
      <c r="AR499" s="151" t="s">
        <v>237</v>
      </c>
      <c r="AT499" s="151" t="s">
        <v>180</v>
      </c>
      <c r="AU499" s="151" t="s">
        <v>87</v>
      </c>
      <c r="AY499" s="19" t="s">
        <v>177</v>
      </c>
      <c r="BE499" s="152">
        <f>IF(N499="základní",J499,0)</f>
        <v>0</v>
      </c>
      <c r="BF499" s="152">
        <f>IF(N499="snížená",J499,0)</f>
        <v>0</v>
      </c>
      <c r="BG499" s="152">
        <f>IF(N499="zákl. přenesená",J499,0)</f>
        <v>0</v>
      </c>
      <c r="BH499" s="152">
        <f>IF(N499="sníž. přenesená",J499,0)</f>
        <v>0</v>
      </c>
      <c r="BI499" s="152">
        <f>IF(N499="nulová",J499,0)</f>
        <v>0</v>
      </c>
      <c r="BJ499" s="19" t="s">
        <v>85</v>
      </c>
      <c r="BK499" s="152">
        <f>ROUND(I499*H499,2)</f>
        <v>0</v>
      </c>
      <c r="BL499" s="19" t="s">
        <v>237</v>
      </c>
      <c r="BM499" s="151" t="s">
        <v>3507</v>
      </c>
    </row>
    <row r="500" spans="1:65" s="2" customFormat="1">
      <c r="A500" s="34"/>
      <c r="B500" s="35"/>
      <c r="C500" s="34"/>
      <c r="D500" s="153" t="s">
        <v>187</v>
      </c>
      <c r="E500" s="34"/>
      <c r="F500" s="154" t="s">
        <v>3508</v>
      </c>
      <c r="G500" s="34"/>
      <c r="H500" s="34"/>
      <c r="I500" s="155"/>
      <c r="J500" s="34"/>
      <c r="K500" s="34"/>
      <c r="L500" s="35"/>
      <c r="M500" s="156"/>
      <c r="N500" s="157"/>
      <c r="O500" s="55"/>
      <c r="P500" s="55"/>
      <c r="Q500" s="55"/>
      <c r="R500" s="55"/>
      <c r="S500" s="55"/>
      <c r="T500" s="56"/>
      <c r="U500" s="34"/>
      <c r="V500" s="34"/>
      <c r="W500" s="34"/>
      <c r="X500" s="34"/>
      <c r="Y500" s="34"/>
      <c r="Z500" s="34"/>
      <c r="AA500" s="34"/>
      <c r="AB500" s="34"/>
      <c r="AC500" s="34"/>
      <c r="AD500" s="34"/>
      <c r="AE500" s="34"/>
      <c r="AT500" s="19" t="s">
        <v>187</v>
      </c>
      <c r="AU500" s="19" t="s">
        <v>87</v>
      </c>
    </row>
    <row r="501" spans="1:65" s="2" customFormat="1">
      <c r="A501" s="34"/>
      <c r="B501" s="35"/>
      <c r="C501" s="34"/>
      <c r="D501" s="158" t="s">
        <v>189</v>
      </c>
      <c r="E501" s="34"/>
      <c r="F501" s="159" t="s">
        <v>3509</v>
      </c>
      <c r="G501" s="34"/>
      <c r="H501" s="34"/>
      <c r="I501" s="155"/>
      <c r="J501" s="34"/>
      <c r="K501" s="34"/>
      <c r="L501" s="35"/>
      <c r="M501" s="156"/>
      <c r="N501" s="157"/>
      <c r="O501" s="55"/>
      <c r="P501" s="55"/>
      <c r="Q501" s="55"/>
      <c r="R501" s="55"/>
      <c r="S501" s="55"/>
      <c r="T501" s="56"/>
      <c r="U501" s="34"/>
      <c r="V501" s="34"/>
      <c r="W501" s="34"/>
      <c r="X501" s="34"/>
      <c r="Y501" s="34"/>
      <c r="Z501" s="34"/>
      <c r="AA501" s="34"/>
      <c r="AB501" s="34"/>
      <c r="AC501" s="34"/>
      <c r="AD501" s="34"/>
      <c r="AE501" s="34"/>
      <c r="AT501" s="19" t="s">
        <v>189</v>
      </c>
      <c r="AU501" s="19" t="s">
        <v>87</v>
      </c>
    </row>
    <row r="502" spans="1:65" s="2" customFormat="1" ht="29.25">
      <c r="A502" s="34"/>
      <c r="B502" s="35"/>
      <c r="C502" s="34"/>
      <c r="D502" s="153" t="s">
        <v>191</v>
      </c>
      <c r="E502" s="34"/>
      <c r="F502" s="160" t="s">
        <v>3510</v>
      </c>
      <c r="G502" s="34"/>
      <c r="H502" s="34"/>
      <c r="I502" s="155"/>
      <c r="J502" s="34"/>
      <c r="K502" s="34"/>
      <c r="L502" s="35"/>
      <c r="M502" s="156"/>
      <c r="N502" s="157"/>
      <c r="O502" s="55"/>
      <c r="P502" s="55"/>
      <c r="Q502" s="55"/>
      <c r="R502" s="55"/>
      <c r="S502" s="55"/>
      <c r="T502" s="56"/>
      <c r="U502" s="34"/>
      <c r="V502" s="34"/>
      <c r="W502" s="34"/>
      <c r="X502" s="34"/>
      <c r="Y502" s="34"/>
      <c r="Z502" s="34"/>
      <c r="AA502" s="34"/>
      <c r="AB502" s="34"/>
      <c r="AC502" s="34"/>
      <c r="AD502" s="34"/>
      <c r="AE502" s="34"/>
      <c r="AT502" s="19" t="s">
        <v>191</v>
      </c>
      <c r="AU502" s="19" t="s">
        <v>87</v>
      </c>
    </row>
    <row r="503" spans="1:65" s="14" customFormat="1">
      <c r="B503" s="169"/>
      <c r="D503" s="153" t="s">
        <v>193</v>
      </c>
      <c r="E503" s="170" t="s">
        <v>3</v>
      </c>
      <c r="F503" s="171" t="s">
        <v>931</v>
      </c>
      <c r="H503" s="170" t="s">
        <v>3</v>
      </c>
      <c r="I503" s="172"/>
      <c r="L503" s="169"/>
      <c r="M503" s="173"/>
      <c r="N503" s="174"/>
      <c r="O503" s="174"/>
      <c r="P503" s="174"/>
      <c r="Q503" s="174"/>
      <c r="R503" s="174"/>
      <c r="S503" s="174"/>
      <c r="T503" s="175"/>
      <c r="AT503" s="170" t="s">
        <v>193</v>
      </c>
      <c r="AU503" s="170" t="s">
        <v>87</v>
      </c>
      <c r="AV503" s="14" t="s">
        <v>85</v>
      </c>
      <c r="AW503" s="14" t="s">
        <v>36</v>
      </c>
      <c r="AX503" s="14" t="s">
        <v>77</v>
      </c>
      <c r="AY503" s="170" t="s">
        <v>177</v>
      </c>
    </row>
    <row r="504" spans="1:65" s="13" customFormat="1">
      <c r="B504" s="161"/>
      <c r="D504" s="153" t="s">
        <v>193</v>
      </c>
      <c r="E504" s="162" t="s">
        <v>3</v>
      </c>
      <c r="F504" s="163" t="s">
        <v>3511</v>
      </c>
      <c r="H504" s="164">
        <v>18.5</v>
      </c>
      <c r="I504" s="165"/>
      <c r="L504" s="161"/>
      <c r="M504" s="166"/>
      <c r="N504" s="167"/>
      <c r="O504" s="167"/>
      <c r="P504" s="167"/>
      <c r="Q504" s="167"/>
      <c r="R504" s="167"/>
      <c r="S504" s="167"/>
      <c r="T504" s="168"/>
      <c r="AT504" s="162" t="s">
        <v>193</v>
      </c>
      <c r="AU504" s="162" t="s">
        <v>87</v>
      </c>
      <c r="AV504" s="13" t="s">
        <v>87</v>
      </c>
      <c r="AW504" s="13" t="s">
        <v>36</v>
      </c>
      <c r="AX504" s="13" t="s">
        <v>77</v>
      </c>
      <c r="AY504" s="162" t="s">
        <v>177</v>
      </c>
    </row>
    <row r="505" spans="1:65" s="13" customFormat="1">
      <c r="B505" s="161"/>
      <c r="D505" s="153" t="s">
        <v>193</v>
      </c>
      <c r="E505" s="162" t="s">
        <v>3</v>
      </c>
      <c r="F505" s="163" t="s">
        <v>3512</v>
      </c>
      <c r="H505" s="164">
        <v>9.9359999999999999</v>
      </c>
      <c r="I505" s="165"/>
      <c r="L505" s="161"/>
      <c r="M505" s="166"/>
      <c r="N505" s="167"/>
      <c r="O505" s="167"/>
      <c r="P505" s="167"/>
      <c r="Q505" s="167"/>
      <c r="R505" s="167"/>
      <c r="S505" s="167"/>
      <c r="T505" s="168"/>
      <c r="AT505" s="162" t="s">
        <v>193</v>
      </c>
      <c r="AU505" s="162" t="s">
        <v>87</v>
      </c>
      <c r="AV505" s="13" t="s">
        <v>87</v>
      </c>
      <c r="AW505" s="13" t="s">
        <v>36</v>
      </c>
      <c r="AX505" s="13" t="s">
        <v>77</v>
      </c>
      <c r="AY505" s="162" t="s">
        <v>177</v>
      </c>
    </row>
    <row r="506" spans="1:65" s="14" customFormat="1">
      <c r="B506" s="169"/>
      <c r="D506" s="153" t="s">
        <v>193</v>
      </c>
      <c r="E506" s="170" t="s">
        <v>3</v>
      </c>
      <c r="F506" s="171" t="s">
        <v>939</v>
      </c>
      <c r="H506" s="170" t="s">
        <v>3</v>
      </c>
      <c r="I506" s="172"/>
      <c r="L506" s="169"/>
      <c r="M506" s="173"/>
      <c r="N506" s="174"/>
      <c r="O506" s="174"/>
      <c r="P506" s="174"/>
      <c r="Q506" s="174"/>
      <c r="R506" s="174"/>
      <c r="S506" s="174"/>
      <c r="T506" s="175"/>
      <c r="AT506" s="170" t="s">
        <v>193</v>
      </c>
      <c r="AU506" s="170" t="s">
        <v>87</v>
      </c>
      <c r="AV506" s="14" t="s">
        <v>85</v>
      </c>
      <c r="AW506" s="14" t="s">
        <v>36</v>
      </c>
      <c r="AX506" s="14" t="s">
        <v>77</v>
      </c>
      <c r="AY506" s="170" t="s">
        <v>177</v>
      </c>
    </row>
    <row r="507" spans="1:65" s="13" customFormat="1">
      <c r="B507" s="161"/>
      <c r="D507" s="153" t="s">
        <v>193</v>
      </c>
      <c r="E507" s="162" t="s">
        <v>3</v>
      </c>
      <c r="F507" s="163" t="s">
        <v>3513</v>
      </c>
      <c r="H507" s="164">
        <v>21</v>
      </c>
      <c r="I507" s="165"/>
      <c r="L507" s="161"/>
      <c r="M507" s="166"/>
      <c r="N507" s="167"/>
      <c r="O507" s="167"/>
      <c r="P507" s="167"/>
      <c r="Q507" s="167"/>
      <c r="R507" s="167"/>
      <c r="S507" s="167"/>
      <c r="T507" s="168"/>
      <c r="AT507" s="162" t="s">
        <v>193</v>
      </c>
      <c r="AU507" s="162" t="s">
        <v>87</v>
      </c>
      <c r="AV507" s="13" t="s">
        <v>87</v>
      </c>
      <c r="AW507" s="13" t="s">
        <v>36</v>
      </c>
      <c r="AX507" s="13" t="s">
        <v>77</v>
      </c>
      <c r="AY507" s="162" t="s">
        <v>177</v>
      </c>
    </row>
    <row r="508" spans="1:65" s="13" customFormat="1">
      <c r="B508" s="161"/>
      <c r="D508" s="153" t="s">
        <v>193</v>
      </c>
      <c r="E508" s="162" t="s">
        <v>3</v>
      </c>
      <c r="F508" s="163" t="s">
        <v>3514</v>
      </c>
      <c r="H508" s="164">
        <v>8.4600000000000009</v>
      </c>
      <c r="I508" s="165"/>
      <c r="L508" s="161"/>
      <c r="M508" s="166"/>
      <c r="N508" s="167"/>
      <c r="O508" s="167"/>
      <c r="P508" s="167"/>
      <c r="Q508" s="167"/>
      <c r="R508" s="167"/>
      <c r="S508" s="167"/>
      <c r="T508" s="168"/>
      <c r="AT508" s="162" t="s">
        <v>193</v>
      </c>
      <c r="AU508" s="162" t="s">
        <v>87</v>
      </c>
      <c r="AV508" s="13" t="s">
        <v>87</v>
      </c>
      <c r="AW508" s="13" t="s">
        <v>36</v>
      </c>
      <c r="AX508" s="13" t="s">
        <v>77</v>
      </c>
      <c r="AY508" s="162" t="s">
        <v>177</v>
      </c>
    </row>
    <row r="509" spans="1:65" s="14" customFormat="1">
      <c r="B509" s="169"/>
      <c r="D509" s="153" t="s">
        <v>193</v>
      </c>
      <c r="E509" s="170" t="s">
        <v>3</v>
      </c>
      <c r="F509" s="171" t="s">
        <v>3515</v>
      </c>
      <c r="H509" s="170" t="s">
        <v>3</v>
      </c>
      <c r="I509" s="172"/>
      <c r="L509" s="169"/>
      <c r="M509" s="173"/>
      <c r="N509" s="174"/>
      <c r="O509" s="174"/>
      <c r="P509" s="174"/>
      <c r="Q509" s="174"/>
      <c r="R509" s="174"/>
      <c r="S509" s="174"/>
      <c r="T509" s="175"/>
      <c r="AT509" s="170" t="s">
        <v>193</v>
      </c>
      <c r="AU509" s="170" t="s">
        <v>87</v>
      </c>
      <c r="AV509" s="14" t="s">
        <v>85</v>
      </c>
      <c r="AW509" s="14" t="s">
        <v>36</v>
      </c>
      <c r="AX509" s="14" t="s">
        <v>77</v>
      </c>
      <c r="AY509" s="170" t="s">
        <v>177</v>
      </c>
    </row>
    <row r="510" spans="1:65" s="13" customFormat="1">
      <c r="B510" s="161"/>
      <c r="D510" s="153" t="s">
        <v>193</v>
      </c>
      <c r="E510" s="162" t="s">
        <v>3</v>
      </c>
      <c r="F510" s="163" t="s">
        <v>3516</v>
      </c>
      <c r="H510" s="164">
        <v>15</v>
      </c>
      <c r="I510" s="165"/>
      <c r="L510" s="161"/>
      <c r="M510" s="166"/>
      <c r="N510" s="167"/>
      <c r="O510" s="167"/>
      <c r="P510" s="167"/>
      <c r="Q510" s="167"/>
      <c r="R510" s="167"/>
      <c r="S510" s="167"/>
      <c r="T510" s="168"/>
      <c r="AT510" s="162" t="s">
        <v>193</v>
      </c>
      <c r="AU510" s="162" t="s">
        <v>87</v>
      </c>
      <c r="AV510" s="13" t="s">
        <v>87</v>
      </c>
      <c r="AW510" s="13" t="s">
        <v>36</v>
      </c>
      <c r="AX510" s="13" t="s">
        <v>77</v>
      </c>
      <c r="AY510" s="162" t="s">
        <v>177</v>
      </c>
    </row>
    <row r="511" spans="1:65" s="16" customFormat="1">
      <c r="B511" s="184"/>
      <c r="D511" s="153" t="s">
        <v>193</v>
      </c>
      <c r="E511" s="185" t="s">
        <v>3</v>
      </c>
      <c r="F511" s="186" t="s">
        <v>201</v>
      </c>
      <c r="H511" s="187">
        <v>72.896000000000001</v>
      </c>
      <c r="I511" s="188"/>
      <c r="L511" s="184"/>
      <c r="M511" s="189"/>
      <c r="N511" s="190"/>
      <c r="O511" s="190"/>
      <c r="P511" s="190"/>
      <c r="Q511" s="190"/>
      <c r="R511" s="190"/>
      <c r="S511" s="190"/>
      <c r="T511" s="191"/>
      <c r="AT511" s="185" t="s">
        <v>193</v>
      </c>
      <c r="AU511" s="185" t="s">
        <v>87</v>
      </c>
      <c r="AV511" s="16" t="s">
        <v>185</v>
      </c>
      <c r="AW511" s="16" t="s">
        <v>36</v>
      </c>
      <c r="AX511" s="16" t="s">
        <v>85</v>
      </c>
      <c r="AY511" s="185" t="s">
        <v>177</v>
      </c>
    </row>
    <row r="512" spans="1:65" s="2" customFormat="1" ht="16.5" customHeight="1">
      <c r="A512" s="34"/>
      <c r="B512" s="139"/>
      <c r="C512" s="195" t="s">
        <v>2690</v>
      </c>
      <c r="D512" s="195" t="s">
        <v>484</v>
      </c>
      <c r="E512" s="196" t="s">
        <v>3517</v>
      </c>
      <c r="F512" s="197" t="s">
        <v>3518</v>
      </c>
      <c r="G512" s="198" t="s">
        <v>332</v>
      </c>
      <c r="H512" s="199">
        <v>80.186000000000007</v>
      </c>
      <c r="I512" s="200"/>
      <c r="J512" s="201">
        <f>ROUND(I512*H512,2)</f>
        <v>0</v>
      </c>
      <c r="K512" s="197" t="s">
        <v>244</v>
      </c>
      <c r="L512" s="202"/>
      <c r="M512" s="203" t="s">
        <v>3</v>
      </c>
      <c r="N512" s="204" t="s">
        <v>48</v>
      </c>
      <c r="O512" s="55"/>
      <c r="P512" s="149">
        <f>O512*H512</f>
        <v>0</v>
      </c>
      <c r="Q512" s="149">
        <v>1.18E-2</v>
      </c>
      <c r="R512" s="149">
        <f>Q512*H512</f>
        <v>0.94619480000000011</v>
      </c>
      <c r="S512" s="149">
        <v>0</v>
      </c>
      <c r="T512" s="150">
        <f>S512*H512</f>
        <v>0</v>
      </c>
      <c r="U512" s="34"/>
      <c r="V512" s="34"/>
      <c r="W512" s="34"/>
      <c r="X512" s="34"/>
      <c r="Y512" s="34"/>
      <c r="Z512" s="34"/>
      <c r="AA512" s="34"/>
      <c r="AB512" s="34"/>
      <c r="AC512" s="34"/>
      <c r="AD512" s="34"/>
      <c r="AE512" s="34"/>
      <c r="AR512" s="151" t="s">
        <v>537</v>
      </c>
      <c r="AT512" s="151" t="s">
        <v>484</v>
      </c>
      <c r="AU512" s="151" t="s">
        <v>87</v>
      </c>
      <c r="AY512" s="19" t="s">
        <v>177</v>
      </c>
      <c r="BE512" s="152">
        <f>IF(N512="základní",J512,0)</f>
        <v>0</v>
      </c>
      <c r="BF512" s="152">
        <f>IF(N512="snížená",J512,0)</f>
        <v>0</v>
      </c>
      <c r="BG512" s="152">
        <f>IF(N512="zákl. přenesená",J512,0)</f>
        <v>0</v>
      </c>
      <c r="BH512" s="152">
        <f>IF(N512="sníž. přenesená",J512,0)</f>
        <v>0</v>
      </c>
      <c r="BI512" s="152">
        <f>IF(N512="nulová",J512,0)</f>
        <v>0</v>
      </c>
      <c r="BJ512" s="19" t="s">
        <v>85</v>
      </c>
      <c r="BK512" s="152">
        <f>ROUND(I512*H512,2)</f>
        <v>0</v>
      </c>
      <c r="BL512" s="19" t="s">
        <v>237</v>
      </c>
      <c r="BM512" s="151" t="s">
        <v>3519</v>
      </c>
    </row>
    <row r="513" spans="1:65" s="2" customFormat="1">
      <c r="A513" s="34"/>
      <c r="B513" s="35"/>
      <c r="C513" s="34"/>
      <c r="D513" s="153" t="s">
        <v>187</v>
      </c>
      <c r="E513" s="34"/>
      <c r="F513" s="154" t="s">
        <v>3520</v>
      </c>
      <c r="G513" s="34"/>
      <c r="H513" s="34"/>
      <c r="I513" s="155"/>
      <c r="J513" s="34"/>
      <c r="K513" s="34"/>
      <c r="L513" s="35"/>
      <c r="M513" s="156"/>
      <c r="N513" s="157"/>
      <c r="O513" s="55"/>
      <c r="P513" s="55"/>
      <c r="Q513" s="55"/>
      <c r="R513" s="55"/>
      <c r="S513" s="55"/>
      <c r="T513" s="56"/>
      <c r="U513" s="34"/>
      <c r="V513" s="34"/>
      <c r="W513" s="34"/>
      <c r="X513" s="34"/>
      <c r="Y513" s="34"/>
      <c r="Z513" s="34"/>
      <c r="AA513" s="34"/>
      <c r="AB513" s="34"/>
      <c r="AC513" s="34"/>
      <c r="AD513" s="34"/>
      <c r="AE513" s="34"/>
      <c r="AT513" s="19" t="s">
        <v>187</v>
      </c>
      <c r="AU513" s="19" t="s">
        <v>87</v>
      </c>
    </row>
    <row r="514" spans="1:65" s="13" customFormat="1">
      <c r="B514" s="161"/>
      <c r="D514" s="153" t="s">
        <v>193</v>
      </c>
      <c r="F514" s="163" t="s">
        <v>3521</v>
      </c>
      <c r="H514" s="164">
        <v>80.186000000000007</v>
      </c>
      <c r="I514" s="165"/>
      <c r="L514" s="161"/>
      <c r="M514" s="166"/>
      <c r="N514" s="167"/>
      <c r="O514" s="167"/>
      <c r="P514" s="167"/>
      <c r="Q514" s="167"/>
      <c r="R514" s="167"/>
      <c r="S514" s="167"/>
      <c r="T514" s="168"/>
      <c r="AT514" s="162" t="s">
        <v>193</v>
      </c>
      <c r="AU514" s="162" t="s">
        <v>87</v>
      </c>
      <c r="AV514" s="13" t="s">
        <v>87</v>
      </c>
      <c r="AW514" s="13" t="s">
        <v>4</v>
      </c>
      <c r="AX514" s="13" t="s">
        <v>85</v>
      </c>
      <c r="AY514" s="162" t="s">
        <v>177</v>
      </c>
    </row>
    <row r="515" spans="1:65" s="2" customFormat="1" ht="16.5" customHeight="1">
      <c r="A515" s="34"/>
      <c r="B515" s="139"/>
      <c r="C515" s="140" t="s">
        <v>2692</v>
      </c>
      <c r="D515" s="140" t="s">
        <v>180</v>
      </c>
      <c r="E515" s="141" t="s">
        <v>3522</v>
      </c>
      <c r="F515" s="142" t="s">
        <v>3523</v>
      </c>
      <c r="G515" s="143" t="s">
        <v>332</v>
      </c>
      <c r="H515" s="144">
        <v>72.896000000000001</v>
      </c>
      <c r="I515" s="145"/>
      <c r="J515" s="146">
        <f>ROUND(I515*H515,2)</f>
        <v>0</v>
      </c>
      <c r="K515" s="142" t="s">
        <v>184</v>
      </c>
      <c r="L515" s="35"/>
      <c r="M515" s="147" t="s">
        <v>3</v>
      </c>
      <c r="N515" s="148" t="s">
        <v>48</v>
      </c>
      <c r="O515" s="55"/>
      <c r="P515" s="149">
        <f>O515*H515</f>
        <v>0</v>
      </c>
      <c r="Q515" s="149">
        <v>0</v>
      </c>
      <c r="R515" s="149">
        <f>Q515*H515</f>
        <v>0</v>
      </c>
      <c r="S515" s="149">
        <v>0</v>
      </c>
      <c r="T515" s="150">
        <f>S515*H515</f>
        <v>0</v>
      </c>
      <c r="U515" s="34"/>
      <c r="V515" s="34"/>
      <c r="W515" s="34"/>
      <c r="X515" s="34"/>
      <c r="Y515" s="34"/>
      <c r="Z515" s="34"/>
      <c r="AA515" s="34"/>
      <c r="AB515" s="34"/>
      <c r="AC515" s="34"/>
      <c r="AD515" s="34"/>
      <c r="AE515" s="34"/>
      <c r="AR515" s="151" t="s">
        <v>237</v>
      </c>
      <c r="AT515" s="151" t="s">
        <v>180</v>
      </c>
      <c r="AU515" s="151" t="s">
        <v>87</v>
      </c>
      <c r="AY515" s="19" t="s">
        <v>177</v>
      </c>
      <c r="BE515" s="152">
        <f>IF(N515="základní",J515,0)</f>
        <v>0</v>
      </c>
      <c r="BF515" s="152">
        <f>IF(N515="snížená",J515,0)</f>
        <v>0</v>
      </c>
      <c r="BG515" s="152">
        <f>IF(N515="zákl. přenesená",J515,0)</f>
        <v>0</v>
      </c>
      <c r="BH515" s="152">
        <f>IF(N515="sníž. přenesená",J515,0)</f>
        <v>0</v>
      </c>
      <c r="BI515" s="152">
        <f>IF(N515="nulová",J515,0)</f>
        <v>0</v>
      </c>
      <c r="BJ515" s="19" t="s">
        <v>85</v>
      </c>
      <c r="BK515" s="152">
        <f>ROUND(I515*H515,2)</f>
        <v>0</v>
      </c>
      <c r="BL515" s="19" t="s">
        <v>237</v>
      </c>
      <c r="BM515" s="151" t="s">
        <v>3524</v>
      </c>
    </row>
    <row r="516" spans="1:65" s="2" customFormat="1">
      <c r="A516" s="34"/>
      <c r="B516" s="35"/>
      <c r="C516" s="34"/>
      <c r="D516" s="153" t="s">
        <v>187</v>
      </c>
      <c r="E516" s="34"/>
      <c r="F516" s="154" t="s">
        <v>3525</v>
      </c>
      <c r="G516" s="34"/>
      <c r="H516" s="34"/>
      <c r="I516" s="155"/>
      <c r="J516" s="34"/>
      <c r="K516" s="34"/>
      <c r="L516" s="35"/>
      <c r="M516" s="156"/>
      <c r="N516" s="157"/>
      <c r="O516" s="55"/>
      <c r="P516" s="55"/>
      <c r="Q516" s="55"/>
      <c r="R516" s="55"/>
      <c r="S516" s="55"/>
      <c r="T516" s="56"/>
      <c r="U516" s="34"/>
      <c r="V516" s="34"/>
      <c r="W516" s="34"/>
      <c r="X516" s="34"/>
      <c r="Y516" s="34"/>
      <c r="Z516" s="34"/>
      <c r="AA516" s="34"/>
      <c r="AB516" s="34"/>
      <c r="AC516" s="34"/>
      <c r="AD516" s="34"/>
      <c r="AE516" s="34"/>
      <c r="AT516" s="19" t="s">
        <v>187</v>
      </c>
      <c r="AU516" s="19" t="s">
        <v>87</v>
      </c>
    </row>
    <row r="517" spans="1:65" s="2" customFormat="1">
      <c r="A517" s="34"/>
      <c r="B517" s="35"/>
      <c r="C517" s="34"/>
      <c r="D517" s="158" t="s">
        <v>189</v>
      </c>
      <c r="E517" s="34"/>
      <c r="F517" s="159" t="s">
        <v>3526</v>
      </c>
      <c r="G517" s="34"/>
      <c r="H517" s="34"/>
      <c r="I517" s="155"/>
      <c r="J517" s="34"/>
      <c r="K517" s="34"/>
      <c r="L517" s="35"/>
      <c r="M517" s="156"/>
      <c r="N517" s="157"/>
      <c r="O517" s="55"/>
      <c r="P517" s="55"/>
      <c r="Q517" s="55"/>
      <c r="R517" s="55"/>
      <c r="S517" s="55"/>
      <c r="T517" s="56"/>
      <c r="U517" s="34"/>
      <c r="V517" s="34"/>
      <c r="W517" s="34"/>
      <c r="X517" s="34"/>
      <c r="Y517" s="34"/>
      <c r="Z517" s="34"/>
      <c r="AA517" s="34"/>
      <c r="AB517" s="34"/>
      <c r="AC517" s="34"/>
      <c r="AD517" s="34"/>
      <c r="AE517" s="34"/>
      <c r="AT517" s="19" t="s">
        <v>189</v>
      </c>
      <c r="AU517" s="19" t="s">
        <v>87</v>
      </c>
    </row>
    <row r="518" spans="1:65" s="2" customFormat="1" ht="29.25">
      <c r="A518" s="34"/>
      <c r="B518" s="35"/>
      <c r="C518" s="34"/>
      <c r="D518" s="153" t="s">
        <v>191</v>
      </c>
      <c r="E518" s="34"/>
      <c r="F518" s="160" t="s">
        <v>3510</v>
      </c>
      <c r="G518" s="34"/>
      <c r="H518" s="34"/>
      <c r="I518" s="155"/>
      <c r="J518" s="34"/>
      <c r="K518" s="34"/>
      <c r="L518" s="35"/>
      <c r="M518" s="156"/>
      <c r="N518" s="157"/>
      <c r="O518" s="55"/>
      <c r="P518" s="55"/>
      <c r="Q518" s="55"/>
      <c r="R518" s="55"/>
      <c r="S518" s="55"/>
      <c r="T518" s="56"/>
      <c r="U518" s="34"/>
      <c r="V518" s="34"/>
      <c r="W518" s="34"/>
      <c r="X518" s="34"/>
      <c r="Y518" s="34"/>
      <c r="Z518" s="34"/>
      <c r="AA518" s="34"/>
      <c r="AB518" s="34"/>
      <c r="AC518" s="34"/>
      <c r="AD518" s="34"/>
      <c r="AE518" s="34"/>
      <c r="AT518" s="19" t="s">
        <v>191</v>
      </c>
      <c r="AU518" s="19" t="s">
        <v>87</v>
      </c>
    </row>
    <row r="519" spans="1:65" s="2" customFormat="1" ht="16.5" customHeight="1">
      <c r="A519" s="34"/>
      <c r="B519" s="139"/>
      <c r="C519" s="140" t="s">
        <v>2699</v>
      </c>
      <c r="D519" s="140" t="s">
        <v>180</v>
      </c>
      <c r="E519" s="141" t="s">
        <v>3527</v>
      </c>
      <c r="F519" s="142" t="s">
        <v>3528</v>
      </c>
      <c r="G519" s="143" t="s">
        <v>332</v>
      </c>
      <c r="H519" s="144">
        <v>72.896000000000001</v>
      </c>
      <c r="I519" s="145"/>
      <c r="J519" s="146">
        <f>ROUND(I519*H519,2)</f>
        <v>0</v>
      </c>
      <c r="K519" s="142" t="s">
        <v>184</v>
      </c>
      <c r="L519" s="35"/>
      <c r="M519" s="147" t="s">
        <v>3</v>
      </c>
      <c r="N519" s="148" t="s">
        <v>48</v>
      </c>
      <c r="O519" s="55"/>
      <c r="P519" s="149">
        <f>O519*H519</f>
        <v>0</v>
      </c>
      <c r="Q519" s="149">
        <v>0</v>
      </c>
      <c r="R519" s="149">
        <f>Q519*H519</f>
        <v>0</v>
      </c>
      <c r="S519" s="149">
        <v>0</v>
      </c>
      <c r="T519" s="150">
        <f>S519*H519</f>
        <v>0</v>
      </c>
      <c r="U519" s="34"/>
      <c r="V519" s="34"/>
      <c r="W519" s="34"/>
      <c r="X519" s="34"/>
      <c r="Y519" s="34"/>
      <c r="Z519" s="34"/>
      <c r="AA519" s="34"/>
      <c r="AB519" s="34"/>
      <c r="AC519" s="34"/>
      <c r="AD519" s="34"/>
      <c r="AE519" s="34"/>
      <c r="AR519" s="151" t="s">
        <v>237</v>
      </c>
      <c r="AT519" s="151" t="s">
        <v>180</v>
      </c>
      <c r="AU519" s="151" t="s">
        <v>87</v>
      </c>
      <c r="AY519" s="19" t="s">
        <v>177</v>
      </c>
      <c r="BE519" s="152">
        <f>IF(N519="základní",J519,0)</f>
        <v>0</v>
      </c>
      <c r="BF519" s="152">
        <f>IF(N519="snížená",J519,0)</f>
        <v>0</v>
      </c>
      <c r="BG519" s="152">
        <f>IF(N519="zákl. přenesená",J519,0)</f>
        <v>0</v>
      </c>
      <c r="BH519" s="152">
        <f>IF(N519="sníž. přenesená",J519,0)</f>
        <v>0</v>
      </c>
      <c r="BI519" s="152">
        <f>IF(N519="nulová",J519,0)</f>
        <v>0</v>
      </c>
      <c r="BJ519" s="19" t="s">
        <v>85</v>
      </c>
      <c r="BK519" s="152">
        <f>ROUND(I519*H519,2)</f>
        <v>0</v>
      </c>
      <c r="BL519" s="19" t="s">
        <v>237</v>
      </c>
      <c r="BM519" s="151" t="s">
        <v>3529</v>
      </c>
    </row>
    <row r="520" spans="1:65" s="2" customFormat="1">
      <c r="A520" s="34"/>
      <c r="B520" s="35"/>
      <c r="C520" s="34"/>
      <c r="D520" s="153" t="s">
        <v>187</v>
      </c>
      <c r="E520" s="34"/>
      <c r="F520" s="154" t="s">
        <v>3530</v>
      </c>
      <c r="G520" s="34"/>
      <c r="H520" s="34"/>
      <c r="I520" s="155"/>
      <c r="J520" s="34"/>
      <c r="K520" s="34"/>
      <c r="L520" s="35"/>
      <c r="M520" s="156"/>
      <c r="N520" s="157"/>
      <c r="O520" s="55"/>
      <c r="P520" s="55"/>
      <c r="Q520" s="55"/>
      <c r="R520" s="55"/>
      <c r="S520" s="55"/>
      <c r="T520" s="56"/>
      <c r="U520" s="34"/>
      <c r="V520" s="34"/>
      <c r="W520" s="34"/>
      <c r="X520" s="34"/>
      <c r="Y520" s="34"/>
      <c r="Z520" s="34"/>
      <c r="AA520" s="34"/>
      <c r="AB520" s="34"/>
      <c r="AC520" s="34"/>
      <c r="AD520" s="34"/>
      <c r="AE520" s="34"/>
      <c r="AT520" s="19" t="s">
        <v>187</v>
      </c>
      <c r="AU520" s="19" t="s">
        <v>87</v>
      </c>
    </row>
    <row r="521" spans="1:65" s="2" customFormat="1">
      <c r="A521" s="34"/>
      <c r="B521" s="35"/>
      <c r="C521" s="34"/>
      <c r="D521" s="158" t="s">
        <v>189</v>
      </c>
      <c r="E521" s="34"/>
      <c r="F521" s="159" t="s">
        <v>3531</v>
      </c>
      <c r="G521" s="34"/>
      <c r="H521" s="34"/>
      <c r="I521" s="155"/>
      <c r="J521" s="34"/>
      <c r="K521" s="34"/>
      <c r="L521" s="35"/>
      <c r="M521" s="156"/>
      <c r="N521" s="157"/>
      <c r="O521" s="55"/>
      <c r="P521" s="55"/>
      <c r="Q521" s="55"/>
      <c r="R521" s="55"/>
      <c r="S521" s="55"/>
      <c r="T521" s="56"/>
      <c r="U521" s="34"/>
      <c r="V521" s="34"/>
      <c r="W521" s="34"/>
      <c r="X521" s="34"/>
      <c r="Y521" s="34"/>
      <c r="Z521" s="34"/>
      <c r="AA521" s="34"/>
      <c r="AB521" s="34"/>
      <c r="AC521" s="34"/>
      <c r="AD521" s="34"/>
      <c r="AE521" s="34"/>
      <c r="AT521" s="19" t="s">
        <v>189</v>
      </c>
      <c r="AU521" s="19" t="s">
        <v>87</v>
      </c>
    </row>
    <row r="522" spans="1:65" s="2" customFormat="1" ht="29.25">
      <c r="A522" s="34"/>
      <c r="B522" s="35"/>
      <c r="C522" s="34"/>
      <c r="D522" s="153" t="s">
        <v>191</v>
      </c>
      <c r="E522" s="34"/>
      <c r="F522" s="160" t="s">
        <v>3510</v>
      </c>
      <c r="G522" s="34"/>
      <c r="H522" s="34"/>
      <c r="I522" s="155"/>
      <c r="J522" s="34"/>
      <c r="K522" s="34"/>
      <c r="L522" s="35"/>
      <c r="M522" s="156"/>
      <c r="N522" s="157"/>
      <c r="O522" s="55"/>
      <c r="P522" s="55"/>
      <c r="Q522" s="55"/>
      <c r="R522" s="55"/>
      <c r="S522" s="55"/>
      <c r="T522" s="56"/>
      <c r="U522" s="34"/>
      <c r="V522" s="34"/>
      <c r="W522" s="34"/>
      <c r="X522" s="34"/>
      <c r="Y522" s="34"/>
      <c r="Z522" s="34"/>
      <c r="AA522" s="34"/>
      <c r="AB522" s="34"/>
      <c r="AC522" s="34"/>
      <c r="AD522" s="34"/>
      <c r="AE522" s="34"/>
      <c r="AT522" s="19" t="s">
        <v>191</v>
      </c>
      <c r="AU522" s="19" t="s">
        <v>87</v>
      </c>
    </row>
    <row r="523" spans="1:65" s="2" customFormat="1" ht="16.5" customHeight="1">
      <c r="A523" s="34"/>
      <c r="B523" s="139"/>
      <c r="C523" s="140" t="s">
        <v>2704</v>
      </c>
      <c r="D523" s="140" t="s">
        <v>180</v>
      </c>
      <c r="E523" s="141" t="s">
        <v>3532</v>
      </c>
      <c r="F523" s="142" t="s">
        <v>3533</v>
      </c>
      <c r="G523" s="143" t="s">
        <v>332</v>
      </c>
      <c r="H523" s="144">
        <v>72.896000000000001</v>
      </c>
      <c r="I523" s="145"/>
      <c r="J523" s="146">
        <f>ROUND(I523*H523,2)</f>
        <v>0</v>
      </c>
      <c r="K523" s="142" t="s">
        <v>184</v>
      </c>
      <c r="L523" s="35"/>
      <c r="M523" s="147" t="s">
        <v>3</v>
      </c>
      <c r="N523" s="148" t="s">
        <v>48</v>
      </c>
      <c r="O523" s="55"/>
      <c r="P523" s="149">
        <f>O523*H523</f>
        <v>0</v>
      </c>
      <c r="Q523" s="149">
        <v>0</v>
      </c>
      <c r="R523" s="149">
        <f>Q523*H523</f>
        <v>0</v>
      </c>
      <c r="S523" s="149">
        <v>0</v>
      </c>
      <c r="T523" s="150">
        <f>S523*H523</f>
        <v>0</v>
      </c>
      <c r="U523" s="34"/>
      <c r="V523" s="34"/>
      <c r="W523" s="34"/>
      <c r="X523" s="34"/>
      <c r="Y523" s="34"/>
      <c r="Z523" s="34"/>
      <c r="AA523" s="34"/>
      <c r="AB523" s="34"/>
      <c r="AC523" s="34"/>
      <c r="AD523" s="34"/>
      <c r="AE523" s="34"/>
      <c r="AR523" s="151" t="s">
        <v>237</v>
      </c>
      <c r="AT523" s="151" t="s">
        <v>180</v>
      </c>
      <c r="AU523" s="151" t="s">
        <v>87</v>
      </c>
      <c r="AY523" s="19" t="s">
        <v>177</v>
      </c>
      <c r="BE523" s="152">
        <f>IF(N523="základní",J523,0)</f>
        <v>0</v>
      </c>
      <c r="BF523" s="152">
        <f>IF(N523="snížená",J523,0)</f>
        <v>0</v>
      </c>
      <c r="BG523" s="152">
        <f>IF(N523="zákl. přenesená",J523,0)</f>
        <v>0</v>
      </c>
      <c r="BH523" s="152">
        <f>IF(N523="sníž. přenesená",J523,0)</f>
        <v>0</v>
      </c>
      <c r="BI523" s="152">
        <f>IF(N523="nulová",J523,0)</f>
        <v>0</v>
      </c>
      <c r="BJ523" s="19" t="s">
        <v>85</v>
      </c>
      <c r="BK523" s="152">
        <f>ROUND(I523*H523,2)</f>
        <v>0</v>
      </c>
      <c r="BL523" s="19" t="s">
        <v>237</v>
      </c>
      <c r="BM523" s="151" t="s">
        <v>3534</v>
      </c>
    </row>
    <row r="524" spans="1:65" s="2" customFormat="1">
      <c r="A524" s="34"/>
      <c r="B524" s="35"/>
      <c r="C524" s="34"/>
      <c r="D524" s="153" t="s">
        <v>187</v>
      </c>
      <c r="E524" s="34"/>
      <c r="F524" s="154" t="s">
        <v>3535</v>
      </c>
      <c r="G524" s="34"/>
      <c r="H524" s="34"/>
      <c r="I524" s="155"/>
      <c r="J524" s="34"/>
      <c r="K524" s="34"/>
      <c r="L524" s="35"/>
      <c r="M524" s="156"/>
      <c r="N524" s="157"/>
      <c r="O524" s="55"/>
      <c r="P524" s="55"/>
      <c r="Q524" s="55"/>
      <c r="R524" s="55"/>
      <c r="S524" s="55"/>
      <c r="T524" s="56"/>
      <c r="U524" s="34"/>
      <c r="V524" s="34"/>
      <c r="W524" s="34"/>
      <c r="X524" s="34"/>
      <c r="Y524" s="34"/>
      <c r="Z524" s="34"/>
      <c r="AA524" s="34"/>
      <c r="AB524" s="34"/>
      <c r="AC524" s="34"/>
      <c r="AD524" s="34"/>
      <c r="AE524" s="34"/>
      <c r="AT524" s="19" t="s">
        <v>187</v>
      </c>
      <c r="AU524" s="19" t="s">
        <v>87</v>
      </c>
    </row>
    <row r="525" spans="1:65" s="2" customFormat="1">
      <c r="A525" s="34"/>
      <c r="B525" s="35"/>
      <c r="C525" s="34"/>
      <c r="D525" s="158" t="s">
        <v>189</v>
      </c>
      <c r="E525" s="34"/>
      <c r="F525" s="159" t="s">
        <v>3536</v>
      </c>
      <c r="G525" s="34"/>
      <c r="H525" s="34"/>
      <c r="I525" s="155"/>
      <c r="J525" s="34"/>
      <c r="K525" s="34"/>
      <c r="L525" s="35"/>
      <c r="M525" s="156"/>
      <c r="N525" s="157"/>
      <c r="O525" s="55"/>
      <c r="P525" s="55"/>
      <c r="Q525" s="55"/>
      <c r="R525" s="55"/>
      <c r="S525" s="55"/>
      <c r="T525" s="56"/>
      <c r="U525" s="34"/>
      <c r="V525" s="34"/>
      <c r="W525" s="34"/>
      <c r="X525" s="34"/>
      <c r="Y525" s="34"/>
      <c r="Z525" s="34"/>
      <c r="AA525" s="34"/>
      <c r="AB525" s="34"/>
      <c r="AC525" s="34"/>
      <c r="AD525" s="34"/>
      <c r="AE525" s="34"/>
      <c r="AT525" s="19" t="s">
        <v>189</v>
      </c>
      <c r="AU525" s="19" t="s">
        <v>87</v>
      </c>
    </row>
    <row r="526" spans="1:65" s="2" customFormat="1" ht="29.25">
      <c r="A526" s="34"/>
      <c r="B526" s="35"/>
      <c r="C526" s="34"/>
      <c r="D526" s="153" t="s">
        <v>191</v>
      </c>
      <c r="E526" s="34"/>
      <c r="F526" s="160" t="s">
        <v>3510</v>
      </c>
      <c r="G526" s="34"/>
      <c r="H526" s="34"/>
      <c r="I526" s="155"/>
      <c r="J526" s="34"/>
      <c r="K526" s="34"/>
      <c r="L526" s="35"/>
      <c r="M526" s="156"/>
      <c r="N526" s="157"/>
      <c r="O526" s="55"/>
      <c r="P526" s="55"/>
      <c r="Q526" s="55"/>
      <c r="R526" s="55"/>
      <c r="S526" s="55"/>
      <c r="T526" s="56"/>
      <c r="U526" s="34"/>
      <c r="V526" s="34"/>
      <c r="W526" s="34"/>
      <c r="X526" s="34"/>
      <c r="Y526" s="34"/>
      <c r="Z526" s="34"/>
      <c r="AA526" s="34"/>
      <c r="AB526" s="34"/>
      <c r="AC526" s="34"/>
      <c r="AD526" s="34"/>
      <c r="AE526" s="34"/>
      <c r="AT526" s="19" t="s">
        <v>191</v>
      </c>
      <c r="AU526" s="19" t="s">
        <v>87</v>
      </c>
    </row>
    <row r="527" spans="1:65" s="2" customFormat="1" ht="16.5" customHeight="1">
      <c r="A527" s="34"/>
      <c r="B527" s="139"/>
      <c r="C527" s="140" t="s">
        <v>2706</v>
      </c>
      <c r="D527" s="140" t="s">
        <v>180</v>
      </c>
      <c r="E527" s="141" t="s">
        <v>3537</v>
      </c>
      <c r="F527" s="142" t="s">
        <v>3538</v>
      </c>
      <c r="G527" s="143" t="s">
        <v>476</v>
      </c>
      <c r="H527" s="144">
        <v>46.4</v>
      </c>
      <c r="I527" s="145"/>
      <c r="J527" s="146">
        <f>ROUND(I527*H527,2)</f>
        <v>0</v>
      </c>
      <c r="K527" s="142" t="s">
        <v>184</v>
      </c>
      <c r="L527" s="35"/>
      <c r="M527" s="147" t="s">
        <v>3</v>
      </c>
      <c r="N527" s="148" t="s">
        <v>48</v>
      </c>
      <c r="O527" s="55"/>
      <c r="P527" s="149">
        <f>O527*H527</f>
        <v>0</v>
      </c>
      <c r="Q527" s="149">
        <v>5.5000000000000003E-4</v>
      </c>
      <c r="R527" s="149">
        <f>Q527*H527</f>
        <v>2.5520000000000001E-2</v>
      </c>
      <c r="S527" s="149">
        <v>0</v>
      </c>
      <c r="T527" s="150">
        <f>S527*H527</f>
        <v>0</v>
      </c>
      <c r="U527" s="34"/>
      <c r="V527" s="34"/>
      <c r="W527" s="34"/>
      <c r="X527" s="34"/>
      <c r="Y527" s="34"/>
      <c r="Z527" s="34"/>
      <c r="AA527" s="34"/>
      <c r="AB527" s="34"/>
      <c r="AC527" s="34"/>
      <c r="AD527" s="34"/>
      <c r="AE527" s="34"/>
      <c r="AR527" s="151" t="s">
        <v>237</v>
      </c>
      <c r="AT527" s="151" t="s">
        <v>180</v>
      </c>
      <c r="AU527" s="151" t="s">
        <v>87</v>
      </c>
      <c r="AY527" s="19" t="s">
        <v>177</v>
      </c>
      <c r="BE527" s="152">
        <f>IF(N527="základní",J527,0)</f>
        <v>0</v>
      </c>
      <c r="BF527" s="152">
        <f>IF(N527="snížená",J527,0)</f>
        <v>0</v>
      </c>
      <c r="BG527" s="152">
        <f>IF(N527="zákl. přenesená",J527,0)</f>
        <v>0</v>
      </c>
      <c r="BH527" s="152">
        <f>IF(N527="sníž. přenesená",J527,0)</f>
        <v>0</v>
      </c>
      <c r="BI527" s="152">
        <f>IF(N527="nulová",J527,0)</f>
        <v>0</v>
      </c>
      <c r="BJ527" s="19" t="s">
        <v>85</v>
      </c>
      <c r="BK527" s="152">
        <f>ROUND(I527*H527,2)</f>
        <v>0</v>
      </c>
      <c r="BL527" s="19" t="s">
        <v>237</v>
      </c>
      <c r="BM527" s="151" t="s">
        <v>3539</v>
      </c>
    </row>
    <row r="528" spans="1:65" s="2" customFormat="1">
      <c r="A528" s="34"/>
      <c r="B528" s="35"/>
      <c r="C528" s="34"/>
      <c r="D528" s="153" t="s">
        <v>187</v>
      </c>
      <c r="E528" s="34"/>
      <c r="F528" s="154" t="s">
        <v>3540</v>
      </c>
      <c r="G528" s="34"/>
      <c r="H528" s="34"/>
      <c r="I528" s="155"/>
      <c r="J528" s="34"/>
      <c r="K528" s="34"/>
      <c r="L528" s="35"/>
      <c r="M528" s="156"/>
      <c r="N528" s="157"/>
      <c r="O528" s="55"/>
      <c r="P528" s="55"/>
      <c r="Q528" s="55"/>
      <c r="R528" s="55"/>
      <c r="S528" s="55"/>
      <c r="T528" s="56"/>
      <c r="U528" s="34"/>
      <c r="V528" s="34"/>
      <c r="W528" s="34"/>
      <c r="X528" s="34"/>
      <c r="Y528" s="34"/>
      <c r="Z528" s="34"/>
      <c r="AA528" s="34"/>
      <c r="AB528" s="34"/>
      <c r="AC528" s="34"/>
      <c r="AD528" s="34"/>
      <c r="AE528" s="34"/>
      <c r="AT528" s="19" t="s">
        <v>187</v>
      </c>
      <c r="AU528" s="19" t="s">
        <v>87</v>
      </c>
    </row>
    <row r="529" spans="1:65" s="2" customFormat="1">
      <c r="A529" s="34"/>
      <c r="B529" s="35"/>
      <c r="C529" s="34"/>
      <c r="D529" s="158" t="s">
        <v>189</v>
      </c>
      <c r="E529" s="34"/>
      <c r="F529" s="159" t="s">
        <v>3541</v>
      </c>
      <c r="G529" s="34"/>
      <c r="H529" s="34"/>
      <c r="I529" s="155"/>
      <c r="J529" s="34"/>
      <c r="K529" s="34"/>
      <c r="L529" s="35"/>
      <c r="M529" s="156"/>
      <c r="N529" s="157"/>
      <c r="O529" s="55"/>
      <c r="P529" s="55"/>
      <c r="Q529" s="55"/>
      <c r="R529" s="55"/>
      <c r="S529" s="55"/>
      <c r="T529" s="56"/>
      <c r="U529" s="34"/>
      <c r="V529" s="34"/>
      <c r="W529" s="34"/>
      <c r="X529" s="34"/>
      <c r="Y529" s="34"/>
      <c r="Z529" s="34"/>
      <c r="AA529" s="34"/>
      <c r="AB529" s="34"/>
      <c r="AC529" s="34"/>
      <c r="AD529" s="34"/>
      <c r="AE529" s="34"/>
      <c r="AT529" s="19" t="s">
        <v>189</v>
      </c>
      <c r="AU529" s="19" t="s">
        <v>87</v>
      </c>
    </row>
    <row r="530" spans="1:65" s="2" customFormat="1" ht="39">
      <c r="A530" s="34"/>
      <c r="B530" s="35"/>
      <c r="C530" s="34"/>
      <c r="D530" s="153" t="s">
        <v>191</v>
      </c>
      <c r="E530" s="34"/>
      <c r="F530" s="160" t="s">
        <v>3542</v>
      </c>
      <c r="G530" s="34"/>
      <c r="H530" s="34"/>
      <c r="I530" s="155"/>
      <c r="J530" s="34"/>
      <c r="K530" s="34"/>
      <c r="L530" s="35"/>
      <c r="M530" s="156"/>
      <c r="N530" s="157"/>
      <c r="O530" s="55"/>
      <c r="P530" s="55"/>
      <c r="Q530" s="55"/>
      <c r="R530" s="55"/>
      <c r="S530" s="55"/>
      <c r="T530" s="56"/>
      <c r="U530" s="34"/>
      <c r="V530" s="34"/>
      <c r="W530" s="34"/>
      <c r="X530" s="34"/>
      <c r="Y530" s="34"/>
      <c r="Z530" s="34"/>
      <c r="AA530" s="34"/>
      <c r="AB530" s="34"/>
      <c r="AC530" s="34"/>
      <c r="AD530" s="34"/>
      <c r="AE530" s="34"/>
      <c r="AT530" s="19" t="s">
        <v>191</v>
      </c>
      <c r="AU530" s="19" t="s">
        <v>87</v>
      </c>
    </row>
    <row r="531" spans="1:65" s="13" customFormat="1">
      <c r="B531" s="161"/>
      <c r="D531" s="153" t="s">
        <v>193</v>
      </c>
      <c r="E531" s="162" t="s">
        <v>3</v>
      </c>
      <c r="F531" s="163" t="s">
        <v>3543</v>
      </c>
      <c r="H531" s="164">
        <v>14.4</v>
      </c>
      <c r="I531" s="165"/>
      <c r="L531" s="161"/>
      <c r="M531" s="166"/>
      <c r="N531" s="167"/>
      <c r="O531" s="167"/>
      <c r="P531" s="167"/>
      <c r="Q531" s="167"/>
      <c r="R531" s="167"/>
      <c r="S531" s="167"/>
      <c r="T531" s="168"/>
      <c r="AT531" s="162" t="s">
        <v>193</v>
      </c>
      <c r="AU531" s="162" t="s">
        <v>87</v>
      </c>
      <c r="AV531" s="13" t="s">
        <v>87</v>
      </c>
      <c r="AW531" s="13" t="s">
        <v>36</v>
      </c>
      <c r="AX531" s="13" t="s">
        <v>77</v>
      </c>
      <c r="AY531" s="162" t="s">
        <v>177</v>
      </c>
    </row>
    <row r="532" spans="1:65" s="13" customFormat="1">
      <c r="B532" s="161"/>
      <c r="D532" s="153" t="s">
        <v>193</v>
      </c>
      <c r="E532" s="162" t="s">
        <v>3</v>
      </c>
      <c r="F532" s="163" t="s">
        <v>3544</v>
      </c>
      <c r="H532" s="164">
        <v>12</v>
      </c>
      <c r="I532" s="165"/>
      <c r="L532" s="161"/>
      <c r="M532" s="166"/>
      <c r="N532" s="167"/>
      <c r="O532" s="167"/>
      <c r="P532" s="167"/>
      <c r="Q532" s="167"/>
      <c r="R532" s="167"/>
      <c r="S532" s="167"/>
      <c r="T532" s="168"/>
      <c r="AT532" s="162" t="s">
        <v>193</v>
      </c>
      <c r="AU532" s="162" t="s">
        <v>87</v>
      </c>
      <c r="AV532" s="13" t="s">
        <v>87</v>
      </c>
      <c r="AW532" s="13" t="s">
        <v>36</v>
      </c>
      <c r="AX532" s="13" t="s">
        <v>77</v>
      </c>
      <c r="AY532" s="162" t="s">
        <v>177</v>
      </c>
    </row>
    <row r="533" spans="1:65" s="13" customFormat="1">
      <c r="B533" s="161"/>
      <c r="D533" s="153" t="s">
        <v>193</v>
      </c>
      <c r="E533" s="162" t="s">
        <v>3</v>
      </c>
      <c r="F533" s="163" t="s">
        <v>3545</v>
      </c>
      <c r="H533" s="164">
        <v>14</v>
      </c>
      <c r="I533" s="165"/>
      <c r="L533" s="161"/>
      <c r="M533" s="166"/>
      <c r="N533" s="167"/>
      <c r="O533" s="167"/>
      <c r="P533" s="167"/>
      <c r="Q533" s="167"/>
      <c r="R533" s="167"/>
      <c r="S533" s="167"/>
      <c r="T533" s="168"/>
      <c r="AT533" s="162" t="s">
        <v>193</v>
      </c>
      <c r="AU533" s="162" t="s">
        <v>87</v>
      </c>
      <c r="AV533" s="13" t="s">
        <v>87</v>
      </c>
      <c r="AW533" s="13" t="s">
        <v>36</v>
      </c>
      <c r="AX533" s="13" t="s">
        <v>77</v>
      </c>
      <c r="AY533" s="162" t="s">
        <v>177</v>
      </c>
    </row>
    <row r="534" spans="1:65" s="13" customFormat="1">
      <c r="B534" s="161"/>
      <c r="D534" s="153" t="s">
        <v>193</v>
      </c>
      <c r="E534" s="162" t="s">
        <v>3</v>
      </c>
      <c r="F534" s="163" t="s">
        <v>3546</v>
      </c>
      <c r="H534" s="164">
        <v>6</v>
      </c>
      <c r="I534" s="165"/>
      <c r="L534" s="161"/>
      <c r="M534" s="166"/>
      <c r="N534" s="167"/>
      <c r="O534" s="167"/>
      <c r="P534" s="167"/>
      <c r="Q534" s="167"/>
      <c r="R534" s="167"/>
      <c r="S534" s="167"/>
      <c r="T534" s="168"/>
      <c r="AT534" s="162" t="s">
        <v>193</v>
      </c>
      <c r="AU534" s="162" t="s">
        <v>87</v>
      </c>
      <c r="AV534" s="13" t="s">
        <v>87</v>
      </c>
      <c r="AW534" s="13" t="s">
        <v>36</v>
      </c>
      <c r="AX534" s="13" t="s">
        <v>77</v>
      </c>
      <c r="AY534" s="162" t="s">
        <v>177</v>
      </c>
    </row>
    <row r="535" spans="1:65" s="16" customFormat="1">
      <c r="B535" s="184"/>
      <c r="D535" s="153" t="s">
        <v>193</v>
      </c>
      <c r="E535" s="185" t="s">
        <v>3</v>
      </c>
      <c r="F535" s="186" t="s">
        <v>201</v>
      </c>
      <c r="H535" s="187">
        <v>46.4</v>
      </c>
      <c r="I535" s="188"/>
      <c r="L535" s="184"/>
      <c r="M535" s="189"/>
      <c r="N535" s="190"/>
      <c r="O535" s="190"/>
      <c r="P535" s="190"/>
      <c r="Q535" s="190"/>
      <c r="R535" s="190"/>
      <c r="S535" s="190"/>
      <c r="T535" s="191"/>
      <c r="AT535" s="185" t="s">
        <v>193</v>
      </c>
      <c r="AU535" s="185" t="s">
        <v>87</v>
      </c>
      <c r="AV535" s="16" t="s">
        <v>185</v>
      </c>
      <c r="AW535" s="16" t="s">
        <v>36</v>
      </c>
      <c r="AX535" s="16" t="s">
        <v>85</v>
      </c>
      <c r="AY535" s="185" t="s">
        <v>177</v>
      </c>
    </row>
    <row r="536" spans="1:65" s="2" customFormat="1" ht="16.5" customHeight="1">
      <c r="A536" s="34"/>
      <c r="B536" s="139"/>
      <c r="C536" s="140" t="s">
        <v>2708</v>
      </c>
      <c r="D536" s="140" t="s">
        <v>180</v>
      </c>
      <c r="E536" s="141" t="s">
        <v>3547</v>
      </c>
      <c r="F536" s="142" t="s">
        <v>3548</v>
      </c>
      <c r="G536" s="143" t="s">
        <v>476</v>
      </c>
      <c r="H536" s="144">
        <v>37.47</v>
      </c>
      <c r="I536" s="145"/>
      <c r="J536" s="146">
        <f>ROUND(I536*H536,2)</f>
        <v>0</v>
      </c>
      <c r="K536" s="142" t="s">
        <v>184</v>
      </c>
      <c r="L536" s="35"/>
      <c r="M536" s="147" t="s">
        <v>3</v>
      </c>
      <c r="N536" s="148" t="s">
        <v>48</v>
      </c>
      <c r="O536" s="55"/>
      <c r="P536" s="149">
        <f>O536*H536</f>
        <v>0</v>
      </c>
      <c r="Q536" s="149">
        <v>5.0000000000000001E-4</v>
      </c>
      <c r="R536" s="149">
        <f>Q536*H536</f>
        <v>1.8734999999999998E-2</v>
      </c>
      <c r="S536" s="149">
        <v>0</v>
      </c>
      <c r="T536" s="150">
        <f>S536*H536</f>
        <v>0</v>
      </c>
      <c r="U536" s="34"/>
      <c r="V536" s="34"/>
      <c r="W536" s="34"/>
      <c r="X536" s="34"/>
      <c r="Y536" s="34"/>
      <c r="Z536" s="34"/>
      <c r="AA536" s="34"/>
      <c r="AB536" s="34"/>
      <c r="AC536" s="34"/>
      <c r="AD536" s="34"/>
      <c r="AE536" s="34"/>
      <c r="AR536" s="151" t="s">
        <v>237</v>
      </c>
      <c r="AT536" s="151" t="s">
        <v>180</v>
      </c>
      <c r="AU536" s="151" t="s">
        <v>87</v>
      </c>
      <c r="AY536" s="19" t="s">
        <v>177</v>
      </c>
      <c r="BE536" s="152">
        <f>IF(N536="základní",J536,0)</f>
        <v>0</v>
      </c>
      <c r="BF536" s="152">
        <f>IF(N536="snížená",J536,0)</f>
        <v>0</v>
      </c>
      <c r="BG536" s="152">
        <f>IF(N536="zákl. přenesená",J536,0)</f>
        <v>0</v>
      </c>
      <c r="BH536" s="152">
        <f>IF(N536="sníž. přenesená",J536,0)</f>
        <v>0</v>
      </c>
      <c r="BI536" s="152">
        <f>IF(N536="nulová",J536,0)</f>
        <v>0</v>
      </c>
      <c r="BJ536" s="19" t="s">
        <v>85</v>
      </c>
      <c r="BK536" s="152">
        <f>ROUND(I536*H536,2)</f>
        <v>0</v>
      </c>
      <c r="BL536" s="19" t="s">
        <v>237</v>
      </c>
      <c r="BM536" s="151" t="s">
        <v>3549</v>
      </c>
    </row>
    <row r="537" spans="1:65" s="2" customFormat="1">
      <c r="A537" s="34"/>
      <c r="B537" s="35"/>
      <c r="C537" s="34"/>
      <c r="D537" s="153" t="s">
        <v>187</v>
      </c>
      <c r="E537" s="34"/>
      <c r="F537" s="154" t="s">
        <v>3550</v>
      </c>
      <c r="G537" s="34"/>
      <c r="H537" s="34"/>
      <c r="I537" s="155"/>
      <c r="J537" s="34"/>
      <c r="K537" s="34"/>
      <c r="L537" s="35"/>
      <c r="M537" s="156"/>
      <c r="N537" s="157"/>
      <c r="O537" s="55"/>
      <c r="P537" s="55"/>
      <c r="Q537" s="55"/>
      <c r="R537" s="55"/>
      <c r="S537" s="55"/>
      <c r="T537" s="56"/>
      <c r="U537" s="34"/>
      <c r="V537" s="34"/>
      <c r="W537" s="34"/>
      <c r="X537" s="34"/>
      <c r="Y537" s="34"/>
      <c r="Z537" s="34"/>
      <c r="AA537" s="34"/>
      <c r="AB537" s="34"/>
      <c r="AC537" s="34"/>
      <c r="AD537" s="34"/>
      <c r="AE537" s="34"/>
      <c r="AT537" s="19" t="s">
        <v>187</v>
      </c>
      <c r="AU537" s="19" t="s">
        <v>87</v>
      </c>
    </row>
    <row r="538" spans="1:65" s="2" customFormat="1">
      <c r="A538" s="34"/>
      <c r="B538" s="35"/>
      <c r="C538" s="34"/>
      <c r="D538" s="158" t="s">
        <v>189</v>
      </c>
      <c r="E538" s="34"/>
      <c r="F538" s="159" t="s">
        <v>3551</v>
      </c>
      <c r="G538" s="34"/>
      <c r="H538" s="34"/>
      <c r="I538" s="155"/>
      <c r="J538" s="34"/>
      <c r="K538" s="34"/>
      <c r="L538" s="35"/>
      <c r="M538" s="156"/>
      <c r="N538" s="157"/>
      <c r="O538" s="55"/>
      <c r="P538" s="55"/>
      <c r="Q538" s="55"/>
      <c r="R538" s="55"/>
      <c r="S538" s="55"/>
      <c r="T538" s="56"/>
      <c r="U538" s="34"/>
      <c r="V538" s="34"/>
      <c r="W538" s="34"/>
      <c r="X538" s="34"/>
      <c r="Y538" s="34"/>
      <c r="Z538" s="34"/>
      <c r="AA538" s="34"/>
      <c r="AB538" s="34"/>
      <c r="AC538" s="34"/>
      <c r="AD538" s="34"/>
      <c r="AE538" s="34"/>
      <c r="AT538" s="19" t="s">
        <v>189</v>
      </c>
      <c r="AU538" s="19" t="s">
        <v>87</v>
      </c>
    </row>
    <row r="539" spans="1:65" s="2" customFormat="1" ht="39">
      <c r="A539" s="34"/>
      <c r="B539" s="35"/>
      <c r="C539" s="34"/>
      <c r="D539" s="153" t="s">
        <v>191</v>
      </c>
      <c r="E539" s="34"/>
      <c r="F539" s="160" t="s">
        <v>3542</v>
      </c>
      <c r="G539" s="34"/>
      <c r="H539" s="34"/>
      <c r="I539" s="155"/>
      <c r="J539" s="34"/>
      <c r="K539" s="34"/>
      <c r="L539" s="35"/>
      <c r="M539" s="156"/>
      <c r="N539" s="157"/>
      <c r="O539" s="55"/>
      <c r="P539" s="55"/>
      <c r="Q539" s="55"/>
      <c r="R539" s="55"/>
      <c r="S539" s="55"/>
      <c r="T539" s="56"/>
      <c r="U539" s="34"/>
      <c r="V539" s="34"/>
      <c r="W539" s="34"/>
      <c r="X539" s="34"/>
      <c r="Y539" s="34"/>
      <c r="Z539" s="34"/>
      <c r="AA539" s="34"/>
      <c r="AB539" s="34"/>
      <c r="AC539" s="34"/>
      <c r="AD539" s="34"/>
      <c r="AE539" s="34"/>
      <c r="AT539" s="19" t="s">
        <v>191</v>
      </c>
      <c r="AU539" s="19" t="s">
        <v>87</v>
      </c>
    </row>
    <row r="540" spans="1:65" s="14" customFormat="1">
      <c r="B540" s="169"/>
      <c r="D540" s="153" t="s">
        <v>193</v>
      </c>
      <c r="E540" s="170" t="s">
        <v>3</v>
      </c>
      <c r="F540" s="171" t="s">
        <v>931</v>
      </c>
      <c r="H540" s="170" t="s">
        <v>3</v>
      </c>
      <c r="I540" s="172"/>
      <c r="L540" s="169"/>
      <c r="M540" s="173"/>
      <c r="N540" s="174"/>
      <c r="O540" s="174"/>
      <c r="P540" s="174"/>
      <c r="Q540" s="174"/>
      <c r="R540" s="174"/>
      <c r="S540" s="174"/>
      <c r="T540" s="175"/>
      <c r="AT540" s="170" t="s">
        <v>193</v>
      </c>
      <c r="AU540" s="170" t="s">
        <v>87</v>
      </c>
      <c r="AV540" s="14" t="s">
        <v>85</v>
      </c>
      <c r="AW540" s="14" t="s">
        <v>36</v>
      </c>
      <c r="AX540" s="14" t="s">
        <v>77</v>
      </c>
      <c r="AY540" s="170" t="s">
        <v>177</v>
      </c>
    </row>
    <row r="541" spans="1:65" s="13" customFormat="1">
      <c r="B541" s="161"/>
      <c r="D541" s="153" t="s">
        <v>193</v>
      </c>
      <c r="E541" s="162" t="s">
        <v>3</v>
      </c>
      <c r="F541" s="163" t="s">
        <v>3552</v>
      </c>
      <c r="H541" s="164">
        <v>9.25</v>
      </c>
      <c r="I541" s="165"/>
      <c r="L541" s="161"/>
      <c r="M541" s="166"/>
      <c r="N541" s="167"/>
      <c r="O541" s="167"/>
      <c r="P541" s="167"/>
      <c r="Q541" s="167"/>
      <c r="R541" s="167"/>
      <c r="S541" s="167"/>
      <c r="T541" s="168"/>
      <c r="AT541" s="162" t="s">
        <v>193</v>
      </c>
      <c r="AU541" s="162" t="s">
        <v>87</v>
      </c>
      <c r="AV541" s="13" t="s">
        <v>87</v>
      </c>
      <c r="AW541" s="13" t="s">
        <v>36</v>
      </c>
      <c r="AX541" s="13" t="s">
        <v>77</v>
      </c>
      <c r="AY541" s="162" t="s">
        <v>177</v>
      </c>
    </row>
    <row r="542" spans="1:65" s="13" customFormat="1">
      <c r="B542" s="161"/>
      <c r="D542" s="153" t="s">
        <v>193</v>
      </c>
      <c r="E542" s="162" t="s">
        <v>3</v>
      </c>
      <c r="F542" s="163" t="s">
        <v>3553</v>
      </c>
      <c r="H542" s="164">
        <v>5.52</v>
      </c>
      <c r="I542" s="165"/>
      <c r="L542" s="161"/>
      <c r="M542" s="166"/>
      <c r="N542" s="167"/>
      <c r="O542" s="167"/>
      <c r="P542" s="167"/>
      <c r="Q542" s="167"/>
      <c r="R542" s="167"/>
      <c r="S542" s="167"/>
      <c r="T542" s="168"/>
      <c r="AT542" s="162" t="s">
        <v>193</v>
      </c>
      <c r="AU542" s="162" t="s">
        <v>87</v>
      </c>
      <c r="AV542" s="13" t="s">
        <v>87</v>
      </c>
      <c r="AW542" s="13" t="s">
        <v>36</v>
      </c>
      <c r="AX542" s="13" t="s">
        <v>77</v>
      </c>
      <c r="AY542" s="162" t="s">
        <v>177</v>
      </c>
    </row>
    <row r="543" spans="1:65" s="14" customFormat="1">
      <c r="B543" s="169"/>
      <c r="D543" s="153" t="s">
        <v>193</v>
      </c>
      <c r="E543" s="170" t="s">
        <v>3</v>
      </c>
      <c r="F543" s="171" t="s">
        <v>939</v>
      </c>
      <c r="H543" s="170" t="s">
        <v>3</v>
      </c>
      <c r="I543" s="172"/>
      <c r="L543" s="169"/>
      <c r="M543" s="173"/>
      <c r="N543" s="174"/>
      <c r="O543" s="174"/>
      <c r="P543" s="174"/>
      <c r="Q543" s="174"/>
      <c r="R543" s="174"/>
      <c r="S543" s="174"/>
      <c r="T543" s="175"/>
      <c r="AT543" s="170" t="s">
        <v>193</v>
      </c>
      <c r="AU543" s="170" t="s">
        <v>87</v>
      </c>
      <c r="AV543" s="14" t="s">
        <v>85</v>
      </c>
      <c r="AW543" s="14" t="s">
        <v>36</v>
      </c>
      <c r="AX543" s="14" t="s">
        <v>77</v>
      </c>
      <c r="AY543" s="170" t="s">
        <v>177</v>
      </c>
    </row>
    <row r="544" spans="1:65" s="13" customFormat="1">
      <c r="B544" s="161"/>
      <c r="D544" s="153" t="s">
        <v>193</v>
      </c>
      <c r="E544" s="162" t="s">
        <v>3</v>
      </c>
      <c r="F544" s="163" t="s">
        <v>3554</v>
      </c>
      <c r="H544" s="164">
        <v>10.5</v>
      </c>
      <c r="I544" s="165"/>
      <c r="L544" s="161"/>
      <c r="M544" s="166"/>
      <c r="N544" s="167"/>
      <c r="O544" s="167"/>
      <c r="P544" s="167"/>
      <c r="Q544" s="167"/>
      <c r="R544" s="167"/>
      <c r="S544" s="167"/>
      <c r="T544" s="168"/>
      <c r="AT544" s="162" t="s">
        <v>193</v>
      </c>
      <c r="AU544" s="162" t="s">
        <v>87</v>
      </c>
      <c r="AV544" s="13" t="s">
        <v>87</v>
      </c>
      <c r="AW544" s="13" t="s">
        <v>36</v>
      </c>
      <c r="AX544" s="13" t="s">
        <v>77</v>
      </c>
      <c r="AY544" s="162" t="s">
        <v>177</v>
      </c>
    </row>
    <row r="545" spans="1:65" s="13" customFormat="1">
      <c r="B545" s="161"/>
      <c r="D545" s="153" t="s">
        <v>193</v>
      </c>
      <c r="E545" s="162" t="s">
        <v>3</v>
      </c>
      <c r="F545" s="163" t="s">
        <v>3555</v>
      </c>
      <c r="H545" s="164">
        <v>4.7</v>
      </c>
      <c r="I545" s="165"/>
      <c r="L545" s="161"/>
      <c r="M545" s="166"/>
      <c r="N545" s="167"/>
      <c r="O545" s="167"/>
      <c r="P545" s="167"/>
      <c r="Q545" s="167"/>
      <c r="R545" s="167"/>
      <c r="S545" s="167"/>
      <c r="T545" s="168"/>
      <c r="AT545" s="162" t="s">
        <v>193</v>
      </c>
      <c r="AU545" s="162" t="s">
        <v>87</v>
      </c>
      <c r="AV545" s="13" t="s">
        <v>87</v>
      </c>
      <c r="AW545" s="13" t="s">
        <v>36</v>
      </c>
      <c r="AX545" s="13" t="s">
        <v>77</v>
      </c>
      <c r="AY545" s="162" t="s">
        <v>177</v>
      </c>
    </row>
    <row r="546" spans="1:65" s="15" customFormat="1">
      <c r="B546" s="176"/>
      <c r="D546" s="153" t="s">
        <v>193</v>
      </c>
      <c r="E546" s="177" t="s">
        <v>3</v>
      </c>
      <c r="F546" s="178" t="s">
        <v>197</v>
      </c>
      <c r="H546" s="179">
        <v>29.97</v>
      </c>
      <c r="I546" s="180"/>
      <c r="L546" s="176"/>
      <c r="M546" s="181"/>
      <c r="N546" s="182"/>
      <c r="O546" s="182"/>
      <c r="P546" s="182"/>
      <c r="Q546" s="182"/>
      <c r="R546" s="182"/>
      <c r="S546" s="182"/>
      <c r="T546" s="183"/>
      <c r="AT546" s="177" t="s">
        <v>193</v>
      </c>
      <c r="AU546" s="177" t="s">
        <v>87</v>
      </c>
      <c r="AV546" s="15" t="s">
        <v>198</v>
      </c>
      <c r="AW546" s="15" t="s">
        <v>36</v>
      </c>
      <c r="AX546" s="15" t="s">
        <v>77</v>
      </c>
      <c r="AY546" s="177" t="s">
        <v>177</v>
      </c>
    </row>
    <row r="547" spans="1:65" s="13" customFormat="1">
      <c r="B547" s="161"/>
      <c r="D547" s="153" t="s">
        <v>193</v>
      </c>
      <c r="E547" s="162" t="s">
        <v>3</v>
      </c>
      <c r="F547" s="163" t="s">
        <v>3556</v>
      </c>
      <c r="H547" s="164">
        <v>7.5</v>
      </c>
      <c r="I547" s="165"/>
      <c r="L547" s="161"/>
      <c r="M547" s="166"/>
      <c r="N547" s="167"/>
      <c r="O547" s="167"/>
      <c r="P547" s="167"/>
      <c r="Q547" s="167"/>
      <c r="R547" s="167"/>
      <c r="S547" s="167"/>
      <c r="T547" s="168"/>
      <c r="AT547" s="162" t="s">
        <v>193</v>
      </c>
      <c r="AU547" s="162" t="s">
        <v>87</v>
      </c>
      <c r="AV547" s="13" t="s">
        <v>87</v>
      </c>
      <c r="AW547" s="13" t="s">
        <v>36</v>
      </c>
      <c r="AX547" s="13" t="s">
        <v>77</v>
      </c>
      <c r="AY547" s="162" t="s">
        <v>177</v>
      </c>
    </row>
    <row r="548" spans="1:65" s="16" customFormat="1">
      <c r="B548" s="184"/>
      <c r="D548" s="153" t="s">
        <v>193</v>
      </c>
      <c r="E548" s="185" t="s">
        <v>3</v>
      </c>
      <c r="F548" s="186" t="s">
        <v>201</v>
      </c>
      <c r="H548" s="187">
        <v>37.47</v>
      </c>
      <c r="I548" s="188"/>
      <c r="L548" s="184"/>
      <c r="M548" s="189"/>
      <c r="N548" s="190"/>
      <c r="O548" s="190"/>
      <c r="P548" s="190"/>
      <c r="Q548" s="190"/>
      <c r="R548" s="190"/>
      <c r="S548" s="190"/>
      <c r="T548" s="191"/>
      <c r="AT548" s="185" t="s">
        <v>193</v>
      </c>
      <c r="AU548" s="185" t="s">
        <v>87</v>
      </c>
      <c r="AV548" s="16" t="s">
        <v>185</v>
      </c>
      <c r="AW548" s="16" t="s">
        <v>36</v>
      </c>
      <c r="AX548" s="16" t="s">
        <v>85</v>
      </c>
      <c r="AY548" s="185" t="s">
        <v>177</v>
      </c>
    </row>
    <row r="549" spans="1:65" s="2" customFormat="1" ht="16.5" customHeight="1">
      <c r="A549" s="34"/>
      <c r="B549" s="139"/>
      <c r="C549" s="140" t="s">
        <v>2717</v>
      </c>
      <c r="D549" s="140" t="s">
        <v>180</v>
      </c>
      <c r="E549" s="141" t="s">
        <v>3557</v>
      </c>
      <c r="F549" s="142" t="s">
        <v>3558</v>
      </c>
      <c r="G549" s="143" t="s">
        <v>236</v>
      </c>
      <c r="H549" s="144">
        <v>49</v>
      </c>
      <c r="I549" s="145"/>
      <c r="J549" s="146">
        <f>ROUND(I549*H549,2)</f>
        <v>0</v>
      </c>
      <c r="K549" s="142" t="s">
        <v>184</v>
      </c>
      <c r="L549" s="35"/>
      <c r="M549" s="147" t="s">
        <v>3</v>
      </c>
      <c r="N549" s="148" t="s">
        <v>48</v>
      </c>
      <c r="O549" s="55"/>
      <c r="P549" s="149">
        <f>O549*H549</f>
        <v>0</v>
      </c>
      <c r="Q549" s="149">
        <v>0</v>
      </c>
      <c r="R549" s="149">
        <f>Q549*H549</f>
        <v>0</v>
      </c>
      <c r="S549" s="149">
        <v>0</v>
      </c>
      <c r="T549" s="150">
        <f>S549*H549</f>
        <v>0</v>
      </c>
      <c r="U549" s="34"/>
      <c r="V549" s="34"/>
      <c r="W549" s="34"/>
      <c r="X549" s="34"/>
      <c r="Y549" s="34"/>
      <c r="Z549" s="34"/>
      <c r="AA549" s="34"/>
      <c r="AB549" s="34"/>
      <c r="AC549" s="34"/>
      <c r="AD549" s="34"/>
      <c r="AE549" s="34"/>
      <c r="AR549" s="151" t="s">
        <v>237</v>
      </c>
      <c r="AT549" s="151" t="s">
        <v>180</v>
      </c>
      <c r="AU549" s="151" t="s">
        <v>87</v>
      </c>
      <c r="AY549" s="19" t="s">
        <v>177</v>
      </c>
      <c r="BE549" s="152">
        <f>IF(N549="základní",J549,0)</f>
        <v>0</v>
      </c>
      <c r="BF549" s="152">
        <f>IF(N549="snížená",J549,0)</f>
        <v>0</v>
      </c>
      <c r="BG549" s="152">
        <f>IF(N549="zákl. přenesená",J549,0)</f>
        <v>0</v>
      </c>
      <c r="BH549" s="152">
        <f>IF(N549="sníž. přenesená",J549,0)</f>
        <v>0</v>
      </c>
      <c r="BI549" s="152">
        <f>IF(N549="nulová",J549,0)</f>
        <v>0</v>
      </c>
      <c r="BJ549" s="19" t="s">
        <v>85</v>
      </c>
      <c r="BK549" s="152">
        <f>ROUND(I549*H549,2)</f>
        <v>0</v>
      </c>
      <c r="BL549" s="19" t="s">
        <v>237</v>
      </c>
      <c r="BM549" s="151" t="s">
        <v>3559</v>
      </c>
    </row>
    <row r="550" spans="1:65" s="2" customFormat="1">
      <c r="A550" s="34"/>
      <c r="B550" s="35"/>
      <c r="C550" s="34"/>
      <c r="D550" s="153" t="s">
        <v>187</v>
      </c>
      <c r="E550" s="34"/>
      <c r="F550" s="154" t="s">
        <v>3560</v>
      </c>
      <c r="G550" s="34"/>
      <c r="H550" s="34"/>
      <c r="I550" s="155"/>
      <c r="J550" s="34"/>
      <c r="K550" s="34"/>
      <c r="L550" s="35"/>
      <c r="M550" s="156"/>
      <c r="N550" s="157"/>
      <c r="O550" s="55"/>
      <c r="P550" s="55"/>
      <c r="Q550" s="55"/>
      <c r="R550" s="55"/>
      <c r="S550" s="55"/>
      <c r="T550" s="56"/>
      <c r="U550" s="34"/>
      <c r="V550" s="34"/>
      <c r="W550" s="34"/>
      <c r="X550" s="34"/>
      <c r="Y550" s="34"/>
      <c r="Z550" s="34"/>
      <c r="AA550" s="34"/>
      <c r="AB550" s="34"/>
      <c r="AC550" s="34"/>
      <c r="AD550" s="34"/>
      <c r="AE550" s="34"/>
      <c r="AT550" s="19" t="s">
        <v>187</v>
      </c>
      <c r="AU550" s="19" t="s">
        <v>87</v>
      </c>
    </row>
    <row r="551" spans="1:65" s="2" customFormat="1">
      <c r="A551" s="34"/>
      <c r="B551" s="35"/>
      <c r="C551" s="34"/>
      <c r="D551" s="158" t="s">
        <v>189</v>
      </c>
      <c r="E551" s="34"/>
      <c r="F551" s="159" t="s">
        <v>3561</v>
      </c>
      <c r="G551" s="34"/>
      <c r="H551" s="34"/>
      <c r="I551" s="155"/>
      <c r="J551" s="34"/>
      <c r="K551" s="34"/>
      <c r="L551" s="35"/>
      <c r="M551" s="156"/>
      <c r="N551" s="157"/>
      <c r="O551" s="55"/>
      <c r="P551" s="55"/>
      <c r="Q551" s="55"/>
      <c r="R551" s="55"/>
      <c r="S551" s="55"/>
      <c r="T551" s="56"/>
      <c r="U551" s="34"/>
      <c r="V551" s="34"/>
      <c r="W551" s="34"/>
      <c r="X551" s="34"/>
      <c r="Y551" s="34"/>
      <c r="Z551" s="34"/>
      <c r="AA551" s="34"/>
      <c r="AB551" s="34"/>
      <c r="AC551" s="34"/>
      <c r="AD551" s="34"/>
      <c r="AE551" s="34"/>
      <c r="AT551" s="19" t="s">
        <v>189</v>
      </c>
      <c r="AU551" s="19" t="s">
        <v>87</v>
      </c>
    </row>
    <row r="552" spans="1:65" s="2" customFormat="1" ht="39">
      <c r="A552" s="34"/>
      <c r="B552" s="35"/>
      <c r="C552" s="34"/>
      <c r="D552" s="153" t="s">
        <v>191</v>
      </c>
      <c r="E552" s="34"/>
      <c r="F552" s="160" t="s">
        <v>3542</v>
      </c>
      <c r="G552" s="34"/>
      <c r="H552" s="34"/>
      <c r="I552" s="155"/>
      <c r="J552" s="34"/>
      <c r="K552" s="34"/>
      <c r="L552" s="35"/>
      <c r="M552" s="156"/>
      <c r="N552" s="157"/>
      <c r="O552" s="55"/>
      <c r="P552" s="55"/>
      <c r="Q552" s="55"/>
      <c r="R552" s="55"/>
      <c r="S552" s="55"/>
      <c r="T552" s="56"/>
      <c r="U552" s="34"/>
      <c r="V552" s="34"/>
      <c r="W552" s="34"/>
      <c r="X552" s="34"/>
      <c r="Y552" s="34"/>
      <c r="Z552" s="34"/>
      <c r="AA552" s="34"/>
      <c r="AB552" s="34"/>
      <c r="AC552" s="34"/>
      <c r="AD552" s="34"/>
      <c r="AE552" s="34"/>
      <c r="AT552" s="19" t="s">
        <v>191</v>
      </c>
      <c r="AU552" s="19" t="s">
        <v>87</v>
      </c>
    </row>
    <row r="553" spans="1:65" s="13" customFormat="1">
      <c r="B553" s="161"/>
      <c r="D553" s="153" t="s">
        <v>193</v>
      </c>
      <c r="E553" s="162" t="s">
        <v>3</v>
      </c>
      <c r="F553" s="163" t="s">
        <v>3562</v>
      </c>
      <c r="H553" s="164">
        <v>23</v>
      </c>
      <c r="I553" s="165"/>
      <c r="L553" s="161"/>
      <c r="M553" s="166"/>
      <c r="N553" s="167"/>
      <c r="O553" s="167"/>
      <c r="P553" s="167"/>
      <c r="Q553" s="167"/>
      <c r="R553" s="167"/>
      <c r="S553" s="167"/>
      <c r="T553" s="168"/>
      <c r="AT553" s="162" t="s">
        <v>193</v>
      </c>
      <c r="AU553" s="162" t="s">
        <v>87</v>
      </c>
      <c r="AV553" s="13" t="s">
        <v>87</v>
      </c>
      <c r="AW553" s="13" t="s">
        <v>36</v>
      </c>
      <c r="AX553" s="13" t="s">
        <v>77</v>
      </c>
      <c r="AY553" s="162" t="s">
        <v>177</v>
      </c>
    </row>
    <row r="554" spans="1:65" s="13" customFormat="1">
      <c r="B554" s="161"/>
      <c r="D554" s="153" t="s">
        <v>193</v>
      </c>
      <c r="E554" s="162" t="s">
        <v>3</v>
      </c>
      <c r="F554" s="163" t="s">
        <v>3563</v>
      </c>
      <c r="H554" s="164">
        <v>26</v>
      </c>
      <c r="I554" s="165"/>
      <c r="L554" s="161"/>
      <c r="M554" s="166"/>
      <c r="N554" s="167"/>
      <c r="O554" s="167"/>
      <c r="P554" s="167"/>
      <c r="Q554" s="167"/>
      <c r="R554" s="167"/>
      <c r="S554" s="167"/>
      <c r="T554" s="168"/>
      <c r="AT554" s="162" t="s">
        <v>193</v>
      </c>
      <c r="AU554" s="162" t="s">
        <v>87</v>
      </c>
      <c r="AV554" s="13" t="s">
        <v>87</v>
      </c>
      <c r="AW554" s="13" t="s">
        <v>36</v>
      </c>
      <c r="AX554" s="13" t="s">
        <v>77</v>
      </c>
      <c r="AY554" s="162" t="s">
        <v>177</v>
      </c>
    </row>
    <row r="555" spans="1:65" s="16" customFormat="1">
      <c r="B555" s="184"/>
      <c r="D555" s="153" t="s">
        <v>193</v>
      </c>
      <c r="E555" s="185" t="s">
        <v>3</v>
      </c>
      <c r="F555" s="186" t="s">
        <v>201</v>
      </c>
      <c r="H555" s="187">
        <v>49</v>
      </c>
      <c r="I555" s="188"/>
      <c r="L555" s="184"/>
      <c r="M555" s="189"/>
      <c r="N555" s="190"/>
      <c r="O555" s="190"/>
      <c r="P555" s="190"/>
      <c r="Q555" s="190"/>
      <c r="R555" s="190"/>
      <c r="S555" s="190"/>
      <c r="T555" s="191"/>
      <c r="AT555" s="185" t="s">
        <v>193</v>
      </c>
      <c r="AU555" s="185" t="s">
        <v>87</v>
      </c>
      <c r="AV555" s="16" t="s">
        <v>185</v>
      </c>
      <c r="AW555" s="16" t="s">
        <v>36</v>
      </c>
      <c r="AX555" s="16" t="s">
        <v>85</v>
      </c>
      <c r="AY555" s="185" t="s">
        <v>177</v>
      </c>
    </row>
    <row r="556" spans="1:65" s="2" customFormat="1" ht="16.5" customHeight="1">
      <c r="A556" s="34"/>
      <c r="B556" s="139"/>
      <c r="C556" s="140" t="s">
        <v>2722</v>
      </c>
      <c r="D556" s="140" t="s">
        <v>180</v>
      </c>
      <c r="E556" s="141" t="s">
        <v>3564</v>
      </c>
      <c r="F556" s="142" t="s">
        <v>3565</v>
      </c>
      <c r="G556" s="143" t="s">
        <v>236</v>
      </c>
      <c r="H556" s="144">
        <v>17</v>
      </c>
      <c r="I556" s="145"/>
      <c r="J556" s="146">
        <f>ROUND(I556*H556,2)</f>
        <v>0</v>
      </c>
      <c r="K556" s="142" t="s">
        <v>184</v>
      </c>
      <c r="L556" s="35"/>
      <c r="M556" s="147" t="s">
        <v>3</v>
      </c>
      <c r="N556" s="148" t="s">
        <v>48</v>
      </c>
      <c r="O556" s="55"/>
      <c r="P556" s="149">
        <f>O556*H556</f>
        <v>0</v>
      </c>
      <c r="Q556" s="149">
        <v>0</v>
      </c>
      <c r="R556" s="149">
        <f>Q556*H556</f>
        <v>0</v>
      </c>
      <c r="S556" s="149">
        <v>0</v>
      </c>
      <c r="T556" s="150">
        <f>S556*H556</f>
        <v>0</v>
      </c>
      <c r="U556" s="34"/>
      <c r="V556" s="34"/>
      <c r="W556" s="34"/>
      <c r="X556" s="34"/>
      <c r="Y556" s="34"/>
      <c r="Z556" s="34"/>
      <c r="AA556" s="34"/>
      <c r="AB556" s="34"/>
      <c r="AC556" s="34"/>
      <c r="AD556" s="34"/>
      <c r="AE556" s="34"/>
      <c r="AR556" s="151" t="s">
        <v>237</v>
      </c>
      <c r="AT556" s="151" t="s">
        <v>180</v>
      </c>
      <c r="AU556" s="151" t="s">
        <v>87</v>
      </c>
      <c r="AY556" s="19" t="s">
        <v>177</v>
      </c>
      <c r="BE556" s="152">
        <f>IF(N556="základní",J556,0)</f>
        <v>0</v>
      </c>
      <c r="BF556" s="152">
        <f>IF(N556="snížená",J556,0)</f>
        <v>0</v>
      </c>
      <c r="BG556" s="152">
        <f>IF(N556="zákl. přenesená",J556,0)</f>
        <v>0</v>
      </c>
      <c r="BH556" s="152">
        <f>IF(N556="sníž. přenesená",J556,0)</f>
        <v>0</v>
      </c>
      <c r="BI556" s="152">
        <f>IF(N556="nulová",J556,0)</f>
        <v>0</v>
      </c>
      <c r="BJ556" s="19" t="s">
        <v>85</v>
      </c>
      <c r="BK556" s="152">
        <f>ROUND(I556*H556,2)</f>
        <v>0</v>
      </c>
      <c r="BL556" s="19" t="s">
        <v>237</v>
      </c>
      <c r="BM556" s="151" t="s">
        <v>3566</v>
      </c>
    </row>
    <row r="557" spans="1:65" s="2" customFormat="1">
      <c r="A557" s="34"/>
      <c r="B557" s="35"/>
      <c r="C557" s="34"/>
      <c r="D557" s="153" t="s">
        <v>187</v>
      </c>
      <c r="E557" s="34"/>
      <c r="F557" s="154" t="s">
        <v>3567</v>
      </c>
      <c r="G557" s="34"/>
      <c r="H557" s="34"/>
      <c r="I557" s="155"/>
      <c r="J557" s="34"/>
      <c r="K557" s="34"/>
      <c r="L557" s="35"/>
      <c r="M557" s="156"/>
      <c r="N557" s="157"/>
      <c r="O557" s="55"/>
      <c r="P557" s="55"/>
      <c r="Q557" s="55"/>
      <c r="R557" s="55"/>
      <c r="S557" s="55"/>
      <c r="T557" s="56"/>
      <c r="U557" s="34"/>
      <c r="V557" s="34"/>
      <c r="W557" s="34"/>
      <c r="X557" s="34"/>
      <c r="Y557" s="34"/>
      <c r="Z557" s="34"/>
      <c r="AA557" s="34"/>
      <c r="AB557" s="34"/>
      <c r="AC557" s="34"/>
      <c r="AD557" s="34"/>
      <c r="AE557" s="34"/>
      <c r="AT557" s="19" t="s">
        <v>187</v>
      </c>
      <c r="AU557" s="19" t="s">
        <v>87</v>
      </c>
    </row>
    <row r="558" spans="1:65" s="2" customFormat="1">
      <c r="A558" s="34"/>
      <c r="B558" s="35"/>
      <c r="C558" s="34"/>
      <c r="D558" s="158" t="s">
        <v>189</v>
      </c>
      <c r="E558" s="34"/>
      <c r="F558" s="159" t="s">
        <v>3568</v>
      </c>
      <c r="G558" s="34"/>
      <c r="H558" s="34"/>
      <c r="I558" s="155"/>
      <c r="J558" s="34"/>
      <c r="K558" s="34"/>
      <c r="L558" s="35"/>
      <c r="M558" s="156"/>
      <c r="N558" s="157"/>
      <c r="O558" s="55"/>
      <c r="P558" s="55"/>
      <c r="Q558" s="55"/>
      <c r="R558" s="55"/>
      <c r="S558" s="55"/>
      <c r="T558" s="56"/>
      <c r="U558" s="34"/>
      <c r="V558" s="34"/>
      <c r="W558" s="34"/>
      <c r="X558" s="34"/>
      <c r="Y558" s="34"/>
      <c r="Z558" s="34"/>
      <c r="AA558" s="34"/>
      <c r="AB558" s="34"/>
      <c r="AC558" s="34"/>
      <c r="AD558" s="34"/>
      <c r="AE558" s="34"/>
      <c r="AT558" s="19" t="s">
        <v>189</v>
      </c>
      <c r="AU558" s="19" t="s">
        <v>87</v>
      </c>
    </row>
    <row r="559" spans="1:65" s="2" customFormat="1" ht="39">
      <c r="A559" s="34"/>
      <c r="B559" s="35"/>
      <c r="C559" s="34"/>
      <c r="D559" s="153" t="s">
        <v>191</v>
      </c>
      <c r="E559" s="34"/>
      <c r="F559" s="160" t="s">
        <v>3542</v>
      </c>
      <c r="G559" s="34"/>
      <c r="H559" s="34"/>
      <c r="I559" s="155"/>
      <c r="J559" s="34"/>
      <c r="K559" s="34"/>
      <c r="L559" s="35"/>
      <c r="M559" s="156"/>
      <c r="N559" s="157"/>
      <c r="O559" s="55"/>
      <c r="P559" s="55"/>
      <c r="Q559" s="55"/>
      <c r="R559" s="55"/>
      <c r="S559" s="55"/>
      <c r="T559" s="56"/>
      <c r="U559" s="34"/>
      <c r="V559" s="34"/>
      <c r="W559" s="34"/>
      <c r="X559" s="34"/>
      <c r="Y559" s="34"/>
      <c r="Z559" s="34"/>
      <c r="AA559" s="34"/>
      <c r="AB559" s="34"/>
      <c r="AC559" s="34"/>
      <c r="AD559" s="34"/>
      <c r="AE559" s="34"/>
      <c r="AT559" s="19" t="s">
        <v>191</v>
      </c>
      <c r="AU559" s="19" t="s">
        <v>87</v>
      </c>
    </row>
    <row r="560" spans="1:65" s="2" customFormat="1" ht="16.5" customHeight="1">
      <c r="A560" s="34"/>
      <c r="B560" s="139"/>
      <c r="C560" s="140" t="s">
        <v>2724</v>
      </c>
      <c r="D560" s="140" t="s">
        <v>180</v>
      </c>
      <c r="E560" s="141" t="s">
        <v>3569</v>
      </c>
      <c r="F560" s="142" t="s">
        <v>3570</v>
      </c>
      <c r="G560" s="143" t="s">
        <v>236</v>
      </c>
      <c r="H560" s="144">
        <v>13</v>
      </c>
      <c r="I560" s="145"/>
      <c r="J560" s="146">
        <f>ROUND(I560*H560,2)</f>
        <v>0</v>
      </c>
      <c r="K560" s="142" t="s">
        <v>184</v>
      </c>
      <c r="L560" s="35"/>
      <c r="M560" s="147" t="s">
        <v>3</v>
      </c>
      <c r="N560" s="148" t="s">
        <v>48</v>
      </c>
      <c r="O560" s="55"/>
      <c r="P560" s="149">
        <f>O560*H560</f>
        <v>0</v>
      </c>
      <c r="Q560" s="149">
        <v>0</v>
      </c>
      <c r="R560" s="149">
        <f>Q560*H560</f>
        <v>0</v>
      </c>
      <c r="S560" s="149">
        <v>0</v>
      </c>
      <c r="T560" s="150">
        <f>S560*H560</f>
        <v>0</v>
      </c>
      <c r="U560" s="34"/>
      <c r="V560" s="34"/>
      <c r="W560" s="34"/>
      <c r="X560" s="34"/>
      <c r="Y560" s="34"/>
      <c r="Z560" s="34"/>
      <c r="AA560" s="34"/>
      <c r="AB560" s="34"/>
      <c r="AC560" s="34"/>
      <c r="AD560" s="34"/>
      <c r="AE560" s="34"/>
      <c r="AR560" s="151" t="s">
        <v>237</v>
      </c>
      <c r="AT560" s="151" t="s">
        <v>180</v>
      </c>
      <c r="AU560" s="151" t="s">
        <v>87</v>
      </c>
      <c r="AY560" s="19" t="s">
        <v>177</v>
      </c>
      <c r="BE560" s="152">
        <f>IF(N560="základní",J560,0)</f>
        <v>0</v>
      </c>
      <c r="BF560" s="152">
        <f>IF(N560="snížená",J560,0)</f>
        <v>0</v>
      </c>
      <c r="BG560" s="152">
        <f>IF(N560="zákl. přenesená",J560,0)</f>
        <v>0</v>
      </c>
      <c r="BH560" s="152">
        <f>IF(N560="sníž. přenesená",J560,0)</f>
        <v>0</v>
      </c>
      <c r="BI560" s="152">
        <f>IF(N560="nulová",J560,0)</f>
        <v>0</v>
      </c>
      <c r="BJ560" s="19" t="s">
        <v>85</v>
      </c>
      <c r="BK560" s="152">
        <f>ROUND(I560*H560,2)</f>
        <v>0</v>
      </c>
      <c r="BL560" s="19" t="s">
        <v>237</v>
      </c>
      <c r="BM560" s="151" t="s">
        <v>3571</v>
      </c>
    </row>
    <row r="561" spans="1:65" s="2" customFormat="1">
      <c r="A561" s="34"/>
      <c r="B561" s="35"/>
      <c r="C561" s="34"/>
      <c r="D561" s="153" t="s">
        <v>187</v>
      </c>
      <c r="E561" s="34"/>
      <c r="F561" s="154" t="s">
        <v>3572</v>
      </c>
      <c r="G561" s="34"/>
      <c r="H561" s="34"/>
      <c r="I561" s="155"/>
      <c r="J561" s="34"/>
      <c r="K561" s="34"/>
      <c r="L561" s="35"/>
      <c r="M561" s="156"/>
      <c r="N561" s="157"/>
      <c r="O561" s="55"/>
      <c r="P561" s="55"/>
      <c r="Q561" s="55"/>
      <c r="R561" s="55"/>
      <c r="S561" s="55"/>
      <c r="T561" s="56"/>
      <c r="U561" s="34"/>
      <c r="V561" s="34"/>
      <c r="W561" s="34"/>
      <c r="X561" s="34"/>
      <c r="Y561" s="34"/>
      <c r="Z561" s="34"/>
      <c r="AA561" s="34"/>
      <c r="AB561" s="34"/>
      <c r="AC561" s="34"/>
      <c r="AD561" s="34"/>
      <c r="AE561" s="34"/>
      <c r="AT561" s="19" t="s">
        <v>187</v>
      </c>
      <c r="AU561" s="19" t="s">
        <v>87</v>
      </c>
    </row>
    <row r="562" spans="1:65" s="2" customFormat="1">
      <c r="A562" s="34"/>
      <c r="B562" s="35"/>
      <c r="C562" s="34"/>
      <c r="D562" s="158" t="s">
        <v>189</v>
      </c>
      <c r="E562" s="34"/>
      <c r="F562" s="159" t="s">
        <v>3573</v>
      </c>
      <c r="G562" s="34"/>
      <c r="H562" s="34"/>
      <c r="I562" s="155"/>
      <c r="J562" s="34"/>
      <c r="K562" s="34"/>
      <c r="L562" s="35"/>
      <c r="M562" s="156"/>
      <c r="N562" s="157"/>
      <c r="O562" s="55"/>
      <c r="P562" s="55"/>
      <c r="Q562" s="55"/>
      <c r="R562" s="55"/>
      <c r="S562" s="55"/>
      <c r="T562" s="56"/>
      <c r="U562" s="34"/>
      <c r="V562" s="34"/>
      <c r="W562" s="34"/>
      <c r="X562" s="34"/>
      <c r="Y562" s="34"/>
      <c r="Z562" s="34"/>
      <c r="AA562" s="34"/>
      <c r="AB562" s="34"/>
      <c r="AC562" s="34"/>
      <c r="AD562" s="34"/>
      <c r="AE562" s="34"/>
      <c r="AT562" s="19" t="s">
        <v>189</v>
      </c>
      <c r="AU562" s="19" t="s">
        <v>87</v>
      </c>
    </row>
    <row r="563" spans="1:65" s="2" customFormat="1" ht="39">
      <c r="A563" s="34"/>
      <c r="B563" s="35"/>
      <c r="C563" s="34"/>
      <c r="D563" s="153" t="s">
        <v>191</v>
      </c>
      <c r="E563" s="34"/>
      <c r="F563" s="160" t="s">
        <v>3542</v>
      </c>
      <c r="G563" s="34"/>
      <c r="H563" s="34"/>
      <c r="I563" s="155"/>
      <c r="J563" s="34"/>
      <c r="K563" s="34"/>
      <c r="L563" s="35"/>
      <c r="M563" s="156"/>
      <c r="N563" s="157"/>
      <c r="O563" s="55"/>
      <c r="P563" s="55"/>
      <c r="Q563" s="55"/>
      <c r="R563" s="55"/>
      <c r="S563" s="55"/>
      <c r="T563" s="56"/>
      <c r="U563" s="34"/>
      <c r="V563" s="34"/>
      <c r="W563" s="34"/>
      <c r="X563" s="34"/>
      <c r="Y563" s="34"/>
      <c r="Z563" s="34"/>
      <c r="AA563" s="34"/>
      <c r="AB563" s="34"/>
      <c r="AC563" s="34"/>
      <c r="AD563" s="34"/>
      <c r="AE563" s="34"/>
      <c r="AT563" s="19" t="s">
        <v>191</v>
      </c>
      <c r="AU563" s="19" t="s">
        <v>87</v>
      </c>
    </row>
    <row r="564" spans="1:65" s="2" customFormat="1" ht="16.5" customHeight="1">
      <c r="A564" s="34"/>
      <c r="B564" s="139"/>
      <c r="C564" s="140" t="s">
        <v>2731</v>
      </c>
      <c r="D564" s="140" t="s">
        <v>180</v>
      </c>
      <c r="E564" s="141" t="s">
        <v>3574</v>
      </c>
      <c r="F564" s="142" t="s">
        <v>3575</v>
      </c>
      <c r="G564" s="143" t="s">
        <v>332</v>
      </c>
      <c r="H564" s="144">
        <v>57.896000000000001</v>
      </c>
      <c r="I564" s="145"/>
      <c r="J564" s="146">
        <f>ROUND(I564*H564,2)</f>
        <v>0</v>
      </c>
      <c r="K564" s="142" t="s">
        <v>184</v>
      </c>
      <c r="L564" s="35"/>
      <c r="M564" s="147" t="s">
        <v>3</v>
      </c>
      <c r="N564" s="148" t="s">
        <v>48</v>
      </c>
      <c r="O564" s="55"/>
      <c r="P564" s="149">
        <f>O564*H564</f>
        <v>0</v>
      </c>
      <c r="Q564" s="149">
        <v>4.5000000000000003E-5</v>
      </c>
      <c r="R564" s="149">
        <f>Q564*H564</f>
        <v>2.6053200000000004E-3</v>
      </c>
      <c r="S564" s="149">
        <v>0</v>
      </c>
      <c r="T564" s="150">
        <f>S564*H564</f>
        <v>0</v>
      </c>
      <c r="U564" s="34"/>
      <c r="V564" s="34"/>
      <c r="W564" s="34"/>
      <c r="X564" s="34"/>
      <c r="Y564" s="34"/>
      <c r="Z564" s="34"/>
      <c r="AA564" s="34"/>
      <c r="AB564" s="34"/>
      <c r="AC564" s="34"/>
      <c r="AD564" s="34"/>
      <c r="AE564" s="34"/>
      <c r="AR564" s="151" t="s">
        <v>237</v>
      </c>
      <c r="AT564" s="151" t="s">
        <v>180</v>
      </c>
      <c r="AU564" s="151" t="s">
        <v>87</v>
      </c>
      <c r="AY564" s="19" t="s">
        <v>177</v>
      </c>
      <c r="BE564" s="152">
        <f>IF(N564="základní",J564,0)</f>
        <v>0</v>
      </c>
      <c r="BF564" s="152">
        <f>IF(N564="snížená",J564,0)</f>
        <v>0</v>
      </c>
      <c r="BG564" s="152">
        <f>IF(N564="zákl. přenesená",J564,0)</f>
        <v>0</v>
      </c>
      <c r="BH564" s="152">
        <f>IF(N564="sníž. přenesená",J564,0)</f>
        <v>0</v>
      </c>
      <c r="BI564" s="152">
        <f>IF(N564="nulová",J564,0)</f>
        <v>0</v>
      </c>
      <c r="BJ564" s="19" t="s">
        <v>85</v>
      </c>
      <c r="BK564" s="152">
        <f>ROUND(I564*H564,2)</f>
        <v>0</v>
      </c>
      <c r="BL564" s="19" t="s">
        <v>237</v>
      </c>
      <c r="BM564" s="151" t="s">
        <v>3576</v>
      </c>
    </row>
    <row r="565" spans="1:65" s="2" customFormat="1">
      <c r="A565" s="34"/>
      <c r="B565" s="35"/>
      <c r="C565" s="34"/>
      <c r="D565" s="153" t="s">
        <v>187</v>
      </c>
      <c r="E565" s="34"/>
      <c r="F565" s="154" t="s">
        <v>3577</v>
      </c>
      <c r="G565" s="34"/>
      <c r="H565" s="34"/>
      <c r="I565" s="155"/>
      <c r="J565" s="34"/>
      <c r="K565" s="34"/>
      <c r="L565" s="35"/>
      <c r="M565" s="156"/>
      <c r="N565" s="157"/>
      <c r="O565" s="55"/>
      <c r="P565" s="55"/>
      <c r="Q565" s="55"/>
      <c r="R565" s="55"/>
      <c r="S565" s="55"/>
      <c r="T565" s="56"/>
      <c r="U565" s="34"/>
      <c r="V565" s="34"/>
      <c r="W565" s="34"/>
      <c r="X565" s="34"/>
      <c r="Y565" s="34"/>
      <c r="Z565" s="34"/>
      <c r="AA565" s="34"/>
      <c r="AB565" s="34"/>
      <c r="AC565" s="34"/>
      <c r="AD565" s="34"/>
      <c r="AE565" s="34"/>
      <c r="AT565" s="19" t="s">
        <v>187</v>
      </c>
      <c r="AU565" s="19" t="s">
        <v>87</v>
      </c>
    </row>
    <row r="566" spans="1:65" s="2" customFormat="1">
      <c r="A566" s="34"/>
      <c r="B566" s="35"/>
      <c r="C566" s="34"/>
      <c r="D566" s="158" t="s">
        <v>189</v>
      </c>
      <c r="E566" s="34"/>
      <c r="F566" s="159" t="s">
        <v>3578</v>
      </c>
      <c r="G566" s="34"/>
      <c r="H566" s="34"/>
      <c r="I566" s="155"/>
      <c r="J566" s="34"/>
      <c r="K566" s="34"/>
      <c r="L566" s="35"/>
      <c r="M566" s="156"/>
      <c r="N566" s="157"/>
      <c r="O566" s="55"/>
      <c r="P566" s="55"/>
      <c r="Q566" s="55"/>
      <c r="R566" s="55"/>
      <c r="S566" s="55"/>
      <c r="T566" s="56"/>
      <c r="U566" s="34"/>
      <c r="V566" s="34"/>
      <c r="W566" s="34"/>
      <c r="X566" s="34"/>
      <c r="Y566" s="34"/>
      <c r="Z566" s="34"/>
      <c r="AA566" s="34"/>
      <c r="AB566" s="34"/>
      <c r="AC566" s="34"/>
      <c r="AD566" s="34"/>
      <c r="AE566" s="34"/>
      <c r="AT566" s="19" t="s">
        <v>189</v>
      </c>
      <c r="AU566" s="19" t="s">
        <v>87</v>
      </c>
    </row>
    <row r="567" spans="1:65" s="2" customFormat="1" ht="16.5" customHeight="1">
      <c r="A567" s="34"/>
      <c r="B567" s="139"/>
      <c r="C567" s="140" t="s">
        <v>2448</v>
      </c>
      <c r="D567" s="140" t="s">
        <v>180</v>
      </c>
      <c r="E567" s="141" t="s">
        <v>3579</v>
      </c>
      <c r="F567" s="142" t="s">
        <v>3580</v>
      </c>
      <c r="G567" s="143" t="s">
        <v>183</v>
      </c>
      <c r="H567" s="144">
        <v>1.448</v>
      </c>
      <c r="I567" s="145"/>
      <c r="J567" s="146">
        <f>ROUND(I567*H567,2)</f>
        <v>0</v>
      </c>
      <c r="K567" s="142" t="s">
        <v>184</v>
      </c>
      <c r="L567" s="35"/>
      <c r="M567" s="147" t="s">
        <v>3</v>
      </c>
      <c r="N567" s="148" t="s">
        <v>48</v>
      </c>
      <c r="O567" s="55"/>
      <c r="P567" s="149">
        <f>O567*H567</f>
        <v>0</v>
      </c>
      <c r="Q567" s="149">
        <v>0</v>
      </c>
      <c r="R567" s="149">
        <f>Q567*H567</f>
        <v>0</v>
      </c>
      <c r="S567" s="149">
        <v>0</v>
      </c>
      <c r="T567" s="150">
        <f>S567*H567</f>
        <v>0</v>
      </c>
      <c r="U567" s="34"/>
      <c r="V567" s="34"/>
      <c r="W567" s="34"/>
      <c r="X567" s="34"/>
      <c r="Y567" s="34"/>
      <c r="Z567" s="34"/>
      <c r="AA567" s="34"/>
      <c r="AB567" s="34"/>
      <c r="AC567" s="34"/>
      <c r="AD567" s="34"/>
      <c r="AE567" s="34"/>
      <c r="AR567" s="151" t="s">
        <v>237</v>
      </c>
      <c r="AT567" s="151" t="s">
        <v>180</v>
      </c>
      <c r="AU567" s="151" t="s">
        <v>87</v>
      </c>
      <c r="AY567" s="19" t="s">
        <v>177</v>
      </c>
      <c r="BE567" s="152">
        <f>IF(N567="základní",J567,0)</f>
        <v>0</v>
      </c>
      <c r="BF567" s="152">
        <f>IF(N567="snížená",J567,0)</f>
        <v>0</v>
      </c>
      <c r="BG567" s="152">
        <f>IF(N567="zákl. přenesená",J567,0)</f>
        <v>0</v>
      </c>
      <c r="BH567" s="152">
        <f>IF(N567="sníž. přenesená",J567,0)</f>
        <v>0</v>
      </c>
      <c r="BI567" s="152">
        <f>IF(N567="nulová",J567,0)</f>
        <v>0</v>
      </c>
      <c r="BJ567" s="19" t="s">
        <v>85</v>
      </c>
      <c r="BK567" s="152">
        <f>ROUND(I567*H567,2)</f>
        <v>0</v>
      </c>
      <c r="BL567" s="19" t="s">
        <v>237</v>
      </c>
      <c r="BM567" s="151" t="s">
        <v>3581</v>
      </c>
    </row>
    <row r="568" spans="1:65" s="2" customFormat="1" ht="19.5">
      <c r="A568" s="34"/>
      <c r="B568" s="35"/>
      <c r="C568" s="34"/>
      <c r="D568" s="153" t="s">
        <v>187</v>
      </c>
      <c r="E568" s="34"/>
      <c r="F568" s="154" t="s">
        <v>3582</v>
      </c>
      <c r="G568" s="34"/>
      <c r="H568" s="34"/>
      <c r="I568" s="155"/>
      <c r="J568" s="34"/>
      <c r="K568" s="34"/>
      <c r="L568" s="35"/>
      <c r="M568" s="156"/>
      <c r="N568" s="157"/>
      <c r="O568" s="55"/>
      <c r="P568" s="55"/>
      <c r="Q568" s="55"/>
      <c r="R568" s="55"/>
      <c r="S568" s="55"/>
      <c r="T568" s="56"/>
      <c r="U568" s="34"/>
      <c r="V568" s="34"/>
      <c r="W568" s="34"/>
      <c r="X568" s="34"/>
      <c r="Y568" s="34"/>
      <c r="Z568" s="34"/>
      <c r="AA568" s="34"/>
      <c r="AB568" s="34"/>
      <c r="AC568" s="34"/>
      <c r="AD568" s="34"/>
      <c r="AE568" s="34"/>
      <c r="AT568" s="19" t="s">
        <v>187</v>
      </c>
      <c r="AU568" s="19" t="s">
        <v>87</v>
      </c>
    </row>
    <row r="569" spans="1:65" s="2" customFormat="1">
      <c r="A569" s="34"/>
      <c r="B569" s="35"/>
      <c r="C569" s="34"/>
      <c r="D569" s="158" t="s">
        <v>189</v>
      </c>
      <c r="E569" s="34"/>
      <c r="F569" s="159" t="s">
        <v>3583</v>
      </c>
      <c r="G569" s="34"/>
      <c r="H569" s="34"/>
      <c r="I569" s="155"/>
      <c r="J569" s="34"/>
      <c r="K569" s="34"/>
      <c r="L569" s="35"/>
      <c r="M569" s="156"/>
      <c r="N569" s="157"/>
      <c r="O569" s="55"/>
      <c r="P569" s="55"/>
      <c r="Q569" s="55"/>
      <c r="R569" s="55"/>
      <c r="S569" s="55"/>
      <c r="T569" s="56"/>
      <c r="U569" s="34"/>
      <c r="V569" s="34"/>
      <c r="W569" s="34"/>
      <c r="X569" s="34"/>
      <c r="Y569" s="34"/>
      <c r="Z569" s="34"/>
      <c r="AA569" s="34"/>
      <c r="AB569" s="34"/>
      <c r="AC569" s="34"/>
      <c r="AD569" s="34"/>
      <c r="AE569" s="34"/>
      <c r="AT569" s="19" t="s">
        <v>189</v>
      </c>
      <c r="AU569" s="19" t="s">
        <v>87</v>
      </c>
    </row>
    <row r="570" spans="1:65" s="2" customFormat="1" ht="78">
      <c r="A570" s="34"/>
      <c r="B570" s="35"/>
      <c r="C570" s="34"/>
      <c r="D570" s="153" t="s">
        <v>191</v>
      </c>
      <c r="E570" s="34"/>
      <c r="F570" s="160" t="s">
        <v>763</v>
      </c>
      <c r="G570" s="34"/>
      <c r="H570" s="34"/>
      <c r="I570" s="155"/>
      <c r="J570" s="34"/>
      <c r="K570" s="34"/>
      <c r="L570" s="35"/>
      <c r="M570" s="156"/>
      <c r="N570" s="157"/>
      <c r="O570" s="55"/>
      <c r="P570" s="55"/>
      <c r="Q570" s="55"/>
      <c r="R570" s="55"/>
      <c r="S570" s="55"/>
      <c r="T570" s="56"/>
      <c r="U570" s="34"/>
      <c r="V570" s="34"/>
      <c r="W570" s="34"/>
      <c r="X570" s="34"/>
      <c r="Y570" s="34"/>
      <c r="Z570" s="34"/>
      <c r="AA570" s="34"/>
      <c r="AB570" s="34"/>
      <c r="AC570" s="34"/>
      <c r="AD570" s="34"/>
      <c r="AE570" s="34"/>
      <c r="AT570" s="19" t="s">
        <v>191</v>
      </c>
      <c r="AU570" s="19" t="s">
        <v>87</v>
      </c>
    </row>
    <row r="571" spans="1:65" s="2" customFormat="1" ht="16.5" customHeight="1">
      <c r="A571" s="34"/>
      <c r="B571" s="139"/>
      <c r="C571" s="140" t="s">
        <v>2743</v>
      </c>
      <c r="D571" s="140" t="s">
        <v>180</v>
      </c>
      <c r="E571" s="141" t="s">
        <v>3584</v>
      </c>
      <c r="F571" s="142" t="s">
        <v>3585</v>
      </c>
      <c r="G571" s="143" t="s">
        <v>183</v>
      </c>
      <c r="H571" s="144">
        <v>1.448</v>
      </c>
      <c r="I571" s="145"/>
      <c r="J571" s="146">
        <f>ROUND(I571*H571,2)</f>
        <v>0</v>
      </c>
      <c r="K571" s="142" t="s">
        <v>184</v>
      </c>
      <c r="L571" s="35"/>
      <c r="M571" s="147" t="s">
        <v>3</v>
      </c>
      <c r="N571" s="148" t="s">
        <v>48</v>
      </c>
      <c r="O571" s="55"/>
      <c r="P571" s="149">
        <f>O571*H571</f>
        <v>0</v>
      </c>
      <c r="Q571" s="149">
        <v>0</v>
      </c>
      <c r="R571" s="149">
        <f>Q571*H571</f>
        <v>0</v>
      </c>
      <c r="S571" s="149">
        <v>0</v>
      </c>
      <c r="T571" s="150">
        <f>S571*H571</f>
        <v>0</v>
      </c>
      <c r="U571" s="34"/>
      <c r="V571" s="34"/>
      <c r="W571" s="34"/>
      <c r="X571" s="34"/>
      <c r="Y571" s="34"/>
      <c r="Z571" s="34"/>
      <c r="AA571" s="34"/>
      <c r="AB571" s="34"/>
      <c r="AC571" s="34"/>
      <c r="AD571" s="34"/>
      <c r="AE571" s="34"/>
      <c r="AR571" s="151" t="s">
        <v>237</v>
      </c>
      <c r="AT571" s="151" t="s">
        <v>180</v>
      </c>
      <c r="AU571" s="151" t="s">
        <v>87</v>
      </c>
      <c r="AY571" s="19" t="s">
        <v>177</v>
      </c>
      <c r="BE571" s="152">
        <f>IF(N571="základní",J571,0)</f>
        <v>0</v>
      </c>
      <c r="BF571" s="152">
        <f>IF(N571="snížená",J571,0)</f>
        <v>0</v>
      </c>
      <c r="BG571" s="152">
        <f>IF(N571="zákl. přenesená",J571,0)</f>
        <v>0</v>
      </c>
      <c r="BH571" s="152">
        <f>IF(N571="sníž. přenesená",J571,0)</f>
        <v>0</v>
      </c>
      <c r="BI571" s="152">
        <f>IF(N571="nulová",J571,0)</f>
        <v>0</v>
      </c>
      <c r="BJ571" s="19" t="s">
        <v>85</v>
      </c>
      <c r="BK571" s="152">
        <f>ROUND(I571*H571,2)</f>
        <v>0</v>
      </c>
      <c r="BL571" s="19" t="s">
        <v>237</v>
      </c>
      <c r="BM571" s="151" t="s">
        <v>3586</v>
      </c>
    </row>
    <row r="572" spans="1:65" s="2" customFormat="1" ht="19.5">
      <c r="A572" s="34"/>
      <c r="B572" s="35"/>
      <c r="C572" s="34"/>
      <c r="D572" s="153" t="s">
        <v>187</v>
      </c>
      <c r="E572" s="34"/>
      <c r="F572" s="154" t="s">
        <v>3587</v>
      </c>
      <c r="G572" s="34"/>
      <c r="H572" s="34"/>
      <c r="I572" s="155"/>
      <c r="J572" s="34"/>
      <c r="K572" s="34"/>
      <c r="L572" s="35"/>
      <c r="M572" s="156"/>
      <c r="N572" s="157"/>
      <c r="O572" s="55"/>
      <c r="P572" s="55"/>
      <c r="Q572" s="55"/>
      <c r="R572" s="55"/>
      <c r="S572" s="55"/>
      <c r="T572" s="56"/>
      <c r="U572" s="34"/>
      <c r="V572" s="34"/>
      <c r="W572" s="34"/>
      <c r="X572" s="34"/>
      <c r="Y572" s="34"/>
      <c r="Z572" s="34"/>
      <c r="AA572" s="34"/>
      <c r="AB572" s="34"/>
      <c r="AC572" s="34"/>
      <c r="AD572" s="34"/>
      <c r="AE572" s="34"/>
      <c r="AT572" s="19" t="s">
        <v>187</v>
      </c>
      <c r="AU572" s="19" t="s">
        <v>87</v>
      </c>
    </row>
    <row r="573" spans="1:65" s="2" customFormat="1">
      <c r="A573" s="34"/>
      <c r="B573" s="35"/>
      <c r="C573" s="34"/>
      <c r="D573" s="158" t="s">
        <v>189</v>
      </c>
      <c r="E573" s="34"/>
      <c r="F573" s="159" t="s">
        <v>3588</v>
      </c>
      <c r="G573" s="34"/>
      <c r="H573" s="34"/>
      <c r="I573" s="155"/>
      <c r="J573" s="34"/>
      <c r="K573" s="34"/>
      <c r="L573" s="35"/>
      <c r="M573" s="156"/>
      <c r="N573" s="157"/>
      <c r="O573" s="55"/>
      <c r="P573" s="55"/>
      <c r="Q573" s="55"/>
      <c r="R573" s="55"/>
      <c r="S573" s="55"/>
      <c r="T573" s="56"/>
      <c r="U573" s="34"/>
      <c r="V573" s="34"/>
      <c r="W573" s="34"/>
      <c r="X573" s="34"/>
      <c r="Y573" s="34"/>
      <c r="Z573" s="34"/>
      <c r="AA573" s="34"/>
      <c r="AB573" s="34"/>
      <c r="AC573" s="34"/>
      <c r="AD573" s="34"/>
      <c r="AE573" s="34"/>
      <c r="AT573" s="19" t="s">
        <v>189</v>
      </c>
      <c r="AU573" s="19" t="s">
        <v>87</v>
      </c>
    </row>
    <row r="574" spans="1:65" s="2" customFormat="1" ht="78">
      <c r="A574" s="34"/>
      <c r="B574" s="35"/>
      <c r="C574" s="34"/>
      <c r="D574" s="153" t="s">
        <v>191</v>
      </c>
      <c r="E574" s="34"/>
      <c r="F574" s="160" t="s">
        <v>763</v>
      </c>
      <c r="G574" s="34"/>
      <c r="H574" s="34"/>
      <c r="I574" s="155"/>
      <c r="J574" s="34"/>
      <c r="K574" s="34"/>
      <c r="L574" s="35"/>
      <c r="M574" s="156"/>
      <c r="N574" s="157"/>
      <c r="O574" s="55"/>
      <c r="P574" s="55"/>
      <c r="Q574" s="55"/>
      <c r="R574" s="55"/>
      <c r="S574" s="55"/>
      <c r="T574" s="56"/>
      <c r="U574" s="34"/>
      <c r="V574" s="34"/>
      <c r="W574" s="34"/>
      <c r="X574" s="34"/>
      <c r="Y574" s="34"/>
      <c r="Z574" s="34"/>
      <c r="AA574" s="34"/>
      <c r="AB574" s="34"/>
      <c r="AC574" s="34"/>
      <c r="AD574" s="34"/>
      <c r="AE574" s="34"/>
      <c r="AT574" s="19" t="s">
        <v>191</v>
      </c>
      <c r="AU574" s="19" t="s">
        <v>87</v>
      </c>
    </row>
    <row r="575" spans="1:65" s="12" customFormat="1" ht="22.9" customHeight="1">
      <c r="B575" s="126"/>
      <c r="D575" s="127" t="s">
        <v>76</v>
      </c>
      <c r="E575" s="137" t="s">
        <v>1668</v>
      </c>
      <c r="F575" s="137" t="s">
        <v>1669</v>
      </c>
      <c r="I575" s="129"/>
      <c r="J575" s="138">
        <f>BK575</f>
        <v>0</v>
      </c>
      <c r="L575" s="126"/>
      <c r="M575" s="131"/>
      <c r="N575" s="132"/>
      <c r="O575" s="132"/>
      <c r="P575" s="133">
        <f>SUM(P576:P605)</f>
        <v>0</v>
      </c>
      <c r="Q575" s="132"/>
      <c r="R575" s="133">
        <f>SUM(R576:R605)</f>
        <v>1.6676768799999998E-2</v>
      </c>
      <c r="S575" s="132"/>
      <c r="T575" s="134">
        <f>SUM(T576:T605)</f>
        <v>0</v>
      </c>
      <c r="AR575" s="127" t="s">
        <v>87</v>
      </c>
      <c r="AT575" s="135" t="s">
        <v>76</v>
      </c>
      <c r="AU575" s="135" t="s">
        <v>85</v>
      </c>
      <c r="AY575" s="127" t="s">
        <v>177</v>
      </c>
      <c r="BK575" s="136">
        <f>SUM(BK576:BK605)</f>
        <v>0</v>
      </c>
    </row>
    <row r="576" spans="1:65" s="2" customFormat="1" ht="16.5" customHeight="1">
      <c r="A576" s="34"/>
      <c r="B576" s="139"/>
      <c r="C576" s="140" t="s">
        <v>2749</v>
      </c>
      <c r="D576" s="140" t="s">
        <v>180</v>
      </c>
      <c r="E576" s="141" t="s">
        <v>3589</v>
      </c>
      <c r="F576" s="142" t="s">
        <v>3590</v>
      </c>
      <c r="G576" s="143" t="s">
        <v>332</v>
      </c>
      <c r="H576" s="144">
        <v>38.26</v>
      </c>
      <c r="I576" s="145"/>
      <c r="J576" s="146">
        <f>ROUND(I576*H576,2)</f>
        <v>0</v>
      </c>
      <c r="K576" s="142" t="s">
        <v>184</v>
      </c>
      <c r="L576" s="35"/>
      <c r="M576" s="147" t="s">
        <v>3</v>
      </c>
      <c r="N576" s="148" t="s">
        <v>48</v>
      </c>
      <c r="O576" s="55"/>
      <c r="P576" s="149">
        <f>O576*H576</f>
        <v>0</v>
      </c>
      <c r="Q576" s="149">
        <v>8.0000000000000007E-5</v>
      </c>
      <c r="R576" s="149">
        <f>Q576*H576</f>
        <v>3.0608000000000002E-3</v>
      </c>
      <c r="S576" s="149">
        <v>0</v>
      </c>
      <c r="T576" s="150">
        <f>S576*H576</f>
        <v>0</v>
      </c>
      <c r="U576" s="34"/>
      <c r="V576" s="34"/>
      <c r="W576" s="34"/>
      <c r="X576" s="34"/>
      <c r="Y576" s="34"/>
      <c r="Z576" s="34"/>
      <c r="AA576" s="34"/>
      <c r="AB576" s="34"/>
      <c r="AC576" s="34"/>
      <c r="AD576" s="34"/>
      <c r="AE576" s="34"/>
      <c r="AR576" s="151" t="s">
        <v>237</v>
      </c>
      <c r="AT576" s="151" t="s">
        <v>180</v>
      </c>
      <c r="AU576" s="151" t="s">
        <v>87</v>
      </c>
      <c r="AY576" s="19" t="s">
        <v>177</v>
      </c>
      <c r="BE576" s="152">
        <f>IF(N576="základní",J576,0)</f>
        <v>0</v>
      </c>
      <c r="BF576" s="152">
        <f>IF(N576="snížená",J576,0)</f>
        <v>0</v>
      </c>
      <c r="BG576" s="152">
        <f>IF(N576="zákl. přenesená",J576,0)</f>
        <v>0</v>
      </c>
      <c r="BH576" s="152">
        <f>IF(N576="sníž. přenesená",J576,0)</f>
        <v>0</v>
      </c>
      <c r="BI576" s="152">
        <f>IF(N576="nulová",J576,0)</f>
        <v>0</v>
      </c>
      <c r="BJ576" s="19" t="s">
        <v>85</v>
      </c>
      <c r="BK576" s="152">
        <f>ROUND(I576*H576,2)</f>
        <v>0</v>
      </c>
      <c r="BL576" s="19" t="s">
        <v>237</v>
      </c>
      <c r="BM576" s="151" t="s">
        <v>3591</v>
      </c>
    </row>
    <row r="577" spans="1:65" s="2" customFormat="1">
      <c r="A577" s="34"/>
      <c r="B577" s="35"/>
      <c r="C577" s="34"/>
      <c r="D577" s="153" t="s">
        <v>187</v>
      </c>
      <c r="E577" s="34"/>
      <c r="F577" s="154" t="s">
        <v>3592</v>
      </c>
      <c r="G577" s="34"/>
      <c r="H577" s="34"/>
      <c r="I577" s="155"/>
      <c r="J577" s="34"/>
      <c r="K577" s="34"/>
      <c r="L577" s="35"/>
      <c r="M577" s="156"/>
      <c r="N577" s="157"/>
      <c r="O577" s="55"/>
      <c r="P577" s="55"/>
      <c r="Q577" s="55"/>
      <c r="R577" s="55"/>
      <c r="S577" s="55"/>
      <c r="T577" s="56"/>
      <c r="U577" s="34"/>
      <c r="V577" s="34"/>
      <c r="W577" s="34"/>
      <c r="X577" s="34"/>
      <c r="Y577" s="34"/>
      <c r="Z577" s="34"/>
      <c r="AA577" s="34"/>
      <c r="AB577" s="34"/>
      <c r="AC577" s="34"/>
      <c r="AD577" s="34"/>
      <c r="AE577" s="34"/>
      <c r="AT577" s="19" t="s">
        <v>187</v>
      </c>
      <c r="AU577" s="19" t="s">
        <v>87</v>
      </c>
    </row>
    <row r="578" spans="1:65" s="2" customFormat="1">
      <c r="A578" s="34"/>
      <c r="B578" s="35"/>
      <c r="C578" s="34"/>
      <c r="D578" s="158" t="s">
        <v>189</v>
      </c>
      <c r="E578" s="34"/>
      <c r="F578" s="159" t="s">
        <v>3593</v>
      </c>
      <c r="G578" s="34"/>
      <c r="H578" s="34"/>
      <c r="I578" s="155"/>
      <c r="J578" s="34"/>
      <c r="K578" s="34"/>
      <c r="L578" s="35"/>
      <c r="M578" s="156"/>
      <c r="N578" s="157"/>
      <c r="O578" s="55"/>
      <c r="P578" s="55"/>
      <c r="Q578" s="55"/>
      <c r="R578" s="55"/>
      <c r="S578" s="55"/>
      <c r="T578" s="56"/>
      <c r="U578" s="34"/>
      <c r="V578" s="34"/>
      <c r="W578" s="34"/>
      <c r="X578" s="34"/>
      <c r="Y578" s="34"/>
      <c r="Z578" s="34"/>
      <c r="AA578" s="34"/>
      <c r="AB578" s="34"/>
      <c r="AC578" s="34"/>
      <c r="AD578" s="34"/>
      <c r="AE578" s="34"/>
      <c r="AT578" s="19" t="s">
        <v>189</v>
      </c>
      <c r="AU578" s="19" t="s">
        <v>87</v>
      </c>
    </row>
    <row r="579" spans="1:65" s="2" customFormat="1" ht="16.5" customHeight="1">
      <c r="A579" s="34"/>
      <c r="B579" s="139"/>
      <c r="C579" s="140" t="s">
        <v>2758</v>
      </c>
      <c r="D579" s="140" t="s">
        <v>180</v>
      </c>
      <c r="E579" s="141" t="s">
        <v>1680</v>
      </c>
      <c r="F579" s="142" t="s">
        <v>1681</v>
      </c>
      <c r="G579" s="143" t="s">
        <v>332</v>
      </c>
      <c r="H579" s="144">
        <v>38.26</v>
      </c>
      <c r="I579" s="145"/>
      <c r="J579" s="146">
        <f>ROUND(I579*H579,2)</f>
        <v>0</v>
      </c>
      <c r="K579" s="142" t="s">
        <v>184</v>
      </c>
      <c r="L579" s="35"/>
      <c r="M579" s="147" t="s">
        <v>3</v>
      </c>
      <c r="N579" s="148" t="s">
        <v>48</v>
      </c>
      <c r="O579" s="55"/>
      <c r="P579" s="149">
        <f>O579*H579</f>
        <v>0</v>
      </c>
      <c r="Q579" s="149">
        <v>0</v>
      </c>
      <c r="R579" s="149">
        <f>Q579*H579</f>
        <v>0</v>
      </c>
      <c r="S579" s="149">
        <v>0</v>
      </c>
      <c r="T579" s="150">
        <f>S579*H579</f>
        <v>0</v>
      </c>
      <c r="U579" s="34"/>
      <c r="V579" s="34"/>
      <c r="W579" s="34"/>
      <c r="X579" s="34"/>
      <c r="Y579" s="34"/>
      <c r="Z579" s="34"/>
      <c r="AA579" s="34"/>
      <c r="AB579" s="34"/>
      <c r="AC579" s="34"/>
      <c r="AD579" s="34"/>
      <c r="AE579" s="34"/>
      <c r="AR579" s="151" t="s">
        <v>237</v>
      </c>
      <c r="AT579" s="151" t="s">
        <v>180</v>
      </c>
      <c r="AU579" s="151" t="s">
        <v>87</v>
      </c>
      <c r="AY579" s="19" t="s">
        <v>177</v>
      </c>
      <c r="BE579" s="152">
        <f>IF(N579="základní",J579,0)</f>
        <v>0</v>
      </c>
      <c r="BF579" s="152">
        <f>IF(N579="snížená",J579,0)</f>
        <v>0</v>
      </c>
      <c r="BG579" s="152">
        <f>IF(N579="zákl. přenesená",J579,0)</f>
        <v>0</v>
      </c>
      <c r="BH579" s="152">
        <f>IF(N579="sníž. přenesená",J579,0)</f>
        <v>0</v>
      </c>
      <c r="BI579" s="152">
        <f>IF(N579="nulová",J579,0)</f>
        <v>0</v>
      </c>
      <c r="BJ579" s="19" t="s">
        <v>85</v>
      </c>
      <c r="BK579" s="152">
        <f>ROUND(I579*H579,2)</f>
        <v>0</v>
      </c>
      <c r="BL579" s="19" t="s">
        <v>237</v>
      </c>
      <c r="BM579" s="151" t="s">
        <v>3594</v>
      </c>
    </row>
    <row r="580" spans="1:65" s="2" customFormat="1">
      <c r="A580" s="34"/>
      <c r="B580" s="35"/>
      <c r="C580" s="34"/>
      <c r="D580" s="153" t="s">
        <v>187</v>
      </c>
      <c r="E580" s="34"/>
      <c r="F580" s="154" t="s">
        <v>1683</v>
      </c>
      <c r="G580" s="34"/>
      <c r="H580" s="34"/>
      <c r="I580" s="155"/>
      <c r="J580" s="34"/>
      <c r="K580" s="34"/>
      <c r="L580" s="35"/>
      <c r="M580" s="156"/>
      <c r="N580" s="157"/>
      <c r="O580" s="55"/>
      <c r="P580" s="55"/>
      <c r="Q580" s="55"/>
      <c r="R580" s="55"/>
      <c r="S580" s="55"/>
      <c r="T580" s="56"/>
      <c r="U580" s="34"/>
      <c r="V580" s="34"/>
      <c r="W580" s="34"/>
      <c r="X580" s="34"/>
      <c r="Y580" s="34"/>
      <c r="Z580" s="34"/>
      <c r="AA580" s="34"/>
      <c r="AB580" s="34"/>
      <c r="AC580" s="34"/>
      <c r="AD580" s="34"/>
      <c r="AE580" s="34"/>
      <c r="AT580" s="19" t="s">
        <v>187</v>
      </c>
      <c r="AU580" s="19" t="s">
        <v>87</v>
      </c>
    </row>
    <row r="581" spans="1:65" s="2" customFormat="1">
      <c r="A581" s="34"/>
      <c r="B581" s="35"/>
      <c r="C581" s="34"/>
      <c r="D581" s="158" t="s">
        <v>189</v>
      </c>
      <c r="E581" s="34"/>
      <c r="F581" s="159" t="s">
        <v>1684</v>
      </c>
      <c r="G581" s="34"/>
      <c r="H581" s="34"/>
      <c r="I581" s="155"/>
      <c r="J581" s="34"/>
      <c r="K581" s="34"/>
      <c r="L581" s="35"/>
      <c r="M581" s="156"/>
      <c r="N581" s="157"/>
      <c r="O581" s="55"/>
      <c r="P581" s="55"/>
      <c r="Q581" s="55"/>
      <c r="R581" s="55"/>
      <c r="S581" s="55"/>
      <c r="T581" s="56"/>
      <c r="U581" s="34"/>
      <c r="V581" s="34"/>
      <c r="W581" s="34"/>
      <c r="X581" s="34"/>
      <c r="Y581" s="34"/>
      <c r="Z581" s="34"/>
      <c r="AA581" s="34"/>
      <c r="AB581" s="34"/>
      <c r="AC581" s="34"/>
      <c r="AD581" s="34"/>
      <c r="AE581" s="34"/>
      <c r="AT581" s="19" t="s">
        <v>189</v>
      </c>
      <c r="AU581" s="19" t="s">
        <v>87</v>
      </c>
    </row>
    <row r="582" spans="1:65" s="2" customFormat="1" ht="16.5" customHeight="1">
      <c r="A582" s="34"/>
      <c r="B582" s="139"/>
      <c r="C582" s="140" t="s">
        <v>2767</v>
      </c>
      <c r="D582" s="140" t="s">
        <v>180</v>
      </c>
      <c r="E582" s="141" t="s">
        <v>1685</v>
      </c>
      <c r="F582" s="142" t="s">
        <v>1686</v>
      </c>
      <c r="G582" s="143" t="s">
        <v>332</v>
      </c>
      <c r="H582" s="144">
        <v>38.26</v>
      </c>
      <c r="I582" s="145"/>
      <c r="J582" s="146">
        <f>ROUND(I582*H582,2)</f>
        <v>0</v>
      </c>
      <c r="K582" s="142" t="s">
        <v>184</v>
      </c>
      <c r="L582" s="35"/>
      <c r="M582" s="147" t="s">
        <v>3</v>
      </c>
      <c r="N582" s="148" t="s">
        <v>48</v>
      </c>
      <c r="O582" s="55"/>
      <c r="P582" s="149">
        <f>O582*H582</f>
        <v>0</v>
      </c>
      <c r="Q582" s="149">
        <v>1.35E-4</v>
      </c>
      <c r="R582" s="149">
        <f>Q582*H582</f>
        <v>5.1650999999999997E-3</v>
      </c>
      <c r="S582" s="149">
        <v>0</v>
      </c>
      <c r="T582" s="150">
        <f>S582*H582</f>
        <v>0</v>
      </c>
      <c r="U582" s="34"/>
      <c r="V582" s="34"/>
      <c r="W582" s="34"/>
      <c r="X582" s="34"/>
      <c r="Y582" s="34"/>
      <c r="Z582" s="34"/>
      <c r="AA582" s="34"/>
      <c r="AB582" s="34"/>
      <c r="AC582" s="34"/>
      <c r="AD582" s="34"/>
      <c r="AE582" s="34"/>
      <c r="AR582" s="151" t="s">
        <v>237</v>
      </c>
      <c r="AT582" s="151" t="s">
        <v>180</v>
      </c>
      <c r="AU582" s="151" t="s">
        <v>87</v>
      </c>
      <c r="AY582" s="19" t="s">
        <v>177</v>
      </c>
      <c r="BE582" s="152">
        <f>IF(N582="základní",J582,0)</f>
        <v>0</v>
      </c>
      <c r="BF582" s="152">
        <f>IF(N582="snížená",J582,0)</f>
        <v>0</v>
      </c>
      <c r="BG582" s="152">
        <f>IF(N582="zákl. přenesená",J582,0)</f>
        <v>0</v>
      </c>
      <c r="BH582" s="152">
        <f>IF(N582="sníž. přenesená",J582,0)</f>
        <v>0</v>
      </c>
      <c r="BI582" s="152">
        <f>IF(N582="nulová",J582,0)</f>
        <v>0</v>
      </c>
      <c r="BJ582" s="19" t="s">
        <v>85</v>
      </c>
      <c r="BK582" s="152">
        <f>ROUND(I582*H582,2)</f>
        <v>0</v>
      </c>
      <c r="BL582" s="19" t="s">
        <v>237</v>
      </c>
      <c r="BM582" s="151" t="s">
        <v>3595</v>
      </c>
    </row>
    <row r="583" spans="1:65" s="2" customFormat="1">
      <c r="A583" s="34"/>
      <c r="B583" s="35"/>
      <c r="C583" s="34"/>
      <c r="D583" s="153" t="s">
        <v>187</v>
      </c>
      <c r="E583" s="34"/>
      <c r="F583" s="154" t="s">
        <v>1688</v>
      </c>
      <c r="G583" s="34"/>
      <c r="H583" s="34"/>
      <c r="I583" s="155"/>
      <c r="J583" s="34"/>
      <c r="K583" s="34"/>
      <c r="L583" s="35"/>
      <c r="M583" s="156"/>
      <c r="N583" s="157"/>
      <c r="O583" s="55"/>
      <c r="P583" s="55"/>
      <c r="Q583" s="55"/>
      <c r="R583" s="55"/>
      <c r="S583" s="55"/>
      <c r="T583" s="56"/>
      <c r="U583" s="34"/>
      <c r="V583" s="34"/>
      <c r="W583" s="34"/>
      <c r="X583" s="34"/>
      <c r="Y583" s="34"/>
      <c r="Z583" s="34"/>
      <c r="AA583" s="34"/>
      <c r="AB583" s="34"/>
      <c r="AC583" s="34"/>
      <c r="AD583" s="34"/>
      <c r="AE583" s="34"/>
      <c r="AT583" s="19" t="s">
        <v>187</v>
      </c>
      <c r="AU583" s="19" t="s">
        <v>87</v>
      </c>
    </row>
    <row r="584" spans="1:65" s="2" customFormat="1">
      <c r="A584" s="34"/>
      <c r="B584" s="35"/>
      <c r="C584" s="34"/>
      <c r="D584" s="158" t="s">
        <v>189</v>
      </c>
      <c r="E584" s="34"/>
      <c r="F584" s="159" t="s">
        <v>1689</v>
      </c>
      <c r="G584" s="34"/>
      <c r="H584" s="34"/>
      <c r="I584" s="155"/>
      <c r="J584" s="34"/>
      <c r="K584" s="34"/>
      <c r="L584" s="35"/>
      <c r="M584" s="156"/>
      <c r="N584" s="157"/>
      <c r="O584" s="55"/>
      <c r="P584" s="55"/>
      <c r="Q584" s="55"/>
      <c r="R584" s="55"/>
      <c r="S584" s="55"/>
      <c r="T584" s="56"/>
      <c r="U584" s="34"/>
      <c r="V584" s="34"/>
      <c r="W584" s="34"/>
      <c r="X584" s="34"/>
      <c r="Y584" s="34"/>
      <c r="Z584" s="34"/>
      <c r="AA584" s="34"/>
      <c r="AB584" s="34"/>
      <c r="AC584" s="34"/>
      <c r="AD584" s="34"/>
      <c r="AE584" s="34"/>
      <c r="AT584" s="19" t="s">
        <v>189</v>
      </c>
      <c r="AU584" s="19" t="s">
        <v>87</v>
      </c>
    </row>
    <row r="585" spans="1:65" s="2" customFormat="1" ht="16.5" customHeight="1">
      <c r="A585" s="34"/>
      <c r="B585" s="139"/>
      <c r="C585" s="140" t="s">
        <v>2775</v>
      </c>
      <c r="D585" s="140" t="s">
        <v>180</v>
      </c>
      <c r="E585" s="141" t="s">
        <v>3596</v>
      </c>
      <c r="F585" s="142" t="s">
        <v>3597</v>
      </c>
      <c r="G585" s="143" t="s">
        <v>332</v>
      </c>
      <c r="H585" s="144">
        <v>38.26</v>
      </c>
      <c r="I585" s="145"/>
      <c r="J585" s="146">
        <f>ROUND(I585*H585,2)</f>
        <v>0</v>
      </c>
      <c r="K585" s="142" t="s">
        <v>184</v>
      </c>
      <c r="L585" s="35"/>
      <c r="M585" s="147" t="s">
        <v>3</v>
      </c>
      <c r="N585" s="148" t="s">
        <v>48</v>
      </c>
      <c r="O585" s="55"/>
      <c r="P585" s="149">
        <f>O585*H585</f>
        <v>0</v>
      </c>
      <c r="Q585" s="149">
        <v>1.35E-4</v>
      </c>
      <c r="R585" s="149">
        <f>Q585*H585</f>
        <v>5.1650999999999997E-3</v>
      </c>
      <c r="S585" s="149">
        <v>0</v>
      </c>
      <c r="T585" s="150">
        <f>S585*H585</f>
        <v>0</v>
      </c>
      <c r="U585" s="34"/>
      <c r="V585" s="34"/>
      <c r="W585" s="34"/>
      <c r="X585" s="34"/>
      <c r="Y585" s="34"/>
      <c r="Z585" s="34"/>
      <c r="AA585" s="34"/>
      <c r="AB585" s="34"/>
      <c r="AC585" s="34"/>
      <c r="AD585" s="34"/>
      <c r="AE585" s="34"/>
      <c r="AR585" s="151" t="s">
        <v>237</v>
      </c>
      <c r="AT585" s="151" t="s">
        <v>180</v>
      </c>
      <c r="AU585" s="151" t="s">
        <v>87</v>
      </c>
      <c r="AY585" s="19" t="s">
        <v>177</v>
      </c>
      <c r="BE585" s="152">
        <f>IF(N585="základní",J585,0)</f>
        <v>0</v>
      </c>
      <c r="BF585" s="152">
        <f>IF(N585="snížená",J585,0)</f>
        <v>0</v>
      </c>
      <c r="BG585" s="152">
        <f>IF(N585="zákl. přenesená",J585,0)</f>
        <v>0</v>
      </c>
      <c r="BH585" s="152">
        <f>IF(N585="sníž. přenesená",J585,0)</f>
        <v>0</v>
      </c>
      <c r="BI585" s="152">
        <f>IF(N585="nulová",J585,0)</f>
        <v>0</v>
      </c>
      <c r="BJ585" s="19" t="s">
        <v>85</v>
      </c>
      <c r="BK585" s="152">
        <f>ROUND(I585*H585,2)</f>
        <v>0</v>
      </c>
      <c r="BL585" s="19" t="s">
        <v>237</v>
      </c>
      <c r="BM585" s="151" t="s">
        <v>3598</v>
      </c>
    </row>
    <row r="586" spans="1:65" s="2" customFormat="1">
      <c r="A586" s="34"/>
      <c r="B586" s="35"/>
      <c r="C586" s="34"/>
      <c r="D586" s="153" t="s">
        <v>187</v>
      </c>
      <c r="E586" s="34"/>
      <c r="F586" s="154" t="s">
        <v>3599</v>
      </c>
      <c r="G586" s="34"/>
      <c r="H586" s="34"/>
      <c r="I586" s="155"/>
      <c r="J586" s="34"/>
      <c r="K586" s="34"/>
      <c r="L586" s="35"/>
      <c r="M586" s="156"/>
      <c r="N586" s="157"/>
      <c r="O586" s="55"/>
      <c r="P586" s="55"/>
      <c r="Q586" s="55"/>
      <c r="R586" s="55"/>
      <c r="S586" s="55"/>
      <c r="T586" s="56"/>
      <c r="U586" s="34"/>
      <c r="V586" s="34"/>
      <c r="W586" s="34"/>
      <c r="X586" s="34"/>
      <c r="Y586" s="34"/>
      <c r="Z586" s="34"/>
      <c r="AA586" s="34"/>
      <c r="AB586" s="34"/>
      <c r="AC586" s="34"/>
      <c r="AD586" s="34"/>
      <c r="AE586" s="34"/>
      <c r="AT586" s="19" t="s">
        <v>187</v>
      </c>
      <c r="AU586" s="19" t="s">
        <v>87</v>
      </c>
    </row>
    <row r="587" spans="1:65" s="2" customFormat="1">
      <c r="A587" s="34"/>
      <c r="B587" s="35"/>
      <c r="C587" s="34"/>
      <c r="D587" s="158" t="s">
        <v>189</v>
      </c>
      <c r="E587" s="34"/>
      <c r="F587" s="159" t="s">
        <v>3600</v>
      </c>
      <c r="G587" s="34"/>
      <c r="H587" s="34"/>
      <c r="I587" s="155"/>
      <c r="J587" s="34"/>
      <c r="K587" s="34"/>
      <c r="L587" s="35"/>
      <c r="M587" s="156"/>
      <c r="N587" s="157"/>
      <c r="O587" s="55"/>
      <c r="P587" s="55"/>
      <c r="Q587" s="55"/>
      <c r="R587" s="55"/>
      <c r="S587" s="55"/>
      <c r="T587" s="56"/>
      <c r="U587" s="34"/>
      <c r="V587" s="34"/>
      <c r="W587" s="34"/>
      <c r="X587" s="34"/>
      <c r="Y587" s="34"/>
      <c r="Z587" s="34"/>
      <c r="AA587" s="34"/>
      <c r="AB587" s="34"/>
      <c r="AC587" s="34"/>
      <c r="AD587" s="34"/>
      <c r="AE587" s="34"/>
      <c r="AT587" s="19" t="s">
        <v>189</v>
      </c>
      <c r="AU587" s="19" t="s">
        <v>87</v>
      </c>
    </row>
    <row r="588" spans="1:65" s="2" customFormat="1" ht="16.5" customHeight="1">
      <c r="A588" s="34"/>
      <c r="B588" s="139"/>
      <c r="C588" s="140" t="s">
        <v>2777</v>
      </c>
      <c r="D588" s="140" t="s">
        <v>180</v>
      </c>
      <c r="E588" s="141" t="s">
        <v>3601</v>
      </c>
      <c r="F588" s="142" t="s">
        <v>3602</v>
      </c>
      <c r="G588" s="143" t="s">
        <v>332</v>
      </c>
      <c r="H588" s="144">
        <v>38.26</v>
      </c>
      <c r="I588" s="145"/>
      <c r="J588" s="146">
        <f>ROUND(I588*H588,2)</f>
        <v>0</v>
      </c>
      <c r="K588" s="142" t="s">
        <v>184</v>
      </c>
      <c r="L588" s="35"/>
      <c r="M588" s="147" t="s">
        <v>3</v>
      </c>
      <c r="N588" s="148" t="s">
        <v>48</v>
      </c>
      <c r="O588" s="55"/>
      <c r="P588" s="149">
        <f>O588*H588</f>
        <v>0</v>
      </c>
      <c r="Q588" s="149">
        <v>8.5879999999999998E-5</v>
      </c>
      <c r="R588" s="149">
        <f>Q588*H588</f>
        <v>3.2857687999999999E-3</v>
      </c>
      <c r="S588" s="149">
        <v>0</v>
      </c>
      <c r="T588" s="150">
        <f>S588*H588</f>
        <v>0</v>
      </c>
      <c r="U588" s="34"/>
      <c r="V588" s="34"/>
      <c r="W588" s="34"/>
      <c r="X588" s="34"/>
      <c r="Y588" s="34"/>
      <c r="Z588" s="34"/>
      <c r="AA588" s="34"/>
      <c r="AB588" s="34"/>
      <c r="AC588" s="34"/>
      <c r="AD588" s="34"/>
      <c r="AE588" s="34"/>
      <c r="AR588" s="151" t="s">
        <v>237</v>
      </c>
      <c r="AT588" s="151" t="s">
        <v>180</v>
      </c>
      <c r="AU588" s="151" t="s">
        <v>87</v>
      </c>
      <c r="AY588" s="19" t="s">
        <v>177</v>
      </c>
      <c r="BE588" s="152">
        <f>IF(N588="základní",J588,0)</f>
        <v>0</v>
      </c>
      <c r="BF588" s="152">
        <f>IF(N588="snížená",J588,0)</f>
        <v>0</v>
      </c>
      <c r="BG588" s="152">
        <f>IF(N588="zákl. přenesená",J588,0)</f>
        <v>0</v>
      </c>
      <c r="BH588" s="152">
        <f>IF(N588="sníž. přenesená",J588,0)</f>
        <v>0</v>
      </c>
      <c r="BI588" s="152">
        <f>IF(N588="nulová",J588,0)</f>
        <v>0</v>
      </c>
      <c r="BJ588" s="19" t="s">
        <v>85</v>
      </c>
      <c r="BK588" s="152">
        <f>ROUND(I588*H588,2)</f>
        <v>0</v>
      </c>
      <c r="BL588" s="19" t="s">
        <v>237</v>
      </c>
      <c r="BM588" s="151" t="s">
        <v>3603</v>
      </c>
    </row>
    <row r="589" spans="1:65" s="2" customFormat="1">
      <c r="A589" s="34"/>
      <c r="B589" s="35"/>
      <c r="C589" s="34"/>
      <c r="D589" s="153" t="s">
        <v>187</v>
      </c>
      <c r="E589" s="34"/>
      <c r="F589" s="154" t="s">
        <v>3604</v>
      </c>
      <c r="G589" s="34"/>
      <c r="H589" s="34"/>
      <c r="I589" s="155"/>
      <c r="J589" s="34"/>
      <c r="K589" s="34"/>
      <c r="L589" s="35"/>
      <c r="M589" s="156"/>
      <c r="N589" s="157"/>
      <c r="O589" s="55"/>
      <c r="P589" s="55"/>
      <c r="Q589" s="55"/>
      <c r="R589" s="55"/>
      <c r="S589" s="55"/>
      <c r="T589" s="56"/>
      <c r="U589" s="34"/>
      <c r="V589" s="34"/>
      <c r="W589" s="34"/>
      <c r="X589" s="34"/>
      <c r="Y589" s="34"/>
      <c r="Z589" s="34"/>
      <c r="AA589" s="34"/>
      <c r="AB589" s="34"/>
      <c r="AC589" s="34"/>
      <c r="AD589" s="34"/>
      <c r="AE589" s="34"/>
      <c r="AT589" s="19" t="s">
        <v>187</v>
      </c>
      <c r="AU589" s="19" t="s">
        <v>87</v>
      </c>
    </row>
    <row r="590" spans="1:65" s="2" customFormat="1">
      <c r="A590" s="34"/>
      <c r="B590" s="35"/>
      <c r="C590" s="34"/>
      <c r="D590" s="158" t="s">
        <v>189</v>
      </c>
      <c r="E590" s="34"/>
      <c r="F590" s="159" t="s">
        <v>3605</v>
      </c>
      <c r="G590" s="34"/>
      <c r="H590" s="34"/>
      <c r="I590" s="155"/>
      <c r="J590" s="34"/>
      <c r="K590" s="34"/>
      <c r="L590" s="35"/>
      <c r="M590" s="156"/>
      <c r="N590" s="157"/>
      <c r="O590" s="55"/>
      <c r="P590" s="55"/>
      <c r="Q590" s="55"/>
      <c r="R590" s="55"/>
      <c r="S590" s="55"/>
      <c r="T590" s="56"/>
      <c r="U590" s="34"/>
      <c r="V590" s="34"/>
      <c r="W590" s="34"/>
      <c r="X590" s="34"/>
      <c r="Y590" s="34"/>
      <c r="Z590" s="34"/>
      <c r="AA590" s="34"/>
      <c r="AB590" s="34"/>
      <c r="AC590" s="34"/>
      <c r="AD590" s="34"/>
      <c r="AE590" s="34"/>
      <c r="AT590" s="19" t="s">
        <v>189</v>
      </c>
      <c r="AU590" s="19" t="s">
        <v>87</v>
      </c>
    </row>
    <row r="591" spans="1:65" s="14" customFormat="1">
      <c r="B591" s="169"/>
      <c r="D591" s="153" t="s">
        <v>193</v>
      </c>
      <c r="E591" s="170" t="s">
        <v>3</v>
      </c>
      <c r="F591" s="171" t="s">
        <v>3606</v>
      </c>
      <c r="H591" s="170" t="s">
        <v>3</v>
      </c>
      <c r="I591" s="172"/>
      <c r="L591" s="169"/>
      <c r="M591" s="173"/>
      <c r="N591" s="174"/>
      <c r="O591" s="174"/>
      <c r="P591" s="174"/>
      <c r="Q591" s="174"/>
      <c r="R591" s="174"/>
      <c r="S591" s="174"/>
      <c r="T591" s="175"/>
      <c r="AT591" s="170" t="s">
        <v>193</v>
      </c>
      <c r="AU591" s="170" t="s">
        <v>87</v>
      </c>
      <c r="AV591" s="14" t="s">
        <v>85</v>
      </c>
      <c r="AW591" s="14" t="s">
        <v>36</v>
      </c>
      <c r="AX591" s="14" t="s">
        <v>77</v>
      </c>
      <c r="AY591" s="170" t="s">
        <v>177</v>
      </c>
    </row>
    <row r="592" spans="1:65" s="13" customFormat="1">
      <c r="B592" s="161"/>
      <c r="D592" s="153" t="s">
        <v>193</v>
      </c>
      <c r="E592" s="162" t="s">
        <v>3</v>
      </c>
      <c r="F592" s="163" t="s">
        <v>3607</v>
      </c>
      <c r="H592" s="164">
        <v>6.72</v>
      </c>
      <c r="I592" s="165"/>
      <c r="L592" s="161"/>
      <c r="M592" s="166"/>
      <c r="N592" s="167"/>
      <c r="O592" s="167"/>
      <c r="P592" s="167"/>
      <c r="Q592" s="167"/>
      <c r="R592" s="167"/>
      <c r="S592" s="167"/>
      <c r="T592" s="168"/>
      <c r="AT592" s="162" t="s">
        <v>193</v>
      </c>
      <c r="AU592" s="162" t="s">
        <v>87</v>
      </c>
      <c r="AV592" s="13" t="s">
        <v>87</v>
      </c>
      <c r="AW592" s="13" t="s">
        <v>36</v>
      </c>
      <c r="AX592" s="13" t="s">
        <v>77</v>
      </c>
      <c r="AY592" s="162" t="s">
        <v>177</v>
      </c>
    </row>
    <row r="593" spans="1:65" s="13" customFormat="1">
      <c r="B593" s="161"/>
      <c r="D593" s="153" t="s">
        <v>193</v>
      </c>
      <c r="E593" s="162" t="s">
        <v>3</v>
      </c>
      <c r="F593" s="163" t="s">
        <v>3608</v>
      </c>
      <c r="H593" s="164">
        <v>2.4</v>
      </c>
      <c r="I593" s="165"/>
      <c r="L593" s="161"/>
      <c r="M593" s="166"/>
      <c r="N593" s="167"/>
      <c r="O593" s="167"/>
      <c r="P593" s="167"/>
      <c r="Q593" s="167"/>
      <c r="R593" s="167"/>
      <c r="S593" s="167"/>
      <c r="T593" s="168"/>
      <c r="AT593" s="162" t="s">
        <v>193</v>
      </c>
      <c r="AU593" s="162" t="s">
        <v>87</v>
      </c>
      <c r="AV593" s="13" t="s">
        <v>87</v>
      </c>
      <c r="AW593" s="13" t="s">
        <v>36</v>
      </c>
      <c r="AX593" s="13" t="s">
        <v>77</v>
      </c>
      <c r="AY593" s="162" t="s">
        <v>177</v>
      </c>
    </row>
    <row r="594" spans="1:65" s="13" customFormat="1">
      <c r="B594" s="161"/>
      <c r="D594" s="153" t="s">
        <v>193</v>
      </c>
      <c r="E594" s="162" t="s">
        <v>3</v>
      </c>
      <c r="F594" s="163" t="s">
        <v>3609</v>
      </c>
      <c r="H594" s="164">
        <v>0.72</v>
      </c>
      <c r="I594" s="165"/>
      <c r="L594" s="161"/>
      <c r="M594" s="166"/>
      <c r="N594" s="167"/>
      <c r="O594" s="167"/>
      <c r="P594" s="167"/>
      <c r="Q594" s="167"/>
      <c r="R594" s="167"/>
      <c r="S594" s="167"/>
      <c r="T594" s="168"/>
      <c r="AT594" s="162" t="s">
        <v>193</v>
      </c>
      <c r="AU594" s="162" t="s">
        <v>87</v>
      </c>
      <c r="AV594" s="13" t="s">
        <v>87</v>
      </c>
      <c r="AW594" s="13" t="s">
        <v>36</v>
      </c>
      <c r="AX594" s="13" t="s">
        <v>77</v>
      </c>
      <c r="AY594" s="162" t="s">
        <v>177</v>
      </c>
    </row>
    <row r="595" spans="1:65" s="13" customFormat="1">
      <c r="B595" s="161"/>
      <c r="D595" s="153" t="s">
        <v>193</v>
      </c>
      <c r="E595" s="162" t="s">
        <v>3</v>
      </c>
      <c r="F595" s="163" t="s">
        <v>3610</v>
      </c>
      <c r="H595" s="164">
        <v>1.2250000000000001</v>
      </c>
      <c r="I595" s="165"/>
      <c r="L595" s="161"/>
      <c r="M595" s="166"/>
      <c r="N595" s="167"/>
      <c r="O595" s="167"/>
      <c r="P595" s="167"/>
      <c r="Q595" s="167"/>
      <c r="R595" s="167"/>
      <c r="S595" s="167"/>
      <c r="T595" s="168"/>
      <c r="AT595" s="162" t="s">
        <v>193</v>
      </c>
      <c r="AU595" s="162" t="s">
        <v>87</v>
      </c>
      <c r="AV595" s="13" t="s">
        <v>87</v>
      </c>
      <c r="AW595" s="13" t="s">
        <v>36</v>
      </c>
      <c r="AX595" s="13" t="s">
        <v>77</v>
      </c>
      <c r="AY595" s="162" t="s">
        <v>177</v>
      </c>
    </row>
    <row r="596" spans="1:65" s="13" customFormat="1">
      <c r="B596" s="161"/>
      <c r="D596" s="153" t="s">
        <v>193</v>
      </c>
      <c r="E596" s="162" t="s">
        <v>3</v>
      </c>
      <c r="F596" s="163" t="s">
        <v>3611</v>
      </c>
      <c r="H596" s="164">
        <v>2.35</v>
      </c>
      <c r="I596" s="165"/>
      <c r="L596" s="161"/>
      <c r="M596" s="166"/>
      <c r="N596" s="167"/>
      <c r="O596" s="167"/>
      <c r="P596" s="167"/>
      <c r="Q596" s="167"/>
      <c r="R596" s="167"/>
      <c r="S596" s="167"/>
      <c r="T596" s="168"/>
      <c r="AT596" s="162" t="s">
        <v>193</v>
      </c>
      <c r="AU596" s="162" t="s">
        <v>87</v>
      </c>
      <c r="AV596" s="13" t="s">
        <v>87</v>
      </c>
      <c r="AW596" s="13" t="s">
        <v>36</v>
      </c>
      <c r="AX596" s="13" t="s">
        <v>77</v>
      </c>
      <c r="AY596" s="162" t="s">
        <v>177</v>
      </c>
    </row>
    <row r="597" spans="1:65" s="13" customFormat="1">
      <c r="B597" s="161"/>
      <c r="D597" s="153" t="s">
        <v>193</v>
      </c>
      <c r="E597" s="162" t="s">
        <v>3</v>
      </c>
      <c r="F597" s="163" t="s">
        <v>3612</v>
      </c>
      <c r="H597" s="164">
        <v>3.5249999999999999</v>
      </c>
      <c r="I597" s="165"/>
      <c r="L597" s="161"/>
      <c r="M597" s="166"/>
      <c r="N597" s="167"/>
      <c r="O597" s="167"/>
      <c r="P597" s="167"/>
      <c r="Q597" s="167"/>
      <c r="R597" s="167"/>
      <c r="S597" s="167"/>
      <c r="T597" s="168"/>
      <c r="AT597" s="162" t="s">
        <v>193</v>
      </c>
      <c r="AU597" s="162" t="s">
        <v>87</v>
      </c>
      <c r="AV597" s="13" t="s">
        <v>87</v>
      </c>
      <c r="AW597" s="13" t="s">
        <v>36</v>
      </c>
      <c r="AX597" s="13" t="s">
        <v>77</v>
      </c>
      <c r="AY597" s="162" t="s">
        <v>177</v>
      </c>
    </row>
    <row r="598" spans="1:65" s="13" customFormat="1">
      <c r="B598" s="161"/>
      <c r="D598" s="153" t="s">
        <v>193</v>
      </c>
      <c r="E598" s="162" t="s">
        <v>3</v>
      </c>
      <c r="F598" s="163" t="s">
        <v>3613</v>
      </c>
      <c r="H598" s="164">
        <v>3.72</v>
      </c>
      <c r="I598" s="165"/>
      <c r="L598" s="161"/>
      <c r="M598" s="166"/>
      <c r="N598" s="167"/>
      <c r="O598" s="167"/>
      <c r="P598" s="167"/>
      <c r="Q598" s="167"/>
      <c r="R598" s="167"/>
      <c r="S598" s="167"/>
      <c r="T598" s="168"/>
      <c r="AT598" s="162" t="s">
        <v>193</v>
      </c>
      <c r="AU598" s="162" t="s">
        <v>87</v>
      </c>
      <c r="AV598" s="13" t="s">
        <v>87</v>
      </c>
      <c r="AW598" s="13" t="s">
        <v>36</v>
      </c>
      <c r="AX598" s="13" t="s">
        <v>77</v>
      </c>
      <c r="AY598" s="162" t="s">
        <v>177</v>
      </c>
    </row>
    <row r="599" spans="1:65" s="15" customFormat="1">
      <c r="B599" s="176"/>
      <c r="D599" s="153" t="s">
        <v>193</v>
      </c>
      <c r="E599" s="177" t="s">
        <v>3</v>
      </c>
      <c r="F599" s="178" t="s">
        <v>197</v>
      </c>
      <c r="H599" s="179">
        <v>20.659999999999997</v>
      </c>
      <c r="I599" s="180"/>
      <c r="L599" s="176"/>
      <c r="M599" s="181"/>
      <c r="N599" s="182"/>
      <c r="O599" s="182"/>
      <c r="P599" s="182"/>
      <c r="Q599" s="182"/>
      <c r="R599" s="182"/>
      <c r="S599" s="182"/>
      <c r="T599" s="183"/>
      <c r="AT599" s="177" t="s">
        <v>193</v>
      </c>
      <c r="AU599" s="177" t="s">
        <v>87</v>
      </c>
      <c r="AV599" s="15" t="s">
        <v>198</v>
      </c>
      <c r="AW599" s="15" t="s">
        <v>36</v>
      </c>
      <c r="AX599" s="15" t="s">
        <v>77</v>
      </c>
      <c r="AY599" s="177" t="s">
        <v>177</v>
      </c>
    </row>
    <row r="600" spans="1:65" s="13" customFormat="1">
      <c r="B600" s="161"/>
      <c r="D600" s="153" t="s">
        <v>193</v>
      </c>
      <c r="E600" s="162" t="s">
        <v>3</v>
      </c>
      <c r="F600" s="163" t="s">
        <v>3614</v>
      </c>
      <c r="H600" s="164">
        <v>8.64</v>
      </c>
      <c r="I600" s="165"/>
      <c r="L600" s="161"/>
      <c r="M600" s="166"/>
      <c r="N600" s="167"/>
      <c r="O600" s="167"/>
      <c r="P600" s="167"/>
      <c r="Q600" s="167"/>
      <c r="R600" s="167"/>
      <c r="S600" s="167"/>
      <c r="T600" s="168"/>
      <c r="AT600" s="162" t="s">
        <v>193</v>
      </c>
      <c r="AU600" s="162" t="s">
        <v>87</v>
      </c>
      <c r="AV600" s="13" t="s">
        <v>87</v>
      </c>
      <c r="AW600" s="13" t="s">
        <v>36</v>
      </c>
      <c r="AX600" s="13" t="s">
        <v>77</v>
      </c>
      <c r="AY600" s="162" t="s">
        <v>177</v>
      </c>
    </row>
    <row r="601" spans="1:65" s="13" customFormat="1">
      <c r="B601" s="161"/>
      <c r="D601" s="153" t="s">
        <v>193</v>
      </c>
      <c r="E601" s="162" t="s">
        <v>3</v>
      </c>
      <c r="F601" s="163" t="s">
        <v>3615</v>
      </c>
      <c r="H601" s="164">
        <v>0.73499999999999999</v>
      </c>
      <c r="I601" s="165"/>
      <c r="L601" s="161"/>
      <c r="M601" s="166"/>
      <c r="N601" s="167"/>
      <c r="O601" s="167"/>
      <c r="P601" s="167"/>
      <c r="Q601" s="167"/>
      <c r="R601" s="167"/>
      <c r="S601" s="167"/>
      <c r="T601" s="168"/>
      <c r="AT601" s="162" t="s">
        <v>193</v>
      </c>
      <c r="AU601" s="162" t="s">
        <v>87</v>
      </c>
      <c r="AV601" s="13" t="s">
        <v>87</v>
      </c>
      <c r="AW601" s="13" t="s">
        <v>36</v>
      </c>
      <c r="AX601" s="13" t="s">
        <v>77</v>
      </c>
      <c r="AY601" s="162" t="s">
        <v>177</v>
      </c>
    </row>
    <row r="602" spans="1:65" s="13" customFormat="1">
      <c r="B602" s="161"/>
      <c r="D602" s="153" t="s">
        <v>193</v>
      </c>
      <c r="E602" s="162" t="s">
        <v>3</v>
      </c>
      <c r="F602" s="163" t="s">
        <v>3611</v>
      </c>
      <c r="H602" s="164">
        <v>2.35</v>
      </c>
      <c r="I602" s="165"/>
      <c r="L602" s="161"/>
      <c r="M602" s="166"/>
      <c r="N602" s="167"/>
      <c r="O602" s="167"/>
      <c r="P602" s="167"/>
      <c r="Q602" s="167"/>
      <c r="R602" s="167"/>
      <c r="S602" s="167"/>
      <c r="T602" s="168"/>
      <c r="AT602" s="162" t="s">
        <v>193</v>
      </c>
      <c r="AU602" s="162" t="s">
        <v>87</v>
      </c>
      <c r="AV602" s="13" t="s">
        <v>87</v>
      </c>
      <c r="AW602" s="13" t="s">
        <v>36</v>
      </c>
      <c r="AX602" s="13" t="s">
        <v>77</v>
      </c>
      <c r="AY602" s="162" t="s">
        <v>177</v>
      </c>
    </row>
    <row r="603" spans="1:65" s="13" customFormat="1">
      <c r="B603" s="161"/>
      <c r="D603" s="153" t="s">
        <v>193</v>
      </c>
      <c r="E603" s="162" t="s">
        <v>3</v>
      </c>
      <c r="F603" s="163" t="s">
        <v>3616</v>
      </c>
      <c r="H603" s="164">
        <v>5.875</v>
      </c>
      <c r="I603" s="165"/>
      <c r="L603" s="161"/>
      <c r="M603" s="166"/>
      <c r="N603" s="167"/>
      <c r="O603" s="167"/>
      <c r="P603" s="167"/>
      <c r="Q603" s="167"/>
      <c r="R603" s="167"/>
      <c r="S603" s="167"/>
      <c r="T603" s="168"/>
      <c r="AT603" s="162" t="s">
        <v>193</v>
      </c>
      <c r="AU603" s="162" t="s">
        <v>87</v>
      </c>
      <c r="AV603" s="13" t="s">
        <v>87</v>
      </c>
      <c r="AW603" s="13" t="s">
        <v>36</v>
      </c>
      <c r="AX603" s="13" t="s">
        <v>77</v>
      </c>
      <c r="AY603" s="162" t="s">
        <v>177</v>
      </c>
    </row>
    <row r="604" spans="1:65" s="15" customFormat="1">
      <c r="B604" s="176"/>
      <c r="D604" s="153" t="s">
        <v>193</v>
      </c>
      <c r="E604" s="177" t="s">
        <v>3</v>
      </c>
      <c r="F604" s="178" t="s">
        <v>197</v>
      </c>
      <c r="H604" s="179">
        <v>17.600000000000001</v>
      </c>
      <c r="I604" s="180"/>
      <c r="L604" s="176"/>
      <c r="M604" s="181"/>
      <c r="N604" s="182"/>
      <c r="O604" s="182"/>
      <c r="P604" s="182"/>
      <c r="Q604" s="182"/>
      <c r="R604" s="182"/>
      <c r="S604" s="182"/>
      <c r="T604" s="183"/>
      <c r="AT604" s="177" t="s">
        <v>193</v>
      </c>
      <c r="AU604" s="177" t="s">
        <v>87</v>
      </c>
      <c r="AV604" s="15" t="s">
        <v>198</v>
      </c>
      <c r="AW604" s="15" t="s">
        <v>36</v>
      </c>
      <c r="AX604" s="15" t="s">
        <v>77</v>
      </c>
      <c r="AY604" s="177" t="s">
        <v>177</v>
      </c>
    </row>
    <row r="605" spans="1:65" s="16" customFormat="1">
      <c r="B605" s="184"/>
      <c r="D605" s="153" t="s">
        <v>193</v>
      </c>
      <c r="E605" s="185" t="s">
        <v>3</v>
      </c>
      <c r="F605" s="186" t="s">
        <v>201</v>
      </c>
      <c r="H605" s="187">
        <v>38.26</v>
      </c>
      <c r="I605" s="188"/>
      <c r="L605" s="184"/>
      <c r="M605" s="189"/>
      <c r="N605" s="190"/>
      <c r="O605" s="190"/>
      <c r="P605" s="190"/>
      <c r="Q605" s="190"/>
      <c r="R605" s="190"/>
      <c r="S605" s="190"/>
      <c r="T605" s="191"/>
      <c r="AT605" s="185" t="s">
        <v>193</v>
      </c>
      <c r="AU605" s="185" t="s">
        <v>87</v>
      </c>
      <c r="AV605" s="16" t="s">
        <v>185</v>
      </c>
      <c r="AW605" s="16" t="s">
        <v>36</v>
      </c>
      <c r="AX605" s="16" t="s">
        <v>85</v>
      </c>
      <c r="AY605" s="185" t="s">
        <v>177</v>
      </c>
    </row>
    <row r="606" spans="1:65" s="12" customFormat="1" ht="22.9" customHeight="1">
      <c r="B606" s="126"/>
      <c r="D606" s="127" t="s">
        <v>76</v>
      </c>
      <c r="E606" s="137" t="s">
        <v>3617</v>
      </c>
      <c r="F606" s="137" t="s">
        <v>3618</v>
      </c>
      <c r="I606" s="129"/>
      <c r="J606" s="138">
        <f>BK606</f>
        <v>0</v>
      </c>
      <c r="L606" s="126"/>
      <c r="M606" s="131"/>
      <c r="N606" s="132"/>
      <c r="O606" s="132"/>
      <c r="P606" s="133">
        <f>SUM(P607:P653)</f>
        <v>0</v>
      </c>
      <c r="Q606" s="132"/>
      <c r="R606" s="133">
        <f>SUM(R607:R653)</f>
        <v>1.0813860867</v>
      </c>
      <c r="S606" s="132"/>
      <c r="T606" s="134">
        <f>SUM(T607:T653)</f>
        <v>0</v>
      </c>
      <c r="AR606" s="127" t="s">
        <v>87</v>
      </c>
      <c r="AT606" s="135" t="s">
        <v>76</v>
      </c>
      <c r="AU606" s="135" t="s">
        <v>85</v>
      </c>
      <c r="AY606" s="127" t="s">
        <v>177</v>
      </c>
      <c r="BK606" s="136">
        <f>SUM(BK607:BK653)</f>
        <v>0</v>
      </c>
    </row>
    <row r="607" spans="1:65" s="2" customFormat="1" ht="16.5" customHeight="1">
      <c r="A607" s="34"/>
      <c r="B607" s="139"/>
      <c r="C607" s="140" t="s">
        <v>2779</v>
      </c>
      <c r="D607" s="140" t="s">
        <v>180</v>
      </c>
      <c r="E607" s="141" t="s">
        <v>3619</v>
      </c>
      <c r="F607" s="142" t="s">
        <v>3620</v>
      </c>
      <c r="G607" s="143" t="s">
        <v>332</v>
      </c>
      <c r="H607" s="144">
        <v>2201.2440000000001</v>
      </c>
      <c r="I607" s="145"/>
      <c r="J607" s="146">
        <f>ROUND(I607*H607,2)</f>
        <v>0</v>
      </c>
      <c r="K607" s="142" t="s">
        <v>184</v>
      </c>
      <c r="L607" s="35"/>
      <c r="M607" s="147" t="s">
        <v>3</v>
      </c>
      <c r="N607" s="148" t="s">
        <v>48</v>
      </c>
      <c r="O607" s="55"/>
      <c r="P607" s="149">
        <f>O607*H607</f>
        <v>0</v>
      </c>
      <c r="Q607" s="149">
        <v>0</v>
      </c>
      <c r="R607" s="149">
        <f>Q607*H607</f>
        <v>0</v>
      </c>
      <c r="S607" s="149">
        <v>0</v>
      </c>
      <c r="T607" s="150">
        <f>S607*H607</f>
        <v>0</v>
      </c>
      <c r="U607" s="34"/>
      <c r="V607" s="34"/>
      <c r="W607" s="34"/>
      <c r="X607" s="34"/>
      <c r="Y607" s="34"/>
      <c r="Z607" s="34"/>
      <c r="AA607" s="34"/>
      <c r="AB607" s="34"/>
      <c r="AC607" s="34"/>
      <c r="AD607" s="34"/>
      <c r="AE607" s="34"/>
      <c r="AR607" s="151" t="s">
        <v>237</v>
      </c>
      <c r="AT607" s="151" t="s">
        <v>180</v>
      </c>
      <c r="AU607" s="151" t="s">
        <v>87</v>
      </c>
      <c r="AY607" s="19" t="s">
        <v>177</v>
      </c>
      <c r="BE607" s="152">
        <f>IF(N607="základní",J607,0)</f>
        <v>0</v>
      </c>
      <c r="BF607" s="152">
        <f>IF(N607="snížená",J607,0)</f>
        <v>0</v>
      </c>
      <c r="BG607" s="152">
        <f>IF(N607="zákl. přenesená",J607,0)</f>
        <v>0</v>
      </c>
      <c r="BH607" s="152">
        <f>IF(N607="sníž. přenesená",J607,0)</f>
        <v>0</v>
      </c>
      <c r="BI607" s="152">
        <f>IF(N607="nulová",J607,0)</f>
        <v>0</v>
      </c>
      <c r="BJ607" s="19" t="s">
        <v>85</v>
      </c>
      <c r="BK607" s="152">
        <f>ROUND(I607*H607,2)</f>
        <v>0</v>
      </c>
      <c r="BL607" s="19" t="s">
        <v>237</v>
      </c>
      <c r="BM607" s="151" t="s">
        <v>3621</v>
      </c>
    </row>
    <row r="608" spans="1:65" s="2" customFormat="1">
      <c r="A608" s="34"/>
      <c r="B608" s="35"/>
      <c r="C608" s="34"/>
      <c r="D608" s="153" t="s">
        <v>187</v>
      </c>
      <c r="E608" s="34"/>
      <c r="F608" s="154" t="s">
        <v>3622</v>
      </c>
      <c r="G608" s="34"/>
      <c r="H608" s="34"/>
      <c r="I608" s="155"/>
      <c r="J608" s="34"/>
      <c r="K608" s="34"/>
      <c r="L608" s="35"/>
      <c r="M608" s="156"/>
      <c r="N608" s="157"/>
      <c r="O608" s="55"/>
      <c r="P608" s="55"/>
      <c r="Q608" s="55"/>
      <c r="R608" s="55"/>
      <c r="S608" s="55"/>
      <c r="T608" s="56"/>
      <c r="U608" s="34"/>
      <c r="V608" s="34"/>
      <c r="W608" s="34"/>
      <c r="X608" s="34"/>
      <c r="Y608" s="34"/>
      <c r="Z608" s="34"/>
      <c r="AA608" s="34"/>
      <c r="AB608" s="34"/>
      <c r="AC608" s="34"/>
      <c r="AD608" s="34"/>
      <c r="AE608" s="34"/>
      <c r="AT608" s="19" t="s">
        <v>187</v>
      </c>
      <c r="AU608" s="19" t="s">
        <v>87</v>
      </c>
    </row>
    <row r="609" spans="1:65" s="2" customFormat="1">
      <c r="A609" s="34"/>
      <c r="B609" s="35"/>
      <c r="C609" s="34"/>
      <c r="D609" s="158" t="s">
        <v>189</v>
      </c>
      <c r="E609" s="34"/>
      <c r="F609" s="159" t="s">
        <v>3623</v>
      </c>
      <c r="G609" s="34"/>
      <c r="H609" s="34"/>
      <c r="I609" s="155"/>
      <c r="J609" s="34"/>
      <c r="K609" s="34"/>
      <c r="L609" s="35"/>
      <c r="M609" s="156"/>
      <c r="N609" s="157"/>
      <c r="O609" s="55"/>
      <c r="P609" s="55"/>
      <c r="Q609" s="55"/>
      <c r="R609" s="55"/>
      <c r="S609" s="55"/>
      <c r="T609" s="56"/>
      <c r="U609" s="34"/>
      <c r="V609" s="34"/>
      <c r="W609" s="34"/>
      <c r="X609" s="34"/>
      <c r="Y609" s="34"/>
      <c r="Z609" s="34"/>
      <c r="AA609" s="34"/>
      <c r="AB609" s="34"/>
      <c r="AC609" s="34"/>
      <c r="AD609" s="34"/>
      <c r="AE609" s="34"/>
      <c r="AT609" s="19" t="s">
        <v>189</v>
      </c>
      <c r="AU609" s="19" t="s">
        <v>87</v>
      </c>
    </row>
    <row r="610" spans="1:65" s="2" customFormat="1" ht="16.5" customHeight="1">
      <c r="A610" s="34"/>
      <c r="B610" s="139"/>
      <c r="C610" s="140" t="s">
        <v>2786</v>
      </c>
      <c r="D610" s="140" t="s">
        <v>180</v>
      </c>
      <c r="E610" s="141" t="s">
        <v>3624</v>
      </c>
      <c r="F610" s="142" t="s">
        <v>3625</v>
      </c>
      <c r="G610" s="143" t="s">
        <v>332</v>
      </c>
      <c r="H610" s="144">
        <v>2201.2440000000001</v>
      </c>
      <c r="I610" s="145"/>
      <c r="J610" s="146">
        <f>ROUND(I610*H610,2)</f>
        <v>0</v>
      </c>
      <c r="K610" s="142" t="s">
        <v>184</v>
      </c>
      <c r="L610" s="35"/>
      <c r="M610" s="147" t="s">
        <v>3</v>
      </c>
      <c r="N610" s="148" t="s">
        <v>48</v>
      </c>
      <c r="O610" s="55"/>
      <c r="P610" s="149">
        <f>O610*H610</f>
        <v>0</v>
      </c>
      <c r="Q610" s="149">
        <v>2.0000000000000001E-4</v>
      </c>
      <c r="R610" s="149">
        <f>Q610*H610</f>
        <v>0.44024880000000005</v>
      </c>
      <c r="S610" s="149">
        <v>0</v>
      </c>
      <c r="T610" s="150">
        <f>S610*H610</f>
        <v>0</v>
      </c>
      <c r="U610" s="34"/>
      <c r="V610" s="34"/>
      <c r="W610" s="34"/>
      <c r="X610" s="34"/>
      <c r="Y610" s="34"/>
      <c r="Z610" s="34"/>
      <c r="AA610" s="34"/>
      <c r="AB610" s="34"/>
      <c r="AC610" s="34"/>
      <c r="AD610" s="34"/>
      <c r="AE610" s="34"/>
      <c r="AR610" s="151" t="s">
        <v>237</v>
      </c>
      <c r="AT610" s="151" t="s">
        <v>180</v>
      </c>
      <c r="AU610" s="151" t="s">
        <v>87</v>
      </c>
      <c r="AY610" s="19" t="s">
        <v>177</v>
      </c>
      <c r="BE610" s="152">
        <f>IF(N610="základní",J610,0)</f>
        <v>0</v>
      </c>
      <c r="BF610" s="152">
        <f>IF(N610="snížená",J610,0)</f>
        <v>0</v>
      </c>
      <c r="BG610" s="152">
        <f>IF(N610="zákl. přenesená",J610,0)</f>
        <v>0</v>
      </c>
      <c r="BH610" s="152">
        <f>IF(N610="sníž. přenesená",J610,0)</f>
        <v>0</v>
      </c>
      <c r="BI610" s="152">
        <f>IF(N610="nulová",J610,0)</f>
        <v>0</v>
      </c>
      <c r="BJ610" s="19" t="s">
        <v>85</v>
      </c>
      <c r="BK610" s="152">
        <f>ROUND(I610*H610,2)</f>
        <v>0</v>
      </c>
      <c r="BL610" s="19" t="s">
        <v>237</v>
      </c>
      <c r="BM610" s="151" t="s">
        <v>3626</v>
      </c>
    </row>
    <row r="611" spans="1:65" s="2" customFormat="1">
      <c r="A611" s="34"/>
      <c r="B611" s="35"/>
      <c r="C611" s="34"/>
      <c r="D611" s="153" t="s">
        <v>187</v>
      </c>
      <c r="E611" s="34"/>
      <c r="F611" s="154" t="s">
        <v>3627</v>
      </c>
      <c r="G611" s="34"/>
      <c r="H611" s="34"/>
      <c r="I611" s="155"/>
      <c r="J611" s="34"/>
      <c r="K611" s="34"/>
      <c r="L611" s="35"/>
      <c r="M611" s="156"/>
      <c r="N611" s="157"/>
      <c r="O611" s="55"/>
      <c r="P611" s="55"/>
      <c r="Q611" s="55"/>
      <c r="R611" s="55"/>
      <c r="S611" s="55"/>
      <c r="T611" s="56"/>
      <c r="U611" s="34"/>
      <c r="V611" s="34"/>
      <c r="W611" s="34"/>
      <c r="X611" s="34"/>
      <c r="Y611" s="34"/>
      <c r="Z611" s="34"/>
      <c r="AA611" s="34"/>
      <c r="AB611" s="34"/>
      <c r="AC611" s="34"/>
      <c r="AD611" s="34"/>
      <c r="AE611" s="34"/>
      <c r="AT611" s="19" t="s">
        <v>187</v>
      </c>
      <c r="AU611" s="19" t="s">
        <v>87</v>
      </c>
    </row>
    <row r="612" spans="1:65" s="2" customFormat="1">
      <c r="A612" s="34"/>
      <c r="B612" s="35"/>
      <c r="C612" s="34"/>
      <c r="D612" s="158" t="s">
        <v>189</v>
      </c>
      <c r="E612" s="34"/>
      <c r="F612" s="159" t="s">
        <v>3628</v>
      </c>
      <c r="G612" s="34"/>
      <c r="H612" s="34"/>
      <c r="I612" s="155"/>
      <c r="J612" s="34"/>
      <c r="K612" s="34"/>
      <c r="L612" s="35"/>
      <c r="M612" s="156"/>
      <c r="N612" s="157"/>
      <c r="O612" s="55"/>
      <c r="P612" s="55"/>
      <c r="Q612" s="55"/>
      <c r="R612" s="55"/>
      <c r="S612" s="55"/>
      <c r="T612" s="56"/>
      <c r="U612" s="34"/>
      <c r="V612" s="34"/>
      <c r="W612" s="34"/>
      <c r="X612" s="34"/>
      <c r="Y612" s="34"/>
      <c r="Z612" s="34"/>
      <c r="AA612" s="34"/>
      <c r="AB612" s="34"/>
      <c r="AC612" s="34"/>
      <c r="AD612" s="34"/>
      <c r="AE612" s="34"/>
      <c r="AT612" s="19" t="s">
        <v>189</v>
      </c>
      <c r="AU612" s="19" t="s">
        <v>87</v>
      </c>
    </row>
    <row r="613" spans="1:65" s="13" customFormat="1">
      <c r="B613" s="161"/>
      <c r="D613" s="153" t="s">
        <v>193</v>
      </c>
      <c r="E613" s="162" t="s">
        <v>3</v>
      </c>
      <c r="F613" s="163" t="s">
        <v>3629</v>
      </c>
      <c r="H613" s="164">
        <v>2195.6439999999998</v>
      </c>
      <c r="I613" s="165"/>
      <c r="L613" s="161"/>
      <c r="M613" s="166"/>
      <c r="N613" s="167"/>
      <c r="O613" s="167"/>
      <c r="P613" s="167"/>
      <c r="Q613" s="167"/>
      <c r="R613" s="167"/>
      <c r="S613" s="167"/>
      <c r="T613" s="168"/>
      <c r="AT613" s="162" t="s">
        <v>193</v>
      </c>
      <c r="AU613" s="162" t="s">
        <v>87</v>
      </c>
      <c r="AV613" s="13" t="s">
        <v>87</v>
      </c>
      <c r="AW613" s="13" t="s">
        <v>36</v>
      </c>
      <c r="AX613" s="13" t="s">
        <v>77</v>
      </c>
      <c r="AY613" s="162" t="s">
        <v>177</v>
      </c>
    </row>
    <row r="614" spans="1:65" s="13" customFormat="1">
      <c r="B614" s="161"/>
      <c r="D614" s="153" t="s">
        <v>193</v>
      </c>
      <c r="E614" s="162" t="s">
        <v>3</v>
      </c>
      <c r="F614" s="163" t="s">
        <v>3630</v>
      </c>
      <c r="H614" s="164">
        <v>5.6</v>
      </c>
      <c r="I614" s="165"/>
      <c r="L614" s="161"/>
      <c r="M614" s="166"/>
      <c r="N614" s="167"/>
      <c r="O614" s="167"/>
      <c r="P614" s="167"/>
      <c r="Q614" s="167"/>
      <c r="R614" s="167"/>
      <c r="S614" s="167"/>
      <c r="T614" s="168"/>
      <c r="AT614" s="162" t="s">
        <v>193</v>
      </c>
      <c r="AU614" s="162" t="s">
        <v>87</v>
      </c>
      <c r="AV614" s="13" t="s">
        <v>87</v>
      </c>
      <c r="AW614" s="13" t="s">
        <v>36</v>
      </c>
      <c r="AX614" s="13" t="s">
        <v>77</v>
      </c>
      <c r="AY614" s="162" t="s">
        <v>177</v>
      </c>
    </row>
    <row r="615" spans="1:65" s="16" customFormat="1">
      <c r="B615" s="184"/>
      <c r="D615" s="153" t="s">
        <v>193</v>
      </c>
      <c r="E615" s="185" t="s">
        <v>3</v>
      </c>
      <c r="F615" s="186" t="s">
        <v>201</v>
      </c>
      <c r="H615" s="187">
        <v>2201.2439999999997</v>
      </c>
      <c r="I615" s="188"/>
      <c r="L615" s="184"/>
      <c r="M615" s="189"/>
      <c r="N615" s="190"/>
      <c r="O615" s="190"/>
      <c r="P615" s="190"/>
      <c r="Q615" s="190"/>
      <c r="R615" s="190"/>
      <c r="S615" s="190"/>
      <c r="T615" s="191"/>
      <c r="AT615" s="185" t="s">
        <v>193</v>
      </c>
      <c r="AU615" s="185" t="s">
        <v>87</v>
      </c>
      <c r="AV615" s="16" t="s">
        <v>185</v>
      </c>
      <c r="AW615" s="16" t="s">
        <v>36</v>
      </c>
      <c r="AX615" s="16" t="s">
        <v>85</v>
      </c>
      <c r="AY615" s="185" t="s">
        <v>177</v>
      </c>
    </row>
    <row r="616" spans="1:65" s="2" customFormat="1" ht="16.5" customHeight="1">
      <c r="A616" s="34"/>
      <c r="B616" s="139"/>
      <c r="C616" s="140" t="s">
        <v>2792</v>
      </c>
      <c r="D616" s="140" t="s">
        <v>180</v>
      </c>
      <c r="E616" s="141" t="s">
        <v>3631</v>
      </c>
      <c r="F616" s="142" t="s">
        <v>3632</v>
      </c>
      <c r="G616" s="143" t="s">
        <v>332</v>
      </c>
      <c r="H616" s="144">
        <v>125.73</v>
      </c>
      <c r="I616" s="145"/>
      <c r="J616" s="146">
        <f>ROUND(I616*H616,2)</f>
        <v>0</v>
      </c>
      <c r="K616" s="142" t="s">
        <v>184</v>
      </c>
      <c r="L616" s="35"/>
      <c r="M616" s="147" t="s">
        <v>3</v>
      </c>
      <c r="N616" s="148" t="s">
        <v>48</v>
      </c>
      <c r="O616" s="55"/>
      <c r="P616" s="149">
        <f>O616*H616</f>
        <v>0</v>
      </c>
      <c r="Q616" s="149">
        <v>1.713E-5</v>
      </c>
      <c r="R616" s="149">
        <f>Q616*H616</f>
        <v>2.1537549000000002E-3</v>
      </c>
      <c r="S616" s="149">
        <v>0</v>
      </c>
      <c r="T616" s="150">
        <f>S616*H616</f>
        <v>0</v>
      </c>
      <c r="U616" s="34"/>
      <c r="V616" s="34"/>
      <c r="W616" s="34"/>
      <c r="X616" s="34"/>
      <c r="Y616" s="34"/>
      <c r="Z616" s="34"/>
      <c r="AA616" s="34"/>
      <c r="AB616" s="34"/>
      <c r="AC616" s="34"/>
      <c r="AD616" s="34"/>
      <c r="AE616" s="34"/>
      <c r="AR616" s="151" t="s">
        <v>237</v>
      </c>
      <c r="AT616" s="151" t="s">
        <v>180</v>
      </c>
      <c r="AU616" s="151" t="s">
        <v>87</v>
      </c>
      <c r="AY616" s="19" t="s">
        <v>177</v>
      </c>
      <c r="BE616" s="152">
        <f>IF(N616="základní",J616,0)</f>
        <v>0</v>
      </c>
      <c r="BF616" s="152">
        <f>IF(N616="snížená",J616,0)</f>
        <v>0</v>
      </c>
      <c r="BG616" s="152">
        <f>IF(N616="zákl. přenesená",J616,0)</f>
        <v>0</v>
      </c>
      <c r="BH616" s="152">
        <f>IF(N616="sníž. přenesená",J616,0)</f>
        <v>0</v>
      </c>
      <c r="BI616" s="152">
        <f>IF(N616="nulová",J616,0)</f>
        <v>0</v>
      </c>
      <c r="BJ616" s="19" t="s">
        <v>85</v>
      </c>
      <c r="BK616" s="152">
        <f>ROUND(I616*H616,2)</f>
        <v>0</v>
      </c>
      <c r="BL616" s="19" t="s">
        <v>237</v>
      </c>
      <c r="BM616" s="151" t="s">
        <v>3633</v>
      </c>
    </row>
    <row r="617" spans="1:65" s="2" customFormat="1">
      <c r="A617" s="34"/>
      <c r="B617" s="35"/>
      <c r="C617" s="34"/>
      <c r="D617" s="153" t="s">
        <v>187</v>
      </c>
      <c r="E617" s="34"/>
      <c r="F617" s="154" t="s">
        <v>3634</v>
      </c>
      <c r="G617" s="34"/>
      <c r="H617" s="34"/>
      <c r="I617" s="155"/>
      <c r="J617" s="34"/>
      <c r="K617" s="34"/>
      <c r="L617" s="35"/>
      <c r="M617" s="156"/>
      <c r="N617" s="157"/>
      <c r="O617" s="55"/>
      <c r="P617" s="55"/>
      <c r="Q617" s="55"/>
      <c r="R617" s="55"/>
      <c r="S617" s="55"/>
      <c r="T617" s="56"/>
      <c r="U617" s="34"/>
      <c r="V617" s="34"/>
      <c r="W617" s="34"/>
      <c r="X617" s="34"/>
      <c r="Y617" s="34"/>
      <c r="Z617" s="34"/>
      <c r="AA617" s="34"/>
      <c r="AB617" s="34"/>
      <c r="AC617" s="34"/>
      <c r="AD617" s="34"/>
      <c r="AE617" s="34"/>
      <c r="AT617" s="19" t="s">
        <v>187</v>
      </c>
      <c r="AU617" s="19" t="s">
        <v>87</v>
      </c>
    </row>
    <row r="618" spans="1:65" s="2" customFormat="1">
      <c r="A618" s="34"/>
      <c r="B618" s="35"/>
      <c r="C618" s="34"/>
      <c r="D618" s="158" t="s">
        <v>189</v>
      </c>
      <c r="E618" s="34"/>
      <c r="F618" s="159" t="s">
        <v>3635</v>
      </c>
      <c r="G618" s="34"/>
      <c r="H618" s="34"/>
      <c r="I618" s="155"/>
      <c r="J618" s="34"/>
      <c r="K618" s="34"/>
      <c r="L618" s="35"/>
      <c r="M618" s="156"/>
      <c r="N618" s="157"/>
      <c r="O618" s="55"/>
      <c r="P618" s="55"/>
      <c r="Q618" s="55"/>
      <c r="R618" s="55"/>
      <c r="S618" s="55"/>
      <c r="T618" s="56"/>
      <c r="U618" s="34"/>
      <c r="V618" s="34"/>
      <c r="W618" s="34"/>
      <c r="X618" s="34"/>
      <c r="Y618" s="34"/>
      <c r="Z618" s="34"/>
      <c r="AA618" s="34"/>
      <c r="AB618" s="34"/>
      <c r="AC618" s="34"/>
      <c r="AD618" s="34"/>
      <c r="AE618" s="34"/>
      <c r="AT618" s="19" t="s">
        <v>189</v>
      </c>
      <c r="AU618" s="19" t="s">
        <v>87</v>
      </c>
    </row>
    <row r="619" spans="1:65" s="13" customFormat="1">
      <c r="B619" s="161"/>
      <c r="D619" s="153" t="s">
        <v>193</v>
      </c>
      <c r="E619" s="162" t="s">
        <v>3</v>
      </c>
      <c r="F619" s="163" t="s">
        <v>3636</v>
      </c>
      <c r="H619" s="164">
        <v>80.64</v>
      </c>
      <c r="I619" s="165"/>
      <c r="L619" s="161"/>
      <c r="M619" s="166"/>
      <c r="N619" s="167"/>
      <c r="O619" s="167"/>
      <c r="P619" s="167"/>
      <c r="Q619" s="167"/>
      <c r="R619" s="167"/>
      <c r="S619" s="167"/>
      <c r="T619" s="168"/>
      <c r="AT619" s="162" t="s">
        <v>193</v>
      </c>
      <c r="AU619" s="162" t="s">
        <v>87</v>
      </c>
      <c r="AV619" s="13" t="s">
        <v>87</v>
      </c>
      <c r="AW619" s="13" t="s">
        <v>36</v>
      </c>
      <c r="AX619" s="13" t="s">
        <v>77</v>
      </c>
      <c r="AY619" s="162" t="s">
        <v>177</v>
      </c>
    </row>
    <row r="620" spans="1:65" s="13" customFormat="1">
      <c r="B620" s="161"/>
      <c r="D620" s="153" t="s">
        <v>193</v>
      </c>
      <c r="E620" s="162" t="s">
        <v>3</v>
      </c>
      <c r="F620" s="163" t="s">
        <v>3637</v>
      </c>
      <c r="H620" s="164">
        <v>38.880000000000003</v>
      </c>
      <c r="I620" s="165"/>
      <c r="L620" s="161"/>
      <c r="M620" s="166"/>
      <c r="N620" s="167"/>
      <c r="O620" s="167"/>
      <c r="P620" s="167"/>
      <c r="Q620" s="167"/>
      <c r="R620" s="167"/>
      <c r="S620" s="167"/>
      <c r="T620" s="168"/>
      <c r="AT620" s="162" t="s">
        <v>193</v>
      </c>
      <c r="AU620" s="162" t="s">
        <v>87</v>
      </c>
      <c r="AV620" s="13" t="s">
        <v>87</v>
      </c>
      <c r="AW620" s="13" t="s">
        <v>36</v>
      </c>
      <c r="AX620" s="13" t="s">
        <v>77</v>
      </c>
      <c r="AY620" s="162" t="s">
        <v>177</v>
      </c>
    </row>
    <row r="621" spans="1:65" s="13" customFormat="1">
      <c r="B621" s="161"/>
      <c r="D621" s="153" t="s">
        <v>193</v>
      </c>
      <c r="E621" s="162" t="s">
        <v>3</v>
      </c>
      <c r="F621" s="163" t="s">
        <v>3638</v>
      </c>
      <c r="H621" s="164">
        <v>6.21</v>
      </c>
      <c r="I621" s="165"/>
      <c r="L621" s="161"/>
      <c r="M621" s="166"/>
      <c r="N621" s="167"/>
      <c r="O621" s="167"/>
      <c r="P621" s="167"/>
      <c r="Q621" s="167"/>
      <c r="R621" s="167"/>
      <c r="S621" s="167"/>
      <c r="T621" s="168"/>
      <c r="AT621" s="162" t="s">
        <v>193</v>
      </c>
      <c r="AU621" s="162" t="s">
        <v>87</v>
      </c>
      <c r="AV621" s="13" t="s">
        <v>87</v>
      </c>
      <c r="AW621" s="13" t="s">
        <v>36</v>
      </c>
      <c r="AX621" s="13" t="s">
        <v>77</v>
      </c>
      <c r="AY621" s="162" t="s">
        <v>177</v>
      </c>
    </row>
    <row r="622" spans="1:65" s="16" customFormat="1">
      <c r="B622" s="184"/>
      <c r="D622" s="153" t="s">
        <v>193</v>
      </c>
      <c r="E622" s="185" t="s">
        <v>3</v>
      </c>
      <c r="F622" s="186" t="s">
        <v>201</v>
      </c>
      <c r="H622" s="187">
        <v>125.73</v>
      </c>
      <c r="I622" s="188"/>
      <c r="L622" s="184"/>
      <c r="M622" s="189"/>
      <c r="N622" s="190"/>
      <c r="O622" s="190"/>
      <c r="P622" s="190"/>
      <c r="Q622" s="190"/>
      <c r="R622" s="190"/>
      <c r="S622" s="190"/>
      <c r="T622" s="191"/>
      <c r="AT622" s="185" t="s">
        <v>193</v>
      </c>
      <c r="AU622" s="185" t="s">
        <v>87</v>
      </c>
      <c r="AV622" s="16" t="s">
        <v>185</v>
      </c>
      <c r="AW622" s="16" t="s">
        <v>36</v>
      </c>
      <c r="AX622" s="16" t="s">
        <v>85</v>
      </c>
      <c r="AY622" s="185" t="s">
        <v>177</v>
      </c>
    </row>
    <row r="623" spans="1:65" s="2" customFormat="1" ht="16.5" customHeight="1">
      <c r="A623" s="34"/>
      <c r="B623" s="139"/>
      <c r="C623" s="140" t="s">
        <v>2794</v>
      </c>
      <c r="D623" s="140" t="s">
        <v>180</v>
      </c>
      <c r="E623" s="141" t="s">
        <v>3639</v>
      </c>
      <c r="F623" s="142" t="s">
        <v>3640</v>
      </c>
      <c r="G623" s="143" t="s">
        <v>332</v>
      </c>
      <c r="H623" s="144">
        <v>20.14</v>
      </c>
      <c r="I623" s="145"/>
      <c r="J623" s="146">
        <f>ROUND(I623*H623,2)</f>
        <v>0</v>
      </c>
      <c r="K623" s="142" t="s">
        <v>184</v>
      </c>
      <c r="L623" s="35"/>
      <c r="M623" s="147" t="s">
        <v>3</v>
      </c>
      <c r="N623" s="148" t="s">
        <v>48</v>
      </c>
      <c r="O623" s="55"/>
      <c r="P623" s="149">
        <f>O623*H623</f>
        <v>0</v>
      </c>
      <c r="Q623" s="149">
        <v>7.1500000000000002E-6</v>
      </c>
      <c r="R623" s="149">
        <f>Q623*H623</f>
        <v>1.4400100000000002E-4</v>
      </c>
      <c r="S623" s="149">
        <v>0</v>
      </c>
      <c r="T623" s="150">
        <f>S623*H623</f>
        <v>0</v>
      </c>
      <c r="U623" s="34"/>
      <c r="V623" s="34"/>
      <c r="W623" s="34"/>
      <c r="X623" s="34"/>
      <c r="Y623" s="34"/>
      <c r="Z623" s="34"/>
      <c r="AA623" s="34"/>
      <c r="AB623" s="34"/>
      <c r="AC623" s="34"/>
      <c r="AD623" s="34"/>
      <c r="AE623" s="34"/>
      <c r="AR623" s="151" t="s">
        <v>237</v>
      </c>
      <c r="AT623" s="151" t="s">
        <v>180</v>
      </c>
      <c r="AU623" s="151" t="s">
        <v>87</v>
      </c>
      <c r="AY623" s="19" t="s">
        <v>177</v>
      </c>
      <c r="BE623" s="152">
        <f>IF(N623="základní",J623,0)</f>
        <v>0</v>
      </c>
      <c r="BF623" s="152">
        <f>IF(N623="snížená",J623,0)</f>
        <v>0</v>
      </c>
      <c r="BG623" s="152">
        <f>IF(N623="zákl. přenesená",J623,0)</f>
        <v>0</v>
      </c>
      <c r="BH623" s="152">
        <f>IF(N623="sníž. přenesená",J623,0)</f>
        <v>0</v>
      </c>
      <c r="BI623" s="152">
        <f>IF(N623="nulová",J623,0)</f>
        <v>0</v>
      </c>
      <c r="BJ623" s="19" t="s">
        <v>85</v>
      </c>
      <c r="BK623" s="152">
        <f>ROUND(I623*H623,2)</f>
        <v>0</v>
      </c>
      <c r="BL623" s="19" t="s">
        <v>237</v>
      </c>
      <c r="BM623" s="151" t="s">
        <v>3641</v>
      </c>
    </row>
    <row r="624" spans="1:65" s="2" customFormat="1">
      <c r="A624" s="34"/>
      <c r="B624" s="35"/>
      <c r="C624" s="34"/>
      <c r="D624" s="153" t="s">
        <v>187</v>
      </c>
      <c r="E624" s="34"/>
      <c r="F624" s="154" t="s">
        <v>3642</v>
      </c>
      <c r="G624" s="34"/>
      <c r="H624" s="34"/>
      <c r="I624" s="155"/>
      <c r="J624" s="34"/>
      <c r="K624" s="34"/>
      <c r="L624" s="35"/>
      <c r="M624" s="156"/>
      <c r="N624" s="157"/>
      <c r="O624" s="55"/>
      <c r="P624" s="55"/>
      <c r="Q624" s="55"/>
      <c r="R624" s="55"/>
      <c r="S624" s="55"/>
      <c r="T624" s="56"/>
      <c r="U624" s="34"/>
      <c r="V624" s="34"/>
      <c r="W624" s="34"/>
      <c r="X624" s="34"/>
      <c r="Y624" s="34"/>
      <c r="Z624" s="34"/>
      <c r="AA624" s="34"/>
      <c r="AB624" s="34"/>
      <c r="AC624" s="34"/>
      <c r="AD624" s="34"/>
      <c r="AE624" s="34"/>
      <c r="AT624" s="19" t="s">
        <v>187</v>
      </c>
      <c r="AU624" s="19" t="s">
        <v>87</v>
      </c>
    </row>
    <row r="625" spans="1:65" s="2" customFormat="1">
      <c r="A625" s="34"/>
      <c r="B625" s="35"/>
      <c r="C625" s="34"/>
      <c r="D625" s="158" t="s">
        <v>189</v>
      </c>
      <c r="E625" s="34"/>
      <c r="F625" s="159" t="s">
        <v>3643</v>
      </c>
      <c r="G625" s="34"/>
      <c r="H625" s="34"/>
      <c r="I625" s="155"/>
      <c r="J625" s="34"/>
      <c r="K625" s="34"/>
      <c r="L625" s="35"/>
      <c r="M625" s="156"/>
      <c r="N625" s="157"/>
      <c r="O625" s="55"/>
      <c r="P625" s="55"/>
      <c r="Q625" s="55"/>
      <c r="R625" s="55"/>
      <c r="S625" s="55"/>
      <c r="T625" s="56"/>
      <c r="U625" s="34"/>
      <c r="V625" s="34"/>
      <c r="W625" s="34"/>
      <c r="X625" s="34"/>
      <c r="Y625" s="34"/>
      <c r="Z625" s="34"/>
      <c r="AA625" s="34"/>
      <c r="AB625" s="34"/>
      <c r="AC625" s="34"/>
      <c r="AD625" s="34"/>
      <c r="AE625" s="34"/>
      <c r="AT625" s="19" t="s">
        <v>189</v>
      </c>
      <c r="AU625" s="19" t="s">
        <v>87</v>
      </c>
    </row>
    <row r="626" spans="1:65" s="13" customFormat="1">
      <c r="B626" s="161"/>
      <c r="D626" s="153" t="s">
        <v>193</v>
      </c>
      <c r="E626" s="162" t="s">
        <v>3</v>
      </c>
      <c r="F626" s="163" t="s">
        <v>3644</v>
      </c>
      <c r="H626" s="164">
        <v>6</v>
      </c>
      <c r="I626" s="165"/>
      <c r="L626" s="161"/>
      <c r="M626" s="166"/>
      <c r="N626" s="167"/>
      <c r="O626" s="167"/>
      <c r="P626" s="167"/>
      <c r="Q626" s="167"/>
      <c r="R626" s="167"/>
      <c r="S626" s="167"/>
      <c r="T626" s="168"/>
      <c r="AT626" s="162" t="s">
        <v>193</v>
      </c>
      <c r="AU626" s="162" t="s">
        <v>87</v>
      </c>
      <c r="AV626" s="13" t="s">
        <v>87</v>
      </c>
      <c r="AW626" s="13" t="s">
        <v>36</v>
      </c>
      <c r="AX626" s="13" t="s">
        <v>77</v>
      </c>
      <c r="AY626" s="162" t="s">
        <v>177</v>
      </c>
    </row>
    <row r="627" spans="1:65" s="13" customFormat="1">
      <c r="B627" s="161"/>
      <c r="D627" s="153" t="s">
        <v>193</v>
      </c>
      <c r="E627" s="162" t="s">
        <v>3</v>
      </c>
      <c r="F627" s="163" t="s">
        <v>3645</v>
      </c>
      <c r="H627" s="164">
        <v>9.0299999999999994</v>
      </c>
      <c r="I627" s="165"/>
      <c r="L627" s="161"/>
      <c r="M627" s="166"/>
      <c r="N627" s="167"/>
      <c r="O627" s="167"/>
      <c r="P627" s="167"/>
      <c r="Q627" s="167"/>
      <c r="R627" s="167"/>
      <c r="S627" s="167"/>
      <c r="T627" s="168"/>
      <c r="AT627" s="162" t="s">
        <v>193</v>
      </c>
      <c r="AU627" s="162" t="s">
        <v>87</v>
      </c>
      <c r="AV627" s="13" t="s">
        <v>87</v>
      </c>
      <c r="AW627" s="13" t="s">
        <v>36</v>
      </c>
      <c r="AX627" s="13" t="s">
        <v>77</v>
      </c>
      <c r="AY627" s="162" t="s">
        <v>177</v>
      </c>
    </row>
    <row r="628" spans="1:65" s="13" customFormat="1">
      <c r="B628" s="161"/>
      <c r="D628" s="153" t="s">
        <v>193</v>
      </c>
      <c r="E628" s="162" t="s">
        <v>3</v>
      </c>
      <c r="F628" s="163" t="s">
        <v>1086</v>
      </c>
      <c r="H628" s="164">
        <v>2.31</v>
      </c>
      <c r="I628" s="165"/>
      <c r="L628" s="161"/>
      <c r="M628" s="166"/>
      <c r="N628" s="167"/>
      <c r="O628" s="167"/>
      <c r="P628" s="167"/>
      <c r="Q628" s="167"/>
      <c r="R628" s="167"/>
      <c r="S628" s="167"/>
      <c r="T628" s="168"/>
      <c r="AT628" s="162" t="s">
        <v>193</v>
      </c>
      <c r="AU628" s="162" t="s">
        <v>87</v>
      </c>
      <c r="AV628" s="13" t="s">
        <v>87</v>
      </c>
      <c r="AW628" s="13" t="s">
        <v>36</v>
      </c>
      <c r="AX628" s="13" t="s">
        <v>77</v>
      </c>
      <c r="AY628" s="162" t="s">
        <v>177</v>
      </c>
    </row>
    <row r="629" spans="1:65" s="13" customFormat="1">
      <c r="B629" s="161"/>
      <c r="D629" s="153" t="s">
        <v>193</v>
      </c>
      <c r="E629" s="162" t="s">
        <v>3</v>
      </c>
      <c r="F629" s="163" t="s">
        <v>3646</v>
      </c>
      <c r="H629" s="164">
        <v>2.8</v>
      </c>
      <c r="I629" s="165"/>
      <c r="L629" s="161"/>
      <c r="M629" s="166"/>
      <c r="N629" s="167"/>
      <c r="O629" s="167"/>
      <c r="P629" s="167"/>
      <c r="Q629" s="167"/>
      <c r="R629" s="167"/>
      <c r="S629" s="167"/>
      <c r="T629" s="168"/>
      <c r="AT629" s="162" t="s">
        <v>193</v>
      </c>
      <c r="AU629" s="162" t="s">
        <v>87</v>
      </c>
      <c r="AV629" s="13" t="s">
        <v>87</v>
      </c>
      <c r="AW629" s="13" t="s">
        <v>36</v>
      </c>
      <c r="AX629" s="13" t="s">
        <v>77</v>
      </c>
      <c r="AY629" s="162" t="s">
        <v>177</v>
      </c>
    </row>
    <row r="630" spans="1:65" s="16" customFormat="1">
      <c r="B630" s="184"/>
      <c r="D630" s="153" t="s">
        <v>193</v>
      </c>
      <c r="E630" s="185" t="s">
        <v>3</v>
      </c>
      <c r="F630" s="186" t="s">
        <v>201</v>
      </c>
      <c r="H630" s="187">
        <v>20.14</v>
      </c>
      <c r="I630" s="188"/>
      <c r="L630" s="184"/>
      <c r="M630" s="189"/>
      <c r="N630" s="190"/>
      <c r="O630" s="190"/>
      <c r="P630" s="190"/>
      <c r="Q630" s="190"/>
      <c r="R630" s="190"/>
      <c r="S630" s="190"/>
      <c r="T630" s="191"/>
      <c r="AT630" s="185" t="s">
        <v>193</v>
      </c>
      <c r="AU630" s="185" t="s">
        <v>87</v>
      </c>
      <c r="AV630" s="16" t="s">
        <v>185</v>
      </c>
      <c r="AW630" s="16" t="s">
        <v>36</v>
      </c>
      <c r="AX630" s="16" t="s">
        <v>85</v>
      </c>
      <c r="AY630" s="185" t="s">
        <v>177</v>
      </c>
    </row>
    <row r="631" spans="1:65" s="2" customFormat="1" ht="16.5" customHeight="1">
      <c r="A631" s="34"/>
      <c r="B631" s="139"/>
      <c r="C631" s="140" t="s">
        <v>2802</v>
      </c>
      <c r="D631" s="140" t="s">
        <v>180</v>
      </c>
      <c r="E631" s="141" t="s">
        <v>3647</v>
      </c>
      <c r="F631" s="142" t="s">
        <v>3648</v>
      </c>
      <c r="G631" s="143" t="s">
        <v>332</v>
      </c>
      <c r="H631" s="144">
        <v>969.6</v>
      </c>
      <c r="I631" s="145"/>
      <c r="J631" s="146">
        <f>ROUND(I631*H631,2)</f>
        <v>0</v>
      </c>
      <c r="K631" s="142" t="s">
        <v>184</v>
      </c>
      <c r="L631" s="35"/>
      <c r="M631" s="147" t="s">
        <v>3</v>
      </c>
      <c r="N631" s="148" t="s">
        <v>48</v>
      </c>
      <c r="O631" s="55"/>
      <c r="P631" s="149">
        <f>O631*H631</f>
        <v>0</v>
      </c>
      <c r="Q631" s="149">
        <v>6.2500000000000003E-6</v>
      </c>
      <c r="R631" s="149">
        <f>Q631*H631</f>
        <v>6.0600000000000003E-3</v>
      </c>
      <c r="S631" s="149">
        <v>0</v>
      </c>
      <c r="T631" s="150">
        <f>S631*H631</f>
        <v>0</v>
      </c>
      <c r="U631" s="34"/>
      <c r="V631" s="34"/>
      <c r="W631" s="34"/>
      <c r="X631" s="34"/>
      <c r="Y631" s="34"/>
      <c r="Z631" s="34"/>
      <c r="AA631" s="34"/>
      <c r="AB631" s="34"/>
      <c r="AC631" s="34"/>
      <c r="AD631" s="34"/>
      <c r="AE631" s="34"/>
      <c r="AR631" s="151" t="s">
        <v>237</v>
      </c>
      <c r="AT631" s="151" t="s">
        <v>180</v>
      </c>
      <c r="AU631" s="151" t="s">
        <v>87</v>
      </c>
      <c r="AY631" s="19" t="s">
        <v>177</v>
      </c>
      <c r="BE631" s="152">
        <f>IF(N631="základní",J631,0)</f>
        <v>0</v>
      </c>
      <c r="BF631" s="152">
        <f>IF(N631="snížená",J631,0)</f>
        <v>0</v>
      </c>
      <c r="BG631" s="152">
        <f>IF(N631="zákl. přenesená",J631,0)</f>
        <v>0</v>
      </c>
      <c r="BH631" s="152">
        <f>IF(N631="sníž. přenesená",J631,0)</f>
        <v>0</v>
      </c>
      <c r="BI631" s="152">
        <f>IF(N631="nulová",J631,0)</f>
        <v>0</v>
      </c>
      <c r="BJ631" s="19" t="s">
        <v>85</v>
      </c>
      <c r="BK631" s="152">
        <f>ROUND(I631*H631,2)</f>
        <v>0</v>
      </c>
      <c r="BL631" s="19" t="s">
        <v>237</v>
      </c>
      <c r="BM631" s="151" t="s">
        <v>3649</v>
      </c>
    </row>
    <row r="632" spans="1:65" s="2" customFormat="1">
      <c r="A632" s="34"/>
      <c r="B632" s="35"/>
      <c r="C632" s="34"/>
      <c r="D632" s="153" t="s">
        <v>187</v>
      </c>
      <c r="E632" s="34"/>
      <c r="F632" s="154" t="s">
        <v>3650</v>
      </c>
      <c r="G632" s="34"/>
      <c r="H632" s="34"/>
      <c r="I632" s="155"/>
      <c r="J632" s="34"/>
      <c r="K632" s="34"/>
      <c r="L632" s="35"/>
      <c r="M632" s="156"/>
      <c r="N632" s="157"/>
      <c r="O632" s="55"/>
      <c r="P632" s="55"/>
      <c r="Q632" s="55"/>
      <c r="R632" s="55"/>
      <c r="S632" s="55"/>
      <c r="T632" s="56"/>
      <c r="U632" s="34"/>
      <c r="V632" s="34"/>
      <c r="W632" s="34"/>
      <c r="X632" s="34"/>
      <c r="Y632" s="34"/>
      <c r="Z632" s="34"/>
      <c r="AA632" s="34"/>
      <c r="AB632" s="34"/>
      <c r="AC632" s="34"/>
      <c r="AD632" s="34"/>
      <c r="AE632" s="34"/>
      <c r="AT632" s="19" t="s">
        <v>187</v>
      </c>
      <c r="AU632" s="19" t="s">
        <v>87</v>
      </c>
    </row>
    <row r="633" spans="1:65" s="2" customFormat="1">
      <c r="A633" s="34"/>
      <c r="B633" s="35"/>
      <c r="C633" s="34"/>
      <c r="D633" s="158" t="s">
        <v>189</v>
      </c>
      <c r="E633" s="34"/>
      <c r="F633" s="159" t="s">
        <v>3651</v>
      </c>
      <c r="G633" s="34"/>
      <c r="H633" s="34"/>
      <c r="I633" s="155"/>
      <c r="J633" s="34"/>
      <c r="K633" s="34"/>
      <c r="L633" s="35"/>
      <c r="M633" s="156"/>
      <c r="N633" s="157"/>
      <c r="O633" s="55"/>
      <c r="P633" s="55"/>
      <c r="Q633" s="55"/>
      <c r="R633" s="55"/>
      <c r="S633" s="55"/>
      <c r="T633" s="56"/>
      <c r="U633" s="34"/>
      <c r="V633" s="34"/>
      <c r="W633" s="34"/>
      <c r="X633" s="34"/>
      <c r="Y633" s="34"/>
      <c r="Z633" s="34"/>
      <c r="AA633" s="34"/>
      <c r="AB633" s="34"/>
      <c r="AC633" s="34"/>
      <c r="AD633" s="34"/>
      <c r="AE633" s="34"/>
      <c r="AT633" s="19" t="s">
        <v>189</v>
      </c>
      <c r="AU633" s="19" t="s">
        <v>87</v>
      </c>
    </row>
    <row r="634" spans="1:65" s="2" customFormat="1" ht="21.75" customHeight="1">
      <c r="A634" s="34"/>
      <c r="B634" s="139"/>
      <c r="C634" s="140" t="s">
        <v>2808</v>
      </c>
      <c r="D634" s="140" t="s">
        <v>180</v>
      </c>
      <c r="E634" s="141" t="s">
        <v>3652</v>
      </c>
      <c r="F634" s="142" t="s">
        <v>3653</v>
      </c>
      <c r="G634" s="143" t="s">
        <v>332</v>
      </c>
      <c r="H634" s="144">
        <v>564.64700000000005</v>
      </c>
      <c r="I634" s="145"/>
      <c r="J634" s="146">
        <f>ROUND(I634*H634,2)</f>
        <v>0</v>
      </c>
      <c r="K634" s="142" t="s">
        <v>184</v>
      </c>
      <c r="L634" s="35"/>
      <c r="M634" s="147" t="s">
        <v>3</v>
      </c>
      <c r="N634" s="148" t="s">
        <v>48</v>
      </c>
      <c r="O634" s="55"/>
      <c r="P634" s="149">
        <f>O634*H634</f>
        <v>0</v>
      </c>
      <c r="Q634" s="149">
        <v>2.5839999999999999E-4</v>
      </c>
      <c r="R634" s="149">
        <f>Q634*H634</f>
        <v>0.14590478480000002</v>
      </c>
      <c r="S634" s="149">
        <v>0</v>
      </c>
      <c r="T634" s="150">
        <f>S634*H634</f>
        <v>0</v>
      </c>
      <c r="U634" s="34"/>
      <c r="V634" s="34"/>
      <c r="W634" s="34"/>
      <c r="X634" s="34"/>
      <c r="Y634" s="34"/>
      <c r="Z634" s="34"/>
      <c r="AA634" s="34"/>
      <c r="AB634" s="34"/>
      <c r="AC634" s="34"/>
      <c r="AD634" s="34"/>
      <c r="AE634" s="34"/>
      <c r="AR634" s="151" t="s">
        <v>237</v>
      </c>
      <c r="AT634" s="151" t="s">
        <v>180</v>
      </c>
      <c r="AU634" s="151" t="s">
        <v>87</v>
      </c>
      <c r="AY634" s="19" t="s">
        <v>177</v>
      </c>
      <c r="BE634" s="152">
        <f>IF(N634="základní",J634,0)</f>
        <v>0</v>
      </c>
      <c r="BF634" s="152">
        <f>IF(N634="snížená",J634,0)</f>
        <v>0</v>
      </c>
      <c r="BG634" s="152">
        <f>IF(N634="zákl. přenesená",J634,0)</f>
        <v>0</v>
      </c>
      <c r="BH634" s="152">
        <f>IF(N634="sníž. přenesená",J634,0)</f>
        <v>0</v>
      </c>
      <c r="BI634" s="152">
        <f>IF(N634="nulová",J634,0)</f>
        <v>0</v>
      </c>
      <c r="BJ634" s="19" t="s">
        <v>85</v>
      </c>
      <c r="BK634" s="152">
        <f>ROUND(I634*H634,2)</f>
        <v>0</v>
      </c>
      <c r="BL634" s="19" t="s">
        <v>237</v>
      </c>
      <c r="BM634" s="151" t="s">
        <v>3654</v>
      </c>
    </row>
    <row r="635" spans="1:65" s="2" customFormat="1" ht="19.5">
      <c r="A635" s="34"/>
      <c r="B635" s="35"/>
      <c r="C635" s="34"/>
      <c r="D635" s="153" t="s">
        <v>187</v>
      </c>
      <c r="E635" s="34"/>
      <c r="F635" s="154" t="s">
        <v>3655</v>
      </c>
      <c r="G635" s="34"/>
      <c r="H635" s="34"/>
      <c r="I635" s="155"/>
      <c r="J635" s="34"/>
      <c r="K635" s="34"/>
      <c r="L635" s="35"/>
      <c r="M635" s="156"/>
      <c r="N635" s="157"/>
      <c r="O635" s="55"/>
      <c r="P635" s="55"/>
      <c r="Q635" s="55"/>
      <c r="R635" s="55"/>
      <c r="S635" s="55"/>
      <c r="T635" s="56"/>
      <c r="U635" s="34"/>
      <c r="V635" s="34"/>
      <c r="W635" s="34"/>
      <c r="X635" s="34"/>
      <c r="Y635" s="34"/>
      <c r="Z635" s="34"/>
      <c r="AA635" s="34"/>
      <c r="AB635" s="34"/>
      <c r="AC635" s="34"/>
      <c r="AD635" s="34"/>
      <c r="AE635" s="34"/>
      <c r="AT635" s="19" t="s">
        <v>187</v>
      </c>
      <c r="AU635" s="19" t="s">
        <v>87</v>
      </c>
    </row>
    <row r="636" spans="1:65" s="2" customFormat="1">
      <c r="A636" s="34"/>
      <c r="B636" s="35"/>
      <c r="C636" s="34"/>
      <c r="D636" s="158" t="s">
        <v>189</v>
      </c>
      <c r="E636" s="34"/>
      <c r="F636" s="159" t="s">
        <v>3656</v>
      </c>
      <c r="G636" s="34"/>
      <c r="H636" s="34"/>
      <c r="I636" s="155"/>
      <c r="J636" s="34"/>
      <c r="K636" s="34"/>
      <c r="L636" s="35"/>
      <c r="M636" s="156"/>
      <c r="N636" s="157"/>
      <c r="O636" s="55"/>
      <c r="P636" s="55"/>
      <c r="Q636" s="55"/>
      <c r="R636" s="55"/>
      <c r="S636" s="55"/>
      <c r="T636" s="56"/>
      <c r="U636" s="34"/>
      <c r="V636" s="34"/>
      <c r="W636" s="34"/>
      <c r="X636" s="34"/>
      <c r="Y636" s="34"/>
      <c r="Z636" s="34"/>
      <c r="AA636" s="34"/>
      <c r="AB636" s="34"/>
      <c r="AC636" s="34"/>
      <c r="AD636" s="34"/>
      <c r="AE636" s="34"/>
      <c r="AT636" s="19" t="s">
        <v>189</v>
      </c>
      <c r="AU636" s="19" t="s">
        <v>87</v>
      </c>
    </row>
    <row r="637" spans="1:65" s="14" customFormat="1">
      <c r="B637" s="169"/>
      <c r="D637" s="153" t="s">
        <v>193</v>
      </c>
      <c r="E637" s="170" t="s">
        <v>3</v>
      </c>
      <c r="F637" s="171" t="s">
        <v>3657</v>
      </c>
      <c r="H637" s="170" t="s">
        <v>3</v>
      </c>
      <c r="I637" s="172"/>
      <c r="L637" s="169"/>
      <c r="M637" s="173"/>
      <c r="N637" s="174"/>
      <c r="O637" s="174"/>
      <c r="P637" s="174"/>
      <c r="Q637" s="174"/>
      <c r="R637" s="174"/>
      <c r="S637" s="174"/>
      <c r="T637" s="175"/>
      <c r="AT637" s="170" t="s">
        <v>193</v>
      </c>
      <c r="AU637" s="170" t="s">
        <v>87</v>
      </c>
      <c r="AV637" s="14" t="s">
        <v>85</v>
      </c>
      <c r="AW637" s="14" t="s">
        <v>36</v>
      </c>
      <c r="AX637" s="14" t="s">
        <v>77</v>
      </c>
      <c r="AY637" s="170" t="s">
        <v>177</v>
      </c>
    </row>
    <row r="638" spans="1:65" s="13" customFormat="1">
      <c r="B638" s="161"/>
      <c r="D638" s="153" t="s">
        <v>193</v>
      </c>
      <c r="E638" s="162" t="s">
        <v>3</v>
      </c>
      <c r="F638" s="163" t="s">
        <v>3658</v>
      </c>
      <c r="H638" s="164">
        <v>564.64700000000005</v>
      </c>
      <c r="I638" s="165"/>
      <c r="L638" s="161"/>
      <c r="M638" s="166"/>
      <c r="N638" s="167"/>
      <c r="O638" s="167"/>
      <c r="P638" s="167"/>
      <c r="Q638" s="167"/>
      <c r="R638" s="167"/>
      <c r="S638" s="167"/>
      <c r="T638" s="168"/>
      <c r="AT638" s="162" t="s">
        <v>193</v>
      </c>
      <c r="AU638" s="162" t="s">
        <v>87</v>
      </c>
      <c r="AV638" s="13" t="s">
        <v>87</v>
      </c>
      <c r="AW638" s="13" t="s">
        <v>36</v>
      </c>
      <c r="AX638" s="13" t="s">
        <v>85</v>
      </c>
      <c r="AY638" s="162" t="s">
        <v>177</v>
      </c>
    </row>
    <row r="639" spans="1:65" s="2" customFormat="1" ht="21.75" customHeight="1">
      <c r="A639" s="34"/>
      <c r="B639" s="139"/>
      <c r="C639" s="140" t="s">
        <v>2814</v>
      </c>
      <c r="D639" s="140" t="s">
        <v>180</v>
      </c>
      <c r="E639" s="141" t="s">
        <v>3659</v>
      </c>
      <c r="F639" s="142" t="s">
        <v>3660</v>
      </c>
      <c r="G639" s="143" t="s">
        <v>332</v>
      </c>
      <c r="H639" s="144">
        <v>1636.597</v>
      </c>
      <c r="I639" s="145"/>
      <c r="J639" s="146">
        <f>ROUND(I639*H639,2)</f>
        <v>0</v>
      </c>
      <c r="K639" s="142" t="s">
        <v>184</v>
      </c>
      <c r="L639" s="35"/>
      <c r="M639" s="147" t="s">
        <v>3</v>
      </c>
      <c r="N639" s="148" t="s">
        <v>48</v>
      </c>
      <c r="O639" s="55"/>
      <c r="P639" s="149">
        <f>O639*H639</f>
        <v>0</v>
      </c>
      <c r="Q639" s="149">
        <v>2.7999999999999998E-4</v>
      </c>
      <c r="R639" s="149">
        <f>Q639*H639</f>
        <v>0.45824715999999993</v>
      </c>
      <c r="S639" s="149">
        <v>0</v>
      </c>
      <c r="T639" s="150">
        <f>S639*H639</f>
        <v>0</v>
      </c>
      <c r="U639" s="34"/>
      <c r="V639" s="34"/>
      <c r="W639" s="34"/>
      <c r="X639" s="34"/>
      <c r="Y639" s="34"/>
      <c r="Z639" s="34"/>
      <c r="AA639" s="34"/>
      <c r="AB639" s="34"/>
      <c r="AC639" s="34"/>
      <c r="AD639" s="34"/>
      <c r="AE639" s="34"/>
      <c r="AR639" s="151" t="s">
        <v>237</v>
      </c>
      <c r="AT639" s="151" t="s">
        <v>180</v>
      </c>
      <c r="AU639" s="151" t="s">
        <v>87</v>
      </c>
      <c r="AY639" s="19" t="s">
        <v>177</v>
      </c>
      <c r="BE639" s="152">
        <f>IF(N639="základní",J639,0)</f>
        <v>0</v>
      </c>
      <c r="BF639" s="152">
        <f>IF(N639="snížená",J639,0)</f>
        <v>0</v>
      </c>
      <c r="BG639" s="152">
        <f>IF(N639="zákl. přenesená",J639,0)</f>
        <v>0</v>
      </c>
      <c r="BH639" s="152">
        <f>IF(N639="sníž. přenesená",J639,0)</f>
        <v>0</v>
      </c>
      <c r="BI639" s="152">
        <f>IF(N639="nulová",J639,0)</f>
        <v>0</v>
      </c>
      <c r="BJ639" s="19" t="s">
        <v>85</v>
      </c>
      <c r="BK639" s="152">
        <f>ROUND(I639*H639,2)</f>
        <v>0</v>
      </c>
      <c r="BL639" s="19" t="s">
        <v>237</v>
      </c>
      <c r="BM639" s="151" t="s">
        <v>3661</v>
      </c>
    </row>
    <row r="640" spans="1:65" s="2" customFormat="1" ht="19.5">
      <c r="A640" s="34"/>
      <c r="B640" s="35"/>
      <c r="C640" s="34"/>
      <c r="D640" s="153" t="s">
        <v>187</v>
      </c>
      <c r="E640" s="34"/>
      <c r="F640" s="154" t="s">
        <v>3662</v>
      </c>
      <c r="G640" s="34"/>
      <c r="H640" s="34"/>
      <c r="I640" s="155"/>
      <c r="J640" s="34"/>
      <c r="K640" s="34"/>
      <c r="L640" s="35"/>
      <c r="M640" s="156"/>
      <c r="N640" s="157"/>
      <c r="O640" s="55"/>
      <c r="P640" s="55"/>
      <c r="Q640" s="55"/>
      <c r="R640" s="55"/>
      <c r="S640" s="55"/>
      <c r="T640" s="56"/>
      <c r="U640" s="34"/>
      <c r="V640" s="34"/>
      <c r="W640" s="34"/>
      <c r="X640" s="34"/>
      <c r="Y640" s="34"/>
      <c r="Z640" s="34"/>
      <c r="AA640" s="34"/>
      <c r="AB640" s="34"/>
      <c r="AC640" s="34"/>
      <c r="AD640" s="34"/>
      <c r="AE640" s="34"/>
      <c r="AT640" s="19" t="s">
        <v>187</v>
      </c>
      <c r="AU640" s="19" t="s">
        <v>87</v>
      </c>
    </row>
    <row r="641" spans="1:65" s="2" customFormat="1">
      <c r="A641" s="34"/>
      <c r="B641" s="35"/>
      <c r="C641" s="34"/>
      <c r="D641" s="158" t="s">
        <v>189</v>
      </c>
      <c r="E641" s="34"/>
      <c r="F641" s="159" t="s">
        <v>3663</v>
      </c>
      <c r="G641" s="34"/>
      <c r="H641" s="34"/>
      <c r="I641" s="155"/>
      <c r="J641" s="34"/>
      <c r="K641" s="34"/>
      <c r="L641" s="35"/>
      <c r="M641" s="156"/>
      <c r="N641" s="157"/>
      <c r="O641" s="55"/>
      <c r="P641" s="55"/>
      <c r="Q641" s="55"/>
      <c r="R641" s="55"/>
      <c r="S641" s="55"/>
      <c r="T641" s="56"/>
      <c r="U641" s="34"/>
      <c r="V641" s="34"/>
      <c r="W641" s="34"/>
      <c r="X641" s="34"/>
      <c r="Y641" s="34"/>
      <c r="Z641" s="34"/>
      <c r="AA641" s="34"/>
      <c r="AB641" s="34"/>
      <c r="AC641" s="34"/>
      <c r="AD641" s="34"/>
      <c r="AE641" s="34"/>
      <c r="AT641" s="19" t="s">
        <v>189</v>
      </c>
      <c r="AU641" s="19" t="s">
        <v>87</v>
      </c>
    </row>
    <row r="642" spans="1:65" s="13" customFormat="1">
      <c r="B642" s="161"/>
      <c r="D642" s="153" t="s">
        <v>193</v>
      </c>
      <c r="E642" s="162" t="s">
        <v>3</v>
      </c>
      <c r="F642" s="163" t="s">
        <v>2116</v>
      </c>
      <c r="H642" s="164">
        <v>1621.0440000000001</v>
      </c>
      <c r="I642" s="165"/>
      <c r="L642" s="161"/>
      <c r="M642" s="166"/>
      <c r="N642" s="167"/>
      <c r="O642" s="167"/>
      <c r="P642" s="167"/>
      <c r="Q642" s="167"/>
      <c r="R642" s="167"/>
      <c r="S642" s="167"/>
      <c r="T642" s="168"/>
      <c r="AT642" s="162" t="s">
        <v>193</v>
      </c>
      <c r="AU642" s="162" t="s">
        <v>87</v>
      </c>
      <c r="AV642" s="13" t="s">
        <v>87</v>
      </c>
      <c r="AW642" s="13" t="s">
        <v>36</v>
      </c>
      <c r="AX642" s="13" t="s">
        <v>77</v>
      </c>
      <c r="AY642" s="162" t="s">
        <v>177</v>
      </c>
    </row>
    <row r="643" spans="1:65" s="14" customFormat="1">
      <c r="B643" s="169"/>
      <c r="D643" s="153" t="s">
        <v>193</v>
      </c>
      <c r="E643" s="170" t="s">
        <v>3</v>
      </c>
      <c r="F643" s="171" t="s">
        <v>3664</v>
      </c>
      <c r="H643" s="170" t="s">
        <v>3</v>
      </c>
      <c r="I643" s="172"/>
      <c r="L643" s="169"/>
      <c r="M643" s="173"/>
      <c r="N643" s="174"/>
      <c r="O643" s="174"/>
      <c r="P643" s="174"/>
      <c r="Q643" s="174"/>
      <c r="R643" s="174"/>
      <c r="S643" s="174"/>
      <c r="T643" s="175"/>
      <c r="AT643" s="170" t="s">
        <v>193</v>
      </c>
      <c r="AU643" s="170" t="s">
        <v>87</v>
      </c>
      <c r="AV643" s="14" t="s">
        <v>85</v>
      </c>
      <c r="AW643" s="14" t="s">
        <v>36</v>
      </c>
      <c r="AX643" s="14" t="s">
        <v>77</v>
      </c>
      <c r="AY643" s="170" t="s">
        <v>177</v>
      </c>
    </row>
    <row r="644" spans="1:65" s="13" customFormat="1">
      <c r="B644" s="161"/>
      <c r="D644" s="153" t="s">
        <v>193</v>
      </c>
      <c r="E644" s="162" t="s">
        <v>3</v>
      </c>
      <c r="F644" s="163" t="s">
        <v>3665</v>
      </c>
      <c r="H644" s="164">
        <v>574.6</v>
      </c>
      <c r="I644" s="165"/>
      <c r="L644" s="161"/>
      <c r="M644" s="166"/>
      <c r="N644" s="167"/>
      <c r="O644" s="167"/>
      <c r="P644" s="167"/>
      <c r="Q644" s="167"/>
      <c r="R644" s="167"/>
      <c r="S644" s="167"/>
      <c r="T644" s="168"/>
      <c r="AT644" s="162" t="s">
        <v>193</v>
      </c>
      <c r="AU644" s="162" t="s">
        <v>87</v>
      </c>
      <c r="AV644" s="13" t="s">
        <v>87</v>
      </c>
      <c r="AW644" s="13" t="s">
        <v>36</v>
      </c>
      <c r="AX644" s="13" t="s">
        <v>77</v>
      </c>
      <c r="AY644" s="162" t="s">
        <v>177</v>
      </c>
    </row>
    <row r="645" spans="1:65" s="15" customFormat="1">
      <c r="B645" s="176"/>
      <c r="D645" s="153" t="s">
        <v>193</v>
      </c>
      <c r="E645" s="177" t="s">
        <v>3</v>
      </c>
      <c r="F645" s="178" t="s">
        <v>197</v>
      </c>
      <c r="H645" s="179">
        <v>2195.6440000000002</v>
      </c>
      <c r="I645" s="180"/>
      <c r="L645" s="176"/>
      <c r="M645" s="181"/>
      <c r="N645" s="182"/>
      <c r="O645" s="182"/>
      <c r="P645" s="182"/>
      <c r="Q645" s="182"/>
      <c r="R645" s="182"/>
      <c r="S645" s="182"/>
      <c r="T645" s="183"/>
      <c r="AT645" s="177" t="s">
        <v>193</v>
      </c>
      <c r="AU645" s="177" t="s">
        <v>87</v>
      </c>
      <c r="AV645" s="15" t="s">
        <v>198</v>
      </c>
      <c r="AW645" s="15" t="s">
        <v>36</v>
      </c>
      <c r="AX645" s="15" t="s">
        <v>77</v>
      </c>
      <c r="AY645" s="177" t="s">
        <v>177</v>
      </c>
    </row>
    <row r="646" spans="1:65" s="14" customFormat="1">
      <c r="B646" s="169"/>
      <c r="D646" s="153" t="s">
        <v>193</v>
      </c>
      <c r="E646" s="170" t="s">
        <v>3</v>
      </c>
      <c r="F646" s="171" t="s">
        <v>3666</v>
      </c>
      <c r="H646" s="170" t="s">
        <v>3</v>
      </c>
      <c r="I646" s="172"/>
      <c r="L646" s="169"/>
      <c r="M646" s="173"/>
      <c r="N646" s="174"/>
      <c r="O646" s="174"/>
      <c r="P646" s="174"/>
      <c r="Q646" s="174"/>
      <c r="R646" s="174"/>
      <c r="S646" s="174"/>
      <c r="T646" s="175"/>
      <c r="AT646" s="170" t="s">
        <v>193</v>
      </c>
      <c r="AU646" s="170" t="s">
        <v>87</v>
      </c>
      <c r="AV646" s="14" t="s">
        <v>85</v>
      </c>
      <c r="AW646" s="14" t="s">
        <v>36</v>
      </c>
      <c r="AX646" s="14" t="s">
        <v>77</v>
      </c>
      <c r="AY646" s="170" t="s">
        <v>177</v>
      </c>
    </row>
    <row r="647" spans="1:65" s="13" customFormat="1">
      <c r="B647" s="161"/>
      <c r="D647" s="153" t="s">
        <v>193</v>
      </c>
      <c r="E647" s="162" t="s">
        <v>3</v>
      </c>
      <c r="F647" s="163" t="s">
        <v>3667</v>
      </c>
      <c r="H647" s="164">
        <v>-564.64700000000005</v>
      </c>
      <c r="I647" s="165"/>
      <c r="L647" s="161"/>
      <c r="M647" s="166"/>
      <c r="N647" s="167"/>
      <c r="O647" s="167"/>
      <c r="P647" s="167"/>
      <c r="Q647" s="167"/>
      <c r="R647" s="167"/>
      <c r="S647" s="167"/>
      <c r="T647" s="168"/>
      <c r="AT647" s="162" t="s">
        <v>193</v>
      </c>
      <c r="AU647" s="162" t="s">
        <v>87</v>
      </c>
      <c r="AV647" s="13" t="s">
        <v>87</v>
      </c>
      <c r="AW647" s="13" t="s">
        <v>36</v>
      </c>
      <c r="AX647" s="13" t="s">
        <v>77</v>
      </c>
      <c r="AY647" s="162" t="s">
        <v>177</v>
      </c>
    </row>
    <row r="648" spans="1:65" s="15" customFormat="1">
      <c r="B648" s="176"/>
      <c r="D648" s="153" t="s">
        <v>193</v>
      </c>
      <c r="E648" s="177" t="s">
        <v>3</v>
      </c>
      <c r="F648" s="178" t="s">
        <v>197</v>
      </c>
      <c r="H648" s="179">
        <v>-564.64700000000005</v>
      </c>
      <c r="I648" s="180"/>
      <c r="L648" s="176"/>
      <c r="M648" s="181"/>
      <c r="N648" s="182"/>
      <c r="O648" s="182"/>
      <c r="P648" s="182"/>
      <c r="Q648" s="182"/>
      <c r="R648" s="182"/>
      <c r="S648" s="182"/>
      <c r="T648" s="183"/>
      <c r="AT648" s="177" t="s">
        <v>193</v>
      </c>
      <c r="AU648" s="177" t="s">
        <v>87</v>
      </c>
      <c r="AV648" s="15" t="s">
        <v>198</v>
      </c>
      <c r="AW648" s="15" t="s">
        <v>36</v>
      </c>
      <c r="AX648" s="15" t="s">
        <v>77</v>
      </c>
      <c r="AY648" s="177" t="s">
        <v>177</v>
      </c>
    </row>
    <row r="649" spans="1:65" s="13" customFormat="1">
      <c r="B649" s="161"/>
      <c r="D649" s="153" t="s">
        <v>193</v>
      </c>
      <c r="E649" s="162" t="s">
        <v>3</v>
      </c>
      <c r="F649" s="163" t="s">
        <v>3668</v>
      </c>
      <c r="H649" s="164">
        <v>5.6</v>
      </c>
      <c r="I649" s="165"/>
      <c r="L649" s="161"/>
      <c r="M649" s="166"/>
      <c r="N649" s="167"/>
      <c r="O649" s="167"/>
      <c r="P649" s="167"/>
      <c r="Q649" s="167"/>
      <c r="R649" s="167"/>
      <c r="S649" s="167"/>
      <c r="T649" s="168"/>
      <c r="AT649" s="162" t="s">
        <v>193</v>
      </c>
      <c r="AU649" s="162" t="s">
        <v>87</v>
      </c>
      <c r="AV649" s="13" t="s">
        <v>87</v>
      </c>
      <c r="AW649" s="13" t="s">
        <v>36</v>
      </c>
      <c r="AX649" s="13" t="s">
        <v>77</v>
      </c>
      <c r="AY649" s="162" t="s">
        <v>177</v>
      </c>
    </row>
    <row r="650" spans="1:65" s="16" customFormat="1">
      <c r="B650" s="184"/>
      <c r="D650" s="153" t="s">
        <v>193</v>
      </c>
      <c r="E650" s="185" t="s">
        <v>3</v>
      </c>
      <c r="F650" s="186" t="s">
        <v>201</v>
      </c>
      <c r="H650" s="187">
        <v>1636.5970000000002</v>
      </c>
      <c r="I650" s="188"/>
      <c r="L650" s="184"/>
      <c r="M650" s="189"/>
      <c r="N650" s="190"/>
      <c r="O650" s="190"/>
      <c r="P650" s="190"/>
      <c r="Q650" s="190"/>
      <c r="R650" s="190"/>
      <c r="S650" s="190"/>
      <c r="T650" s="191"/>
      <c r="AT650" s="185" t="s">
        <v>193</v>
      </c>
      <c r="AU650" s="185" t="s">
        <v>87</v>
      </c>
      <c r="AV650" s="16" t="s">
        <v>185</v>
      </c>
      <c r="AW650" s="16" t="s">
        <v>36</v>
      </c>
      <c r="AX650" s="16" t="s">
        <v>85</v>
      </c>
      <c r="AY650" s="185" t="s">
        <v>177</v>
      </c>
    </row>
    <row r="651" spans="1:65" s="2" customFormat="1" ht="21.75" customHeight="1">
      <c r="A651" s="34"/>
      <c r="B651" s="139"/>
      <c r="C651" s="140" t="s">
        <v>2818</v>
      </c>
      <c r="D651" s="140" t="s">
        <v>180</v>
      </c>
      <c r="E651" s="141" t="s">
        <v>3669</v>
      </c>
      <c r="F651" s="142" t="s">
        <v>3670</v>
      </c>
      <c r="G651" s="143" t="s">
        <v>332</v>
      </c>
      <c r="H651" s="144">
        <v>1693.94</v>
      </c>
      <c r="I651" s="145"/>
      <c r="J651" s="146">
        <f>ROUND(I651*H651,2)</f>
        <v>0</v>
      </c>
      <c r="K651" s="142" t="s">
        <v>184</v>
      </c>
      <c r="L651" s="35"/>
      <c r="M651" s="147" t="s">
        <v>3</v>
      </c>
      <c r="N651" s="148" t="s">
        <v>48</v>
      </c>
      <c r="O651" s="55"/>
      <c r="P651" s="149">
        <f>O651*H651</f>
        <v>0</v>
      </c>
      <c r="Q651" s="149">
        <v>1.6900000000000001E-5</v>
      </c>
      <c r="R651" s="149">
        <f>Q651*H651</f>
        <v>2.8627586000000003E-2</v>
      </c>
      <c r="S651" s="149">
        <v>0</v>
      </c>
      <c r="T651" s="150">
        <f>S651*H651</f>
        <v>0</v>
      </c>
      <c r="U651" s="34"/>
      <c r="V651" s="34"/>
      <c r="W651" s="34"/>
      <c r="X651" s="34"/>
      <c r="Y651" s="34"/>
      <c r="Z651" s="34"/>
      <c r="AA651" s="34"/>
      <c r="AB651" s="34"/>
      <c r="AC651" s="34"/>
      <c r="AD651" s="34"/>
      <c r="AE651" s="34"/>
      <c r="AR651" s="151" t="s">
        <v>237</v>
      </c>
      <c r="AT651" s="151" t="s">
        <v>180</v>
      </c>
      <c r="AU651" s="151" t="s">
        <v>87</v>
      </c>
      <c r="AY651" s="19" t="s">
        <v>177</v>
      </c>
      <c r="BE651" s="152">
        <f>IF(N651="základní",J651,0)</f>
        <v>0</v>
      </c>
      <c r="BF651" s="152">
        <f>IF(N651="snížená",J651,0)</f>
        <v>0</v>
      </c>
      <c r="BG651" s="152">
        <f>IF(N651="zákl. přenesená",J651,0)</f>
        <v>0</v>
      </c>
      <c r="BH651" s="152">
        <f>IF(N651="sníž. přenesená",J651,0)</f>
        <v>0</v>
      </c>
      <c r="BI651" s="152">
        <f>IF(N651="nulová",J651,0)</f>
        <v>0</v>
      </c>
      <c r="BJ651" s="19" t="s">
        <v>85</v>
      </c>
      <c r="BK651" s="152">
        <f>ROUND(I651*H651,2)</f>
        <v>0</v>
      </c>
      <c r="BL651" s="19" t="s">
        <v>237</v>
      </c>
      <c r="BM651" s="151" t="s">
        <v>3671</v>
      </c>
    </row>
    <row r="652" spans="1:65" s="2" customFormat="1" ht="19.5">
      <c r="A652" s="34"/>
      <c r="B652" s="35"/>
      <c r="C652" s="34"/>
      <c r="D652" s="153" t="s">
        <v>187</v>
      </c>
      <c r="E652" s="34"/>
      <c r="F652" s="154" t="s">
        <v>3672</v>
      </c>
      <c r="G652" s="34"/>
      <c r="H652" s="34"/>
      <c r="I652" s="155"/>
      <c r="J652" s="34"/>
      <c r="K652" s="34"/>
      <c r="L652" s="35"/>
      <c r="M652" s="156"/>
      <c r="N652" s="157"/>
      <c r="O652" s="55"/>
      <c r="P652" s="55"/>
      <c r="Q652" s="55"/>
      <c r="R652" s="55"/>
      <c r="S652" s="55"/>
      <c r="T652" s="56"/>
      <c r="U652" s="34"/>
      <c r="V652" s="34"/>
      <c r="W652" s="34"/>
      <c r="X652" s="34"/>
      <c r="Y652" s="34"/>
      <c r="Z652" s="34"/>
      <c r="AA652" s="34"/>
      <c r="AB652" s="34"/>
      <c r="AC652" s="34"/>
      <c r="AD652" s="34"/>
      <c r="AE652" s="34"/>
      <c r="AT652" s="19" t="s">
        <v>187</v>
      </c>
      <c r="AU652" s="19" t="s">
        <v>87</v>
      </c>
    </row>
    <row r="653" spans="1:65" s="2" customFormat="1">
      <c r="A653" s="34"/>
      <c r="B653" s="35"/>
      <c r="C653" s="34"/>
      <c r="D653" s="158" t="s">
        <v>189</v>
      </c>
      <c r="E653" s="34"/>
      <c r="F653" s="159" t="s">
        <v>3673</v>
      </c>
      <c r="G653" s="34"/>
      <c r="H653" s="34"/>
      <c r="I653" s="155"/>
      <c r="J653" s="34"/>
      <c r="K653" s="34"/>
      <c r="L653" s="35"/>
      <c r="M653" s="156"/>
      <c r="N653" s="157"/>
      <c r="O653" s="55"/>
      <c r="P653" s="55"/>
      <c r="Q653" s="55"/>
      <c r="R653" s="55"/>
      <c r="S653" s="55"/>
      <c r="T653" s="56"/>
      <c r="U653" s="34"/>
      <c r="V653" s="34"/>
      <c r="W653" s="34"/>
      <c r="X653" s="34"/>
      <c r="Y653" s="34"/>
      <c r="Z653" s="34"/>
      <c r="AA653" s="34"/>
      <c r="AB653" s="34"/>
      <c r="AC653" s="34"/>
      <c r="AD653" s="34"/>
      <c r="AE653" s="34"/>
      <c r="AT653" s="19" t="s">
        <v>189</v>
      </c>
      <c r="AU653" s="19" t="s">
        <v>87</v>
      </c>
    </row>
    <row r="654" spans="1:65" s="12" customFormat="1" ht="22.9" customHeight="1">
      <c r="B654" s="126"/>
      <c r="D654" s="127" t="s">
        <v>76</v>
      </c>
      <c r="E654" s="137" t="s">
        <v>3674</v>
      </c>
      <c r="F654" s="137" t="s">
        <v>3675</v>
      </c>
      <c r="I654" s="129"/>
      <c r="J654" s="138">
        <f>BK654</f>
        <v>0</v>
      </c>
      <c r="L654" s="126"/>
      <c r="M654" s="131"/>
      <c r="N654" s="132"/>
      <c r="O654" s="132"/>
      <c r="P654" s="133">
        <f>SUM(P655:P674)</f>
        <v>0</v>
      </c>
      <c r="Q654" s="132"/>
      <c r="R654" s="133">
        <f>SUM(R655:R674)</f>
        <v>8.7696239999999995E-2</v>
      </c>
      <c r="S654" s="132"/>
      <c r="T654" s="134">
        <f>SUM(T655:T674)</f>
        <v>0</v>
      </c>
      <c r="AR654" s="127" t="s">
        <v>87</v>
      </c>
      <c r="AT654" s="135" t="s">
        <v>76</v>
      </c>
      <c r="AU654" s="135" t="s">
        <v>85</v>
      </c>
      <c r="AY654" s="127" t="s">
        <v>177</v>
      </c>
      <c r="BK654" s="136">
        <f>SUM(BK655:BK674)</f>
        <v>0</v>
      </c>
    </row>
    <row r="655" spans="1:65" s="2" customFormat="1" ht="16.5" customHeight="1">
      <c r="A655" s="34"/>
      <c r="B655" s="139"/>
      <c r="C655" s="140" t="s">
        <v>2825</v>
      </c>
      <c r="D655" s="140" t="s">
        <v>180</v>
      </c>
      <c r="E655" s="141" t="s">
        <v>3676</v>
      </c>
      <c r="F655" s="142" t="s">
        <v>3677</v>
      </c>
      <c r="G655" s="143" t="s">
        <v>332</v>
      </c>
      <c r="H655" s="144">
        <v>115.542</v>
      </c>
      <c r="I655" s="145"/>
      <c r="J655" s="146">
        <f>ROUND(I655*H655,2)</f>
        <v>0</v>
      </c>
      <c r="K655" s="142" t="s">
        <v>184</v>
      </c>
      <c r="L655" s="35"/>
      <c r="M655" s="147" t="s">
        <v>3</v>
      </c>
      <c r="N655" s="148" t="s">
        <v>48</v>
      </c>
      <c r="O655" s="55"/>
      <c r="P655" s="149">
        <f>O655*H655</f>
        <v>0</v>
      </c>
      <c r="Q655" s="149">
        <v>0</v>
      </c>
      <c r="R655" s="149">
        <f>Q655*H655</f>
        <v>0</v>
      </c>
      <c r="S655" s="149">
        <v>0</v>
      </c>
      <c r="T655" s="150">
        <f>S655*H655</f>
        <v>0</v>
      </c>
      <c r="U655" s="34"/>
      <c r="V655" s="34"/>
      <c r="W655" s="34"/>
      <c r="X655" s="34"/>
      <c r="Y655" s="34"/>
      <c r="Z655" s="34"/>
      <c r="AA655" s="34"/>
      <c r="AB655" s="34"/>
      <c r="AC655" s="34"/>
      <c r="AD655" s="34"/>
      <c r="AE655" s="34"/>
      <c r="AR655" s="151" t="s">
        <v>237</v>
      </c>
      <c r="AT655" s="151" t="s">
        <v>180</v>
      </c>
      <c r="AU655" s="151" t="s">
        <v>87</v>
      </c>
      <c r="AY655" s="19" t="s">
        <v>177</v>
      </c>
      <c r="BE655" s="152">
        <f>IF(N655="základní",J655,0)</f>
        <v>0</v>
      </c>
      <c r="BF655" s="152">
        <f>IF(N655="snížená",J655,0)</f>
        <v>0</v>
      </c>
      <c r="BG655" s="152">
        <f>IF(N655="zákl. přenesená",J655,0)</f>
        <v>0</v>
      </c>
      <c r="BH655" s="152">
        <f>IF(N655="sníž. přenesená",J655,0)</f>
        <v>0</v>
      </c>
      <c r="BI655" s="152">
        <f>IF(N655="nulová",J655,0)</f>
        <v>0</v>
      </c>
      <c r="BJ655" s="19" t="s">
        <v>85</v>
      </c>
      <c r="BK655" s="152">
        <f>ROUND(I655*H655,2)</f>
        <v>0</v>
      </c>
      <c r="BL655" s="19" t="s">
        <v>237</v>
      </c>
      <c r="BM655" s="151" t="s">
        <v>3678</v>
      </c>
    </row>
    <row r="656" spans="1:65" s="2" customFormat="1">
      <c r="A656" s="34"/>
      <c r="B656" s="35"/>
      <c r="C656" s="34"/>
      <c r="D656" s="153" t="s">
        <v>187</v>
      </c>
      <c r="E656" s="34"/>
      <c r="F656" s="154" t="s">
        <v>3679</v>
      </c>
      <c r="G656" s="34"/>
      <c r="H656" s="34"/>
      <c r="I656" s="155"/>
      <c r="J656" s="34"/>
      <c r="K656" s="34"/>
      <c r="L656" s="35"/>
      <c r="M656" s="156"/>
      <c r="N656" s="157"/>
      <c r="O656" s="55"/>
      <c r="P656" s="55"/>
      <c r="Q656" s="55"/>
      <c r="R656" s="55"/>
      <c r="S656" s="55"/>
      <c r="T656" s="56"/>
      <c r="U656" s="34"/>
      <c r="V656" s="34"/>
      <c r="W656" s="34"/>
      <c r="X656" s="34"/>
      <c r="Y656" s="34"/>
      <c r="Z656" s="34"/>
      <c r="AA656" s="34"/>
      <c r="AB656" s="34"/>
      <c r="AC656" s="34"/>
      <c r="AD656" s="34"/>
      <c r="AE656" s="34"/>
      <c r="AT656" s="19" t="s">
        <v>187</v>
      </c>
      <c r="AU656" s="19" t="s">
        <v>87</v>
      </c>
    </row>
    <row r="657" spans="1:65" s="2" customFormat="1">
      <c r="A657" s="34"/>
      <c r="B657" s="35"/>
      <c r="C657" s="34"/>
      <c r="D657" s="158" t="s">
        <v>189</v>
      </c>
      <c r="E657" s="34"/>
      <c r="F657" s="159" t="s">
        <v>3680</v>
      </c>
      <c r="G657" s="34"/>
      <c r="H657" s="34"/>
      <c r="I657" s="155"/>
      <c r="J657" s="34"/>
      <c r="K657" s="34"/>
      <c r="L657" s="35"/>
      <c r="M657" s="156"/>
      <c r="N657" s="157"/>
      <c r="O657" s="55"/>
      <c r="P657" s="55"/>
      <c r="Q657" s="55"/>
      <c r="R657" s="55"/>
      <c r="S657" s="55"/>
      <c r="T657" s="56"/>
      <c r="U657" s="34"/>
      <c r="V657" s="34"/>
      <c r="W657" s="34"/>
      <c r="X657" s="34"/>
      <c r="Y657" s="34"/>
      <c r="Z657" s="34"/>
      <c r="AA657" s="34"/>
      <c r="AB657" s="34"/>
      <c r="AC657" s="34"/>
      <c r="AD657" s="34"/>
      <c r="AE657" s="34"/>
      <c r="AT657" s="19" t="s">
        <v>189</v>
      </c>
      <c r="AU657" s="19" t="s">
        <v>87</v>
      </c>
    </row>
    <row r="658" spans="1:65" s="2" customFormat="1" ht="29.25">
      <c r="A658" s="34"/>
      <c r="B658" s="35"/>
      <c r="C658" s="34"/>
      <c r="D658" s="153" t="s">
        <v>191</v>
      </c>
      <c r="E658" s="34"/>
      <c r="F658" s="160" t="s">
        <v>3681</v>
      </c>
      <c r="G658" s="34"/>
      <c r="H658" s="34"/>
      <c r="I658" s="155"/>
      <c r="J658" s="34"/>
      <c r="K658" s="34"/>
      <c r="L658" s="35"/>
      <c r="M658" s="156"/>
      <c r="N658" s="157"/>
      <c r="O658" s="55"/>
      <c r="P658" s="55"/>
      <c r="Q658" s="55"/>
      <c r="R658" s="55"/>
      <c r="S658" s="55"/>
      <c r="T658" s="56"/>
      <c r="U658" s="34"/>
      <c r="V658" s="34"/>
      <c r="W658" s="34"/>
      <c r="X658" s="34"/>
      <c r="Y658" s="34"/>
      <c r="Z658" s="34"/>
      <c r="AA658" s="34"/>
      <c r="AB658" s="34"/>
      <c r="AC658" s="34"/>
      <c r="AD658" s="34"/>
      <c r="AE658" s="34"/>
      <c r="AT658" s="19" t="s">
        <v>191</v>
      </c>
      <c r="AU658" s="19" t="s">
        <v>87</v>
      </c>
    </row>
    <row r="659" spans="1:65" s="13" customFormat="1">
      <c r="B659" s="161"/>
      <c r="D659" s="153" t="s">
        <v>193</v>
      </c>
      <c r="E659" s="162" t="s">
        <v>3</v>
      </c>
      <c r="F659" s="163" t="s">
        <v>3682</v>
      </c>
      <c r="H659" s="164">
        <v>50.67</v>
      </c>
      <c r="I659" s="165"/>
      <c r="L659" s="161"/>
      <c r="M659" s="166"/>
      <c r="N659" s="167"/>
      <c r="O659" s="167"/>
      <c r="P659" s="167"/>
      <c r="Q659" s="167"/>
      <c r="R659" s="167"/>
      <c r="S659" s="167"/>
      <c r="T659" s="168"/>
      <c r="AT659" s="162" t="s">
        <v>193</v>
      </c>
      <c r="AU659" s="162" t="s">
        <v>87</v>
      </c>
      <c r="AV659" s="13" t="s">
        <v>87</v>
      </c>
      <c r="AW659" s="13" t="s">
        <v>36</v>
      </c>
      <c r="AX659" s="13" t="s">
        <v>77</v>
      </c>
      <c r="AY659" s="162" t="s">
        <v>177</v>
      </c>
    </row>
    <row r="660" spans="1:65" s="13" customFormat="1">
      <c r="B660" s="161"/>
      <c r="D660" s="153" t="s">
        <v>193</v>
      </c>
      <c r="E660" s="162" t="s">
        <v>3</v>
      </c>
      <c r="F660" s="163" t="s">
        <v>2262</v>
      </c>
      <c r="H660" s="164">
        <v>34.56</v>
      </c>
      <c r="I660" s="165"/>
      <c r="L660" s="161"/>
      <c r="M660" s="166"/>
      <c r="N660" s="167"/>
      <c r="O660" s="167"/>
      <c r="P660" s="167"/>
      <c r="Q660" s="167"/>
      <c r="R660" s="167"/>
      <c r="S660" s="167"/>
      <c r="T660" s="168"/>
      <c r="AT660" s="162" t="s">
        <v>193</v>
      </c>
      <c r="AU660" s="162" t="s">
        <v>87</v>
      </c>
      <c r="AV660" s="13" t="s">
        <v>87</v>
      </c>
      <c r="AW660" s="13" t="s">
        <v>36</v>
      </c>
      <c r="AX660" s="13" t="s">
        <v>77</v>
      </c>
      <c r="AY660" s="162" t="s">
        <v>177</v>
      </c>
    </row>
    <row r="661" spans="1:65" s="13" customFormat="1">
      <c r="B661" s="161"/>
      <c r="D661" s="153" t="s">
        <v>193</v>
      </c>
      <c r="E661" s="162" t="s">
        <v>3</v>
      </c>
      <c r="F661" s="163" t="s">
        <v>3683</v>
      </c>
      <c r="H661" s="164">
        <v>14.472</v>
      </c>
      <c r="I661" s="165"/>
      <c r="L661" s="161"/>
      <c r="M661" s="166"/>
      <c r="N661" s="167"/>
      <c r="O661" s="167"/>
      <c r="P661" s="167"/>
      <c r="Q661" s="167"/>
      <c r="R661" s="167"/>
      <c r="S661" s="167"/>
      <c r="T661" s="168"/>
      <c r="AT661" s="162" t="s">
        <v>193</v>
      </c>
      <c r="AU661" s="162" t="s">
        <v>87</v>
      </c>
      <c r="AV661" s="13" t="s">
        <v>87</v>
      </c>
      <c r="AW661" s="13" t="s">
        <v>36</v>
      </c>
      <c r="AX661" s="13" t="s">
        <v>77</v>
      </c>
      <c r="AY661" s="162" t="s">
        <v>177</v>
      </c>
    </row>
    <row r="662" spans="1:65" s="13" customFormat="1">
      <c r="B662" s="161"/>
      <c r="D662" s="153" t="s">
        <v>193</v>
      </c>
      <c r="E662" s="162" t="s">
        <v>3</v>
      </c>
      <c r="F662" s="163" t="s">
        <v>3684</v>
      </c>
      <c r="H662" s="164">
        <v>15.84</v>
      </c>
      <c r="I662" s="165"/>
      <c r="L662" s="161"/>
      <c r="M662" s="166"/>
      <c r="N662" s="167"/>
      <c r="O662" s="167"/>
      <c r="P662" s="167"/>
      <c r="Q662" s="167"/>
      <c r="R662" s="167"/>
      <c r="S662" s="167"/>
      <c r="T662" s="168"/>
      <c r="AT662" s="162" t="s">
        <v>193</v>
      </c>
      <c r="AU662" s="162" t="s">
        <v>87</v>
      </c>
      <c r="AV662" s="13" t="s">
        <v>87</v>
      </c>
      <c r="AW662" s="13" t="s">
        <v>36</v>
      </c>
      <c r="AX662" s="13" t="s">
        <v>77</v>
      </c>
      <c r="AY662" s="162" t="s">
        <v>177</v>
      </c>
    </row>
    <row r="663" spans="1:65" s="16" customFormat="1">
      <c r="B663" s="184"/>
      <c r="D663" s="153" t="s">
        <v>193</v>
      </c>
      <c r="E663" s="185" t="s">
        <v>3</v>
      </c>
      <c r="F663" s="186" t="s">
        <v>201</v>
      </c>
      <c r="H663" s="187">
        <v>115.542</v>
      </c>
      <c r="I663" s="188"/>
      <c r="L663" s="184"/>
      <c r="M663" s="189"/>
      <c r="N663" s="190"/>
      <c r="O663" s="190"/>
      <c r="P663" s="190"/>
      <c r="Q663" s="190"/>
      <c r="R663" s="190"/>
      <c r="S663" s="190"/>
      <c r="T663" s="191"/>
      <c r="AT663" s="185" t="s">
        <v>193</v>
      </c>
      <c r="AU663" s="185" t="s">
        <v>87</v>
      </c>
      <c r="AV663" s="16" t="s">
        <v>185</v>
      </c>
      <c r="AW663" s="16" t="s">
        <v>36</v>
      </c>
      <c r="AX663" s="16" t="s">
        <v>85</v>
      </c>
      <c r="AY663" s="185" t="s">
        <v>177</v>
      </c>
    </row>
    <row r="664" spans="1:65" s="2" customFormat="1" ht="16.5" customHeight="1">
      <c r="A664" s="34"/>
      <c r="B664" s="139"/>
      <c r="C664" s="195" t="s">
        <v>2827</v>
      </c>
      <c r="D664" s="195" t="s">
        <v>484</v>
      </c>
      <c r="E664" s="196" t="s">
        <v>3685</v>
      </c>
      <c r="F664" s="197" t="s">
        <v>3686</v>
      </c>
      <c r="G664" s="198" t="s">
        <v>332</v>
      </c>
      <c r="H664" s="199">
        <v>127.096</v>
      </c>
      <c r="I664" s="200"/>
      <c r="J664" s="201">
        <f>ROUND(I664*H664,2)</f>
        <v>0</v>
      </c>
      <c r="K664" s="197" t="s">
        <v>244</v>
      </c>
      <c r="L664" s="202"/>
      <c r="M664" s="203" t="s">
        <v>3</v>
      </c>
      <c r="N664" s="204" t="s">
        <v>48</v>
      </c>
      <c r="O664" s="55"/>
      <c r="P664" s="149">
        <f>O664*H664</f>
        <v>0</v>
      </c>
      <c r="Q664" s="149">
        <v>6.8999999999999997E-4</v>
      </c>
      <c r="R664" s="149">
        <f>Q664*H664</f>
        <v>8.7696239999999995E-2</v>
      </c>
      <c r="S664" s="149">
        <v>0</v>
      </c>
      <c r="T664" s="150">
        <f>S664*H664</f>
        <v>0</v>
      </c>
      <c r="U664" s="34"/>
      <c r="V664" s="34"/>
      <c r="W664" s="34"/>
      <c r="X664" s="34"/>
      <c r="Y664" s="34"/>
      <c r="Z664" s="34"/>
      <c r="AA664" s="34"/>
      <c r="AB664" s="34"/>
      <c r="AC664" s="34"/>
      <c r="AD664" s="34"/>
      <c r="AE664" s="34"/>
      <c r="AR664" s="151" t="s">
        <v>537</v>
      </c>
      <c r="AT664" s="151" t="s">
        <v>484</v>
      </c>
      <c r="AU664" s="151" t="s">
        <v>87</v>
      </c>
      <c r="AY664" s="19" t="s">
        <v>177</v>
      </c>
      <c r="BE664" s="152">
        <f>IF(N664="základní",J664,0)</f>
        <v>0</v>
      </c>
      <c r="BF664" s="152">
        <f>IF(N664="snížená",J664,0)</f>
        <v>0</v>
      </c>
      <c r="BG664" s="152">
        <f>IF(N664="zákl. přenesená",J664,0)</f>
        <v>0</v>
      </c>
      <c r="BH664" s="152">
        <f>IF(N664="sníž. přenesená",J664,0)</f>
        <v>0</v>
      </c>
      <c r="BI664" s="152">
        <f>IF(N664="nulová",J664,0)</f>
        <v>0</v>
      </c>
      <c r="BJ664" s="19" t="s">
        <v>85</v>
      </c>
      <c r="BK664" s="152">
        <f>ROUND(I664*H664,2)</f>
        <v>0</v>
      </c>
      <c r="BL664" s="19" t="s">
        <v>237</v>
      </c>
      <c r="BM664" s="151" t="s">
        <v>3687</v>
      </c>
    </row>
    <row r="665" spans="1:65" s="2" customFormat="1">
      <c r="A665" s="34"/>
      <c r="B665" s="35"/>
      <c r="C665" s="34"/>
      <c r="D665" s="153" t="s">
        <v>187</v>
      </c>
      <c r="E665" s="34"/>
      <c r="F665" s="154" t="s">
        <v>3686</v>
      </c>
      <c r="G665" s="34"/>
      <c r="H665" s="34"/>
      <c r="I665" s="155"/>
      <c r="J665" s="34"/>
      <c r="K665" s="34"/>
      <c r="L665" s="35"/>
      <c r="M665" s="156"/>
      <c r="N665" s="157"/>
      <c r="O665" s="55"/>
      <c r="P665" s="55"/>
      <c r="Q665" s="55"/>
      <c r="R665" s="55"/>
      <c r="S665" s="55"/>
      <c r="T665" s="56"/>
      <c r="U665" s="34"/>
      <c r="V665" s="34"/>
      <c r="W665" s="34"/>
      <c r="X665" s="34"/>
      <c r="Y665" s="34"/>
      <c r="Z665" s="34"/>
      <c r="AA665" s="34"/>
      <c r="AB665" s="34"/>
      <c r="AC665" s="34"/>
      <c r="AD665" s="34"/>
      <c r="AE665" s="34"/>
      <c r="AT665" s="19" t="s">
        <v>187</v>
      </c>
      <c r="AU665" s="19" t="s">
        <v>87</v>
      </c>
    </row>
    <row r="666" spans="1:65" s="13" customFormat="1">
      <c r="B666" s="161"/>
      <c r="D666" s="153" t="s">
        <v>193</v>
      </c>
      <c r="F666" s="163" t="s">
        <v>3688</v>
      </c>
      <c r="H666" s="164">
        <v>127.096</v>
      </c>
      <c r="I666" s="165"/>
      <c r="L666" s="161"/>
      <c r="M666" s="166"/>
      <c r="N666" s="167"/>
      <c r="O666" s="167"/>
      <c r="P666" s="167"/>
      <c r="Q666" s="167"/>
      <c r="R666" s="167"/>
      <c r="S666" s="167"/>
      <c r="T666" s="168"/>
      <c r="AT666" s="162" t="s">
        <v>193</v>
      </c>
      <c r="AU666" s="162" t="s">
        <v>87</v>
      </c>
      <c r="AV666" s="13" t="s">
        <v>87</v>
      </c>
      <c r="AW666" s="13" t="s">
        <v>4</v>
      </c>
      <c r="AX666" s="13" t="s">
        <v>85</v>
      </c>
      <c r="AY666" s="162" t="s">
        <v>177</v>
      </c>
    </row>
    <row r="667" spans="1:65" s="2" customFormat="1" ht="16.5" customHeight="1">
      <c r="A667" s="34"/>
      <c r="B667" s="139"/>
      <c r="C667" s="140" t="s">
        <v>2829</v>
      </c>
      <c r="D667" s="140" t="s">
        <v>180</v>
      </c>
      <c r="E667" s="141" t="s">
        <v>3689</v>
      </c>
      <c r="F667" s="142" t="s">
        <v>3690</v>
      </c>
      <c r="G667" s="143" t="s">
        <v>183</v>
      </c>
      <c r="H667" s="144">
        <v>8.7999999999999995E-2</v>
      </c>
      <c r="I667" s="145"/>
      <c r="J667" s="146">
        <f>ROUND(I667*H667,2)</f>
        <v>0</v>
      </c>
      <c r="K667" s="142" t="s">
        <v>184</v>
      </c>
      <c r="L667" s="35"/>
      <c r="M667" s="147" t="s">
        <v>3</v>
      </c>
      <c r="N667" s="148" t="s">
        <v>48</v>
      </c>
      <c r="O667" s="55"/>
      <c r="P667" s="149">
        <f>O667*H667</f>
        <v>0</v>
      </c>
      <c r="Q667" s="149">
        <v>0</v>
      </c>
      <c r="R667" s="149">
        <f>Q667*H667</f>
        <v>0</v>
      </c>
      <c r="S667" s="149">
        <v>0</v>
      </c>
      <c r="T667" s="150">
        <f>S667*H667</f>
        <v>0</v>
      </c>
      <c r="U667" s="34"/>
      <c r="V667" s="34"/>
      <c r="W667" s="34"/>
      <c r="X667" s="34"/>
      <c r="Y667" s="34"/>
      <c r="Z667" s="34"/>
      <c r="AA667" s="34"/>
      <c r="AB667" s="34"/>
      <c r="AC667" s="34"/>
      <c r="AD667" s="34"/>
      <c r="AE667" s="34"/>
      <c r="AR667" s="151" t="s">
        <v>237</v>
      </c>
      <c r="AT667" s="151" t="s">
        <v>180</v>
      </c>
      <c r="AU667" s="151" t="s">
        <v>87</v>
      </c>
      <c r="AY667" s="19" t="s">
        <v>177</v>
      </c>
      <c r="BE667" s="152">
        <f>IF(N667="základní",J667,0)</f>
        <v>0</v>
      </c>
      <c r="BF667" s="152">
        <f>IF(N667="snížená",J667,0)</f>
        <v>0</v>
      </c>
      <c r="BG667" s="152">
        <f>IF(N667="zákl. přenesená",J667,0)</f>
        <v>0</v>
      </c>
      <c r="BH667" s="152">
        <f>IF(N667="sníž. přenesená",J667,0)</f>
        <v>0</v>
      </c>
      <c r="BI667" s="152">
        <f>IF(N667="nulová",J667,0)</f>
        <v>0</v>
      </c>
      <c r="BJ667" s="19" t="s">
        <v>85</v>
      </c>
      <c r="BK667" s="152">
        <f>ROUND(I667*H667,2)</f>
        <v>0</v>
      </c>
      <c r="BL667" s="19" t="s">
        <v>237</v>
      </c>
      <c r="BM667" s="151" t="s">
        <v>3691</v>
      </c>
    </row>
    <row r="668" spans="1:65" s="2" customFormat="1" ht="19.5">
      <c r="A668" s="34"/>
      <c r="B668" s="35"/>
      <c r="C668" s="34"/>
      <c r="D668" s="153" t="s">
        <v>187</v>
      </c>
      <c r="E668" s="34"/>
      <c r="F668" s="154" t="s">
        <v>3692</v>
      </c>
      <c r="G668" s="34"/>
      <c r="H668" s="34"/>
      <c r="I668" s="155"/>
      <c r="J668" s="34"/>
      <c r="K668" s="34"/>
      <c r="L668" s="35"/>
      <c r="M668" s="156"/>
      <c r="N668" s="157"/>
      <c r="O668" s="55"/>
      <c r="P668" s="55"/>
      <c r="Q668" s="55"/>
      <c r="R668" s="55"/>
      <c r="S668" s="55"/>
      <c r="T668" s="56"/>
      <c r="U668" s="34"/>
      <c r="V668" s="34"/>
      <c r="W668" s="34"/>
      <c r="X668" s="34"/>
      <c r="Y668" s="34"/>
      <c r="Z668" s="34"/>
      <c r="AA668" s="34"/>
      <c r="AB668" s="34"/>
      <c r="AC668" s="34"/>
      <c r="AD668" s="34"/>
      <c r="AE668" s="34"/>
      <c r="AT668" s="19" t="s">
        <v>187</v>
      </c>
      <c r="AU668" s="19" t="s">
        <v>87</v>
      </c>
    </row>
    <row r="669" spans="1:65" s="2" customFormat="1">
      <c r="A669" s="34"/>
      <c r="B669" s="35"/>
      <c r="C669" s="34"/>
      <c r="D669" s="158" t="s">
        <v>189</v>
      </c>
      <c r="E669" s="34"/>
      <c r="F669" s="159" t="s">
        <v>3693</v>
      </c>
      <c r="G669" s="34"/>
      <c r="H669" s="34"/>
      <c r="I669" s="155"/>
      <c r="J669" s="34"/>
      <c r="K669" s="34"/>
      <c r="L669" s="35"/>
      <c r="M669" s="156"/>
      <c r="N669" s="157"/>
      <c r="O669" s="55"/>
      <c r="P669" s="55"/>
      <c r="Q669" s="55"/>
      <c r="R669" s="55"/>
      <c r="S669" s="55"/>
      <c r="T669" s="56"/>
      <c r="U669" s="34"/>
      <c r="V669" s="34"/>
      <c r="W669" s="34"/>
      <c r="X669" s="34"/>
      <c r="Y669" s="34"/>
      <c r="Z669" s="34"/>
      <c r="AA669" s="34"/>
      <c r="AB669" s="34"/>
      <c r="AC669" s="34"/>
      <c r="AD669" s="34"/>
      <c r="AE669" s="34"/>
      <c r="AT669" s="19" t="s">
        <v>189</v>
      </c>
      <c r="AU669" s="19" t="s">
        <v>87</v>
      </c>
    </row>
    <row r="670" spans="1:65" s="2" customFormat="1" ht="78">
      <c r="A670" s="34"/>
      <c r="B670" s="35"/>
      <c r="C670" s="34"/>
      <c r="D670" s="153" t="s">
        <v>191</v>
      </c>
      <c r="E670" s="34"/>
      <c r="F670" s="160" t="s">
        <v>2301</v>
      </c>
      <c r="G670" s="34"/>
      <c r="H670" s="34"/>
      <c r="I670" s="155"/>
      <c r="J670" s="34"/>
      <c r="K670" s="34"/>
      <c r="L670" s="35"/>
      <c r="M670" s="156"/>
      <c r="N670" s="157"/>
      <c r="O670" s="55"/>
      <c r="P670" s="55"/>
      <c r="Q670" s="55"/>
      <c r="R670" s="55"/>
      <c r="S670" s="55"/>
      <c r="T670" s="56"/>
      <c r="U670" s="34"/>
      <c r="V670" s="34"/>
      <c r="W670" s="34"/>
      <c r="X670" s="34"/>
      <c r="Y670" s="34"/>
      <c r="Z670" s="34"/>
      <c r="AA670" s="34"/>
      <c r="AB670" s="34"/>
      <c r="AC670" s="34"/>
      <c r="AD670" s="34"/>
      <c r="AE670" s="34"/>
      <c r="AT670" s="19" t="s">
        <v>191</v>
      </c>
      <c r="AU670" s="19" t="s">
        <v>87</v>
      </c>
    </row>
    <row r="671" spans="1:65" s="2" customFormat="1" ht="16.5" customHeight="1">
      <c r="A671" s="34"/>
      <c r="B671" s="139"/>
      <c r="C671" s="140" t="s">
        <v>2835</v>
      </c>
      <c r="D671" s="140" t="s">
        <v>180</v>
      </c>
      <c r="E671" s="141" t="s">
        <v>3694</v>
      </c>
      <c r="F671" s="142" t="s">
        <v>3695</v>
      </c>
      <c r="G671" s="143" t="s">
        <v>183</v>
      </c>
      <c r="H671" s="144">
        <v>8.7999999999999995E-2</v>
      </c>
      <c r="I671" s="145"/>
      <c r="J671" s="146">
        <f>ROUND(I671*H671,2)</f>
        <v>0</v>
      </c>
      <c r="K671" s="142" t="s">
        <v>184</v>
      </c>
      <c r="L671" s="35"/>
      <c r="M671" s="147" t="s">
        <v>3</v>
      </c>
      <c r="N671" s="148" t="s">
        <v>48</v>
      </c>
      <c r="O671" s="55"/>
      <c r="P671" s="149">
        <f>O671*H671</f>
        <v>0</v>
      </c>
      <c r="Q671" s="149">
        <v>0</v>
      </c>
      <c r="R671" s="149">
        <f>Q671*H671</f>
        <v>0</v>
      </c>
      <c r="S671" s="149">
        <v>0</v>
      </c>
      <c r="T671" s="150">
        <f>S671*H671</f>
        <v>0</v>
      </c>
      <c r="U671" s="34"/>
      <c r="V671" s="34"/>
      <c r="W671" s="34"/>
      <c r="X671" s="34"/>
      <c r="Y671" s="34"/>
      <c r="Z671" s="34"/>
      <c r="AA671" s="34"/>
      <c r="AB671" s="34"/>
      <c r="AC671" s="34"/>
      <c r="AD671" s="34"/>
      <c r="AE671" s="34"/>
      <c r="AR671" s="151" t="s">
        <v>237</v>
      </c>
      <c r="AT671" s="151" t="s">
        <v>180</v>
      </c>
      <c r="AU671" s="151" t="s">
        <v>87</v>
      </c>
      <c r="AY671" s="19" t="s">
        <v>177</v>
      </c>
      <c r="BE671" s="152">
        <f>IF(N671="základní",J671,0)</f>
        <v>0</v>
      </c>
      <c r="BF671" s="152">
        <f>IF(N671="snížená",J671,0)</f>
        <v>0</v>
      </c>
      <c r="BG671" s="152">
        <f>IF(N671="zákl. přenesená",J671,0)</f>
        <v>0</v>
      </c>
      <c r="BH671" s="152">
        <f>IF(N671="sníž. přenesená",J671,0)</f>
        <v>0</v>
      </c>
      <c r="BI671" s="152">
        <f>IF(N671="nulová",J671,0)</f>
        <v>0</v>
      </c>
      <c r="BJ671" s="19" t="s">
        <v>85</v>
      </c>
      <c r="BK671" s="152">
        <f>ROUND(I671*H671,2)</f>
        <v>0</v>
      </c>
      <c r="BL671" s="19" t="s">
        <v>237</v>
      </c>
      <c r="BM671" s="151" t="s">
        <v>3696</v>
      </c>
    </row>
    <row r="672" spans="1:65" s="2" customFormat="1" ht="19.5">
      <c r="A672" s="34"/>
      <c r="B672" s="35"/>
      <c r="C672" s="34"/>
      <c r="D672" s="153" t="s">
        <v>187</v>
      </c>
      <c r="E672" s="34"/>
      <c r="F672" s="154" t="s">
        <v>3697</v>
      </c>
      <c r="G672" s="34"/>
      <c r="H672" s="34"/>
      <c r="I672" s="155"/>
      <c r="J672" s="34"/>
      <c r="K672" s="34"/>
      <c r="L672" s="35"/>
      <c r="M672" s="156"/>
      <c r="N672" s="157"/>
      <c r="O672" s="55"/>
      <c r="P672" s="55"/>
      <c r="Q672" s="55"/>
      <c r="R672" s="55"/>
      <c r="S672" s="55"/>
      <c r="T672" s="56"/>
      <c r="U672" s="34"/>
      <c r="V672" s="34"/>
      <c r="W672" s="34"/>
      <c r="X672" s="34"/>
      <c r="Y672" s="34"/>
      <c r="Z672" s="34"/>
      <c r="AA672" s="34"/>
      <c r="AB672" s="34"/>
      <c r="AC672" s="34"/>
      <c r="AD672" s="34"/>
      <c r="AE672" s="34"/>
      <c r="AT672" s="19" t="s">
        <v>187</v>
      </c>
      <c r="AU672" s="19" t="s">
        <v>87</v>
      </c>
    </row>
    <row r="673" spans="1:65" s="2" customFormat="1">
      <c r="A673" s="34"/>
      <c r="B673" s="35"/>
      <c r="C673" s="34"/>
      <c r="D673" s="158" t="s">
        <v>189</v>
      </c>
      <c r="E673" s="34"/>
      <c r="F673" s="159" t="s">
        <v>3698</v>
      </c>
      <c r="G673" s="34"/>
      <c r="H673" s="34"/>
      <c r="I673" s="155"/>
      <c r="J673" s="34"/>
      <c r="K673" s="34"/>
      <c r="L673" s="35"/>
      <c r="M673" s="156"/>
      <c r="N673" s="157"/>
      <c r="O673" s="55"/>
      <c r="P673" s="55"/>
      <c r="Q673" s="55"/>
      <c r="R673" s="55"/>
      <c r="S673" s="55"/>
      <c r="T673" s="56"/>
      <c r="U673" s="34"/>
      <c r="V673" s="34"/>
      <c r="W673" s="34"/>
      <c r="X673" s="34"/>
      <c r="Y673" s="34"/>
      <c r="Z673" s="34"/>
      <c r="AA673" s="34"/>
      <c r="AB673" s="34"/>
      <c r="AC673" s="34"/>
      <c r="AD673" s="34"/>
      <c r="AE673" s="34"/>
      <c r="AT673" s="19" t="s">
        <v>189</v>
      </c>
      <c r="AU673" s="19" t="s">
        <v>87</v>
      </c>
    </row>
    <row r="674" spans="1:65" s="2" customFormat="1" ht="78">
      <c r="A674" s="34"/>
      <c r="B674" s="35"/>
      <c r="C674" s="34"/>
      <c r="D674" s="153" t="s">
        <v>191</v>
      </c>
      <c r="E674" s="34"/>
      <c r="F674" s="160" t="s">
        <v>2301</v>
      </c>
      <c r="G674" s="34"/>
      <c r="H674" s="34"/>
      <c r="I674" s="155"/>
      <c r="J674" s="34"/>
      <c r="K674" s="34"/>
      <c r="L674" s="35"/>
      <c r="M674" s="156"/>
      <c r="N674" s="157"/>
      <c r="O674" s="55"/>
      <c r="P674" s="55"/>
      <c r="Q674" s="55"/>
      <c r="R674" s="55"/>
      <c r="S674" s="55"/>
      <c r="T674" s="56"/>
      <c r="U674" s="34"/>
      <c r="V674" s="34"/>
      <c r="W674" s="34"/>
      <c r="X674" s="34"/>
      <c r="Y674" s="34"/>
      <c r="Z674" s="34"/>
      <c r="AA674" s="34"/>
      <c r="AB674" s="34"/>
      <c r="AC674" s="34"/>
      <c r="AD674" s="34"/>
      <c r="AE674" s="34"/>
      <c r="AT674" s="19" t="s">
        <v>191</v>
      </c>
      <c r="AU674" s="19" t="s">
        <v>87</v>
      </c>
    </row>
    <row r="675" spans="1:65" s="12" customFormat="1" ht="25.9" customHeight="1">
      <c r="B675" s="126"/>
      <c r="D675" s="127" t="s">
        <v>76</v>
      </c>
      <c r="E675" s="128" t="s">
        <v>484</v>
      </c>
      <c r="F675" s="128" t="s">
        <v>3699</v>
      </c>
      <c r="I675" s="129"/>
      <c r="J675" s="130">
        <f>BK675</f>
        <v>0</v>
      </c>
      <c r="L675" s="126"/>
      <c r="M675" s="131"/>
      <c r="N675" s="132"/>
      <c r="O675" s="132"/>
      <c r="P675" s="133">
        <f>P676</f>
        <v>0</v>
      </c>
      <c r="Q675" s="132"/>
      <c r="R675" s="133">
        <f>R676</f>
        <v>0</v>
      </c>
      <c r="S675" s="132"/>
      <c r="T675" s="134">
        <f>T676</f>
        <v>0</v>
      </c>
      <c r="AR675" s="127" t="s">
        <v>198</v>
      </c>
      <c r="AT675" s="135" t="s">
        <v>76</v>
      </c>
      <c r="AU675" s="135" t="s">
        <v>77</v>
      </c>
      <c r="AY675" s="127" t="s">
        <v>177</v>
      </c>
      <c r="BK675" s="136">
        <f>BK676</f>
        <v>0</v>
      </c>
    </row>
    <row r="676" spans="1:65" s="12" customFormat="1" ht="22.9" customHeight="1">
      <c r="B676" s="126"/>
      <c r="D676" s="127" t="s">
        <v>76</v>
      </c>
      <c r="E676" s="137" t="s">
        <v>3700</v>
      </c>
      <c r="F676" s="137" t="s">
        <v>3701</v>
      </c>
      <c r="I676" s="129"/>
      <c r="J676" s="138">
        <f>BK676</f>
        <v>0</v>
      </c>
      <c r="L676" s="126"/>
      <c r="M676" s="131"/>
      <c r="N676" s="132"/>
      <c r="O676" s="132"/>
      <c r="P676" s="133">
        <f>SUM(P677:P678)</f>
        <v>0</v>
      </c>
      <c r="Q676" s="132"/>
      <c r="R676" s="133">
        <f>SUM(R677:R678)</f>
        <v>0</v>
      </c>
      <c r="S676" s="132"/>
      <c r="T676" s="134">
        <f>SUM(T677:T678)</f>
        <v>0</v>
      </c>
      <c r="AR676" s="127" t="s">
        <v>198</v>
      </c>
      <c r="AT676" s="135" t="s">
        <v>76</v>
      </c>
      <c r="AU676" s="135" t="s">
        <v>85</v>
      </c>
      <c r="AY676" s="127" t="s">
        <v>177</v>
      </c>
      <c r="BK676" s="136">
        <f>SUM(BK677:BK678)</f>
        <v>0</v>
      </c>
    </row>
    <row r="677" spans="1:65" s="2" customFormat="1" ht="16.5" customHeight="1">
      <c r="A677" s="34"/>
      <c r="B677" s="139"/>
      <c r="C677" s="140" t="s">
        <v>2841</v>
      </c>
      <c r="D677" s="140" t="s">
        <v>180</v>
      </c>
      <c r="E677" s="141" t="s">
        <v>249</v>
      </c>
      <c r="F677" s="142" t="s">
        <v>3702</v>
      </c>
      <c r="G677" s="143" t="s">
        <v>243</v>
      </c>
      <c r="H677" s="144">
        <v>1</v>
      </c>
      <c r="I677" s="145"/>
      <c r="J677" s="146">
        <f>ROUND(I677*H677,2)</f>
        <v>0</v>
      </c>
      <c r="K677" s="142" t="s">
        <v>244</v>
      </c>
      <c r="L677" s="35"/>
      <c r="M677" s="147" t="s">
        <v>3</v>
      </c>
      <c r="N677" s="148" t="s">
        <v>48</v>
      </c>
      <c r="O677" s="55"/>
      <c r="P677" s="149">
        <f>O677*H677</f>
        <v>0</v>
      </c>
      <c r="Q677" s="149">
        <v>0</v>
      </c>
      <c r="R677" s="149">
        <f>Q677*H677</f>
        <v>0</v>
      </c>
      <c r="S677" s="149">
        <v>0</v>
      </c>
      <c r="T677" s="150">
        <f>S677*H677</f>
        <v>0</v>
      </c>
      <c r="U677" s="34"/>
      <c r="V677" s="34"/>
      <c r="W677" s="34"/>
      <c r="X677" s="34"/>
      <c r="Y677" s="34"/>
      <c r="Z677" s="34"/>
      <c r="AA677" s="34"/>
      <c r="AB677" s="34"/>
      <c r="AC677" s="34"/>
      <c r="AD677" s="34"/>
      <c r="AE677" s="34"/>
      <c r="AR677" s="151" t="s">
        <v>1231</v>
      </c>
      <c r="AT677" s="151" t="s">
        <v>180</v>
      </c>
      <c r="AU677" s="151" t="s">
        <v>87</v>
      </c>
      <c r="AY677" s="19" t="s">
        <v>177</v>
      </c>
      <c r="BE677" s="152">
        <f>IF(N677="základní",J677,0)</f>
        <v>0</v>
      </c>
      <c r="BF677" s="152">
        <f>IF(N677="snížená",J677,0)</f>
        <v>0</v>
      </c>
      <c r="BG677" s="152">
        <f>IF(N677="zákl. přenesená",J677,0)</f>
        <v>0</v>
      </c>
      <c r="BH677" s="152">
        <f>IF(N677="sníž. přenesená",J677,0)</f>
        <v>0</v>
      </c>
      <c r="BI677" s="152">
        <f>IF(N677="nulová",J677,0)</f>
        <v>0</v>
      </c>
      <c r="BJ677" s="19" t="s">
        <v>85</v>
      </c>
      <c r="BK677" s="152">
        <f>ROUND(I677*H677,2)</f>
        <v>0</v>
      </c>
      <c r="BL677" s="19" t="s">
        <v>1231</v>
      </c>
      <c r="BM677" s="151" t="s">
        <v>3703</v>
      </c>
    </row>
    <row r="678" spans="1:65" s="2" customFormat="1">
      <c r="A678" s="34"/>
      <c r="B678" s="35"/>
      <c r="C678" s="34"/>
      <c r="D678" s="153" t="s">
        <v>187</v>
      </c>
      <c r="E678" s="34"/>
      <c r="F678" s="154" t="s">
        <v>3702</v>
      </c>
      <c r="G678" s="34"/>
      <c r="H678" s="34"/>
      <c r="I678" s="155"/>
      <c r="J678" s="34"/>
      <c r="K678" s="34"/>
      <c r="L678" s="35"/>
      <c r="M678" s="156"/>
      <c r="N678" s="157"/>
      <c r="O678" s="55"/>
      <c r="P678" s="55"/>
      <c r="Q678" s="55"/>
      <c r="R678" s="55"/>
      <c r="S678" s="55"/>
      <c r="T678" s="56"/>
      <c r="U678" s="34"/>
      <c r="V678" s="34"/>
      <c r="W678" s="34"/>
      <c r="X678" s="34"/>
      <c r="Y678" s="34"/>
      <c r="Z678" s="34"/>
      <c r="AA678" s="34"/>
      <c r="AB678" s="34"/>
      <c r="AC678" s="34"/>
      <c r="AD678" s="34"/>
      <c r="AE678" s="34"/>
      <c r="AT678" s="19" t="s">
        <v>187</v>
      </c>
      <c r="AU678" s="19" t="s">
        <v>87</v>
      </c>
    </row>
    <row r="679" spans="1:65" s="12" customFormat="1" ht="25.9" customHeight="1">
      <c r="B679" s="126"/>
      <c r="D679" s="127" t="s">
        <v>76</v>
      </c>
      <c r="E679" s="128" t="s">
        <v>313</v>
      </c>
      <c r="F679" s="128" t="s">
        <v>314</v>
      </c>
      <c r="I679" s="129"/>
      <c r="J679" s="130">
        <f>BK679</f>
        <v>0</v>
      </c>
      <c r="L679" s="126"/>
      <c r="M679" s="131"/>
      <c r="N679" s="132"/>
      <c r="O679" s="132"/>
      <c r="P679" s="133">
        <f>SUM(P680:P684)</f>
        <v>0</v>
      </c>
      <c r="Q679" s="132"/>
      <c r="R679" s="133">
        <f>SUM(R680:R684)</f>
        <v>0</v>
      </c>
      <c r="S679" s="132"/>
      <c r="T679" s="134">
        <f>SUM(T680:T684)</f>
        <v>0</v>
      </c>
      <c r="AR679" s="127" t="s">
        <v>185</v>
      </c>
      <c r="AT679" s="135" t="s">
        <v>76</v>
      </c>
      <c r="AU679" s="135" t="s">
        <v>77</v>
      </c>
      <c r="AY679" s="127" t="s">
        <v>177</v>
      </c>
      <c r="BK679" s="136">
        <f>SUM(BK680:BK684)</f>
        <v>0</v>
      </c>
    </row>
    <row r="680" spans="1:65" s="2" customFormat="1" ht="16.5" customHeight="1">
      <c r="A680" s="34"/>
      <c r="B680" s="139"/>
      <c r="C680" s="140" t="s">
        <v>2847</v>
      </c>
      <c r="D680" s="140" t="s">
        <v>180</v>
      </c>
      <c r="E680" s="141" t="s">
        <v>528</v>
      </c>
      <c r="F680" s="142" t="s">
        <v>529</v>
      </c>
      <c r="G680" s="143" t="s">
        <v>305</v>
      </c>
      <c r="H680" s="144">
        <v>150</v>
      </c>
      <c r="I680" s="145"/>
      <c r="J680" s="146">
        <f>ROUND(I680*H680,2)</f>
        <v>0</v>
      </c>
      <c r="K680" s="142" t="s">
        <v>184</v>
      </c>
      <c r="L680" s="35"/>
      <c r="M680" s="147" t="s">
        <v>3</v>
      </c>
      <c r="N680" s="148" t="s">
        <v>48</v>
      </c>
      <c r="O680" s="55"/>
      <c r="P680" s="149">
        <f>O680*H680</f>
        <v>0</v>
      </c>
      <c r="Q680" s="149">
        <v>0</v>
      </c>
      <c r="R680" s="149">
        <f>Q680*H680</f>
        <v>0</v>
      </c>
      <c r="S680" s="149">
        <v>0</v>
      </c>
      <c r="T680" s="150">
        <f>S680*H680</f>
        <v>0</v>
      </c>
      <c r="U680" s="34"/>
      <c r="V680" s="34"/>
      <c r="W680" s="34"/>
      <c r="X680" s="34"/>
      <c r="Y680" s="34"/>
      <c r="Z680" s="34"/>
      <c r="AA680" s="34"/>
      <c r="AB680" s="34"/>
      <c r="AC680" s="34"/>
      <c r="AD680" s="34"/>
      <c r="AE680" s="34"/>
      <c r="AR680" s="151" t="s">
        <v>318</v>
      </c>
      <c r="AT680" s="151" t="s">
        <v>180</v>
      </c>
      <c r="AU680" s="151" t="s">
        <v>85</v>
      </c>
      <c r="AY680" s="19" t="s">
        <v>177</v>
      </c>
      <c r="BE680" s="152">
        <f>IF(N680="základní",J680,0)</f>
        <v>0</v>
      </c>
      <c r="BF680" s="152">
        <f>IF(N680="snížená",J680,0)</f>
        <v>0</v>
      </c>
      <c r="BG680" s="152">
        <f>IF(N680="zákl. přenesená",J680,0)</f>
        <v>0</v>
      </c>
      <c r="BH680" s="152">
        <f>IF(N680="sníž. přenesená",J680,0)</f>
        <v>0</v>
      </c>
      <c r="BI680" s="152">
        <f>IF(N680="nulová",J680,0)</f>
        <v>0</v>
      </c>
      <c r="BJ680" s="19" t="s">
        <v>85</v>
      </c>
      <c r="BK680" s="152">
        <f>ROUND(I680*H680,2)</f>
        <v>0</v>
      </c>
      <c r="BL680" s="19" t="s">
        <v>318</v>
      </c>
      <c r="BM680" s="151" t="s">
        <v>3704</v>
      </c>
    </row>
    <row r="681" spans="1:65" s="2" customFormat="1">
      <c r="A681" s="34"/>
      <c r="B681" s="35"/>
      <c r="C681" s="34"/>
      <c r="D681" s="153" t="s">
        <v>187</v>
      </c>
      <c r="E681" s="34"/>
      <c r="F681" s="154" t="s">
        <v>531</v>
      </c>
      <c r="G681" s="34"/>
      <c r="H681" s="34"/>
      <c r="I681" s="155"/>
      <c r="J681" s="34"/>
      <c r="K681" s="34"/>
      <c r="L681" s="35"/>
      <c r="M681" s="156"/>
      <c r="N681" s="157"/>
      <c r="O681" s="55"/>
      <c r="P681" s="55"/>
      <c r="Q681" s="55"/>
      <c r="R681" s="55"/>
      <c r="S681" s="55"/>
      <c r="T681" s="56"/>
      <c r="U681" s="34"/>
      <c r="V681" s="34"/>
      <c r="W681" s="34"/>
      <c r="X681" s="34"/>
      <c r="Y681" s="34"/>
      <c r="Z681" s="34"/>
      <c r="AA681" s="34"/>
      <c r="AB681" s="34"/>
      <c r="AC681" s="34"/>
      <c r="AD681" s="34"/>
      <c r="AE681" s="34"/>
      <c r="AT681" s="19" t="s">
        <v>187</v>
      </c>
      <c r="AU681" s="19" t="s">
        <v>85</v>
      </c>
    </row>
    <row r="682" spans="1:65" s="2" customFormat="1">
      <c r="A682" s="34"/>
      <c r="B682" s="35"/>
      <c r="C682" s="34"/>
      <c r="D682" s="158" t="s">
        <v>189</v>
      </c>
      <c r="E682" s="34"/>
      <c r="F682" s="159" t="s">
        <v>532</v>
      </c>
      <c r="G682" s="34"/>
      <c r="H682" s="34"/>
      <c r="I682" s="155"/>
      <c r="J682" s="34"/>
      <c r="K682" s="34"/>
      <c r="L682" s="35"/>
      <c r="M682" s="156"/>
      <c r="N682" s="157"/>
      <c r="O682" s="55"/>
      <c r="P682" s="55"/>
      <c r="Q682" s="55"/>
      <c r="R682" s="55"/>
      <c r="S682" s="55"/>
      <c r="T682" s="56"/>
      <c r="U682" s="34"/>
      <c r="V682" s="34"/>
      <c r="W682" s="34"/>
      <c r="X682" s="34"/>
      <c r="Y682" s="34"/>
      <c r="Z682" s="34"/>
      <c r="AA682" s="34"/>
      <c r="AB682" s="34"/>
      <c r="AC682" s="34"/>
      <c r="AD682" s="34"/>
      <c r="AE682" s="34"/>
      <c r="AT682" s="19" t="s">
        <v>189</v>
      </c>
      <c r="AU682" s="19" t="s">
        <v>85</v>
      </c>
    </row>
    <row r="683" spans="1:65" s="14" customFormat="1">
      <c r="B683" s="169"/>
      <c r="D683" s="153" t="s">
        <v>193</v>
      </c>
      <c r="E683" s="170" t="s">
        <v>3</v>
      </c>
      <c r="F683" s="171" t="s">
        <v>3705</v>
      </c>
      <c r="H683" s="170" t="s">
        <v>3</v>
      </c>
      <c r="I683" s="172"/>
      <c r="L683" s="169"/>
      <c r="M683" s="173"/>
      <c r="N683" s="174"/>
      <c r="O683" s="174"/>
      <c r="P683" s="174"/>
      <c r="Q683" s="174"/>
      <c r="R683" s="174"/>
      <c r="S683" s="174"/>
      <c r="T683" s="175"/>
      <c r="AT683" s="170" t="s">
        <v>193</v>
      </c>
      <c r="AU683" s="170" t="s">
        <v>85</v>
      </c>
      <c r="AV683" s="14" t="s">
        <v>85</v>
      </c>
      <c r="AW683" s="14" t="s">
        <v>36</v>
      </c>
      <c r="AX683" s="14" t="s">
        <v>77</v>
      </c>
      <c r="AY683" s="170" t="s">
        <v>177</v>
      </c>
    </row>
    <row r="684" spans="1:65" s="13" customFormat="1">
      <c r="B684" s="161"/>
      <c r="D684" s="153" t="s">
        <v>193</v>
      </c>
      <c r="E684" s="162" t="s">
        <v>3</v>
      </c>
      <c r="F684" s="163" t="s">
        <v>3075</v>
      </c>
      <c r="H684" s="164">
        <v>150</v>
      </c>
      <c r="I684" s="165"/>
      <c r="L684" s="161"/>
      <c r="M684" s="166"/>
      <c r="N684" s="167"/>
      <c r="O684" s="167"/>
      <c r="P684" s="167"/>
      <c r="Q684" s="167"/>
      <c r="R684" s="167"/>
      <c r="S684" s="167"/>
      <c r="T684" s="168"/>
      <c r="AT684" s="162" t="s">
        <v>193</v>
      </c>
      <c r="AU684" s="162" t="s">
        <v>85</v>
      </c>
      <c r="AV684" s="13" t="s">
        <v>87</v>
      </c>
      <c r="AW684" s="13" t="s">
        <v>36</v>
      </c>
      <c r="AX684" s="13" t="s">
        <v>85</v>
      </c>
      <c r="AY684" s="162" t="s">
        <v>177</v>
      </c>
    </row>
    <row r="685" spans="1:65" s="12" customFormat="1" ht="25.9" customHeight="1">
      <c r="B685" s="126"/>
      <c r="D685" s="127" t="s">
        <v>76</v>
      </c>
      <c r="E685" s="128" t="s">
        <v>533</v>
      </c>
      <c r="F685" s="128" t="s">
        <v>534</v>
      </c>
      <c r="I685" s="129"/>
      <c r="J685" s="130">
        <f>BK685</f>
        <v>0</v>
      </c>
      <c r="L685" s="126"/>
      <c r="M685" s="131"/>
      <c r="N685" s="132"/>
      <c r="O685" s="132"/>
      <c r="P685" s="133">
        <f>P686</f>
        <v>0</v>
      </c>
      <c r="Q685" s="132"/>
      <c r="R685" s="133">
        <f>R686</f>
        <v>0</v>
      </c>
      <c r="S685" s="132"/>
      <c r="T685" s="134">
        <f>T686</f>
        <v>0</v>
      </c>
      <c r="AR685" s="127" t="s">
        <v>200</v>
      </c>
      <c r="AT685" s="135" t="s">
        <v>76</v>
      </c>
      <c r="AU685" s="135" t="s">
        <v>77</v>
      </c>
      <c r="AY685" s="127" t="s">
        <v>177</v>
      </c>
      <c r="BK685" s="136">
        <f>BK686</f>
        <v>0</v>
      </c>
    </row>
    <row r="686" spans="1:65" s="12" customFormat="1" ht="22.9" customHeight="1">
      <c r="B686" s="126"/>
      <c r="D686" s="127" t="s">
        <v>76</v>
      </c>
      <c r="E686" s="137" t="s">
        <v>535</v>
      </c>
      <c r="F686" s="137" t="s">
        <v>536</v>
      </c>
      <c r="I686" s="129"/>
      <c r="J686" s="138">
        <f>BK686</f>
        <v>0</v>
      </c>
      <c r="L686" s="126"/>
      <c r="M686" s="131"/>
      <c r="N686" s="132"/>
      <c r="O686" s="132"/>
      <c r="P686" s="133">
        <f>SUM(P687:P691)</f>
        <v>0</v>
      </c>
      <c r="Q686" s="132"/>
      <c r="R686" s="133">
        <f>SUM(R687:R691)</f>
        <v>0</v>
      </c>
      <c r="S686" s="132"/>
      <c r="T686" s="134">
        <f>SUM(T687:T691)</f>
        <v>0</v>
      </c>
      <c r="AR686" s="127" t="s">
        <v>200</v>
      </c>
      <c r="AT686" s="135" t="s">
        <v>76</v>
      </c>
      <c r="AU686" s="135" t="s">
        <v>85</v>
      </c>
      <c r="AY686" s="127" t="s">
        <v>177</v>
      </c>
      <c r="BK686" s="136">
        <f>SUM(BK687:BK691)</f>
        <v>0</v>
      </c>
    </row>
    <row r="687" spans="1:65" s="2" customFormat="1" ht="16.5" customHeight="1">
      <c r="A687" s="34"/>
      <c r="B687" s="139"/>
      <c r="C687" s="140" t="s">
        <v>2855</v>
      </c>
      <c r="D687" s="140" t="s">
        <v>180</v>
      </c>
      <c r="E687" s="141" t="s">
        <v>3706</v>
      </c>
      <c r="F687" s="142" t="s">
        <v>3707</v>
      </c>
      <c r="G687" s="143" t="s">
        <v>540</v>
      </c>
      <c r="H687" s="144">
        <v>1</v>
      </c>
      <c r="I687" s="145"/>
      <c r="J687" s="146">
        <f>ROUND(I687*H687,2)</f>
        <v>0</v>
      </c>
      <c r="K687" s="142" t="s">
        <v>184</v>
      </c>
      <c r="L687" s="35"/>
      <c r="M687" s="147" t="s">
        <v>3</v>
      </c>
      <c r="N687" s="148" t="s">
        <v>48</v>
      </c>
      <c r="O687" s="55"/>
      <c r="P687" s="149">
        <f>O687*H687</f>
        <v>0</v>
      </c>
      <c r="Q687" s="149">
        <v>0</v>
      </c>
      <c r="R687" s="149">
        <f>Q687*H687</f>
        <v>0</v>
      </c>
      <c r="S687" s="149">
        <v>0</v>
      </c>
      <c r="T687" s="150">
        <f>S687*H687</f>
        <v>0</v>
      </c>
      <c r="U687" s="34"/>
      <c r="V687" s="34"/>
      <c r="W687" s="34"/>
      <c r="X687" s="34"/>
      <c r="Y687" s="34"/>
      <c r="Z687" s="34"/>
      <c r="AA687" s="34"/>
      <c r="AB687" s="34"/>
      <c r="AC687" s="34"/>
      <c r="AD687" s="34"/>
      <c r="AE687" s="34"/>
      <c r="AR687" s="151" t="s">
        <v>541</v>
      </c>
      <c r="AT687" s="151" t="s">
        <v>180</v>
      </c>
      <c r="AU687" s="151" t="s">
        <v>87</v>
      </c>
      <c r="AY687" s="19" t="s">
        <v>177</v>
      </c>
      <c r="BE687" s="152">
        <f>IF(N687="základní",J687,0)</f>
        <v>0</v>
      </c>
      <c r="BF687" s="152">
        <f>IF(N687="snížená",J687,0)</f>
        <v>0</v>
      </c>
      <c r="BG687" s="152">
        <f>IF(N687="zákl. přenesená",J687,0)</f>
        <v>0</v>
      </c>
      <c r="BH687" s="152">
        <f>IF(N687="sníž. přenesená",J687,0)</f>
        <v>0</v>
      </c>
      <c r="BI687" s="152">
        <f>IF(N687="nulová",J687,0)</f>
        <v>0</v>
      </c>
      <c r="BJ687" s="19" t="s">
        <v>85</v>
      </c>
      <c r="BK687" s="152">
        <f>ROUND(I687*H687,2)</f>
        <v>0</v>
      </c>
      <c r="BL687" s="19" t="s">
        <v>541</v>
      </c>
      <c r="BM687" s="151" t="s">
        <v>3708</v>
      </c>
    </row>
    <row r="688" spans="1:65" s="2" customFormat="1">
      <c r="A688" s="34"/>
      <c r="B688" s="35"/>
      <c r="C688" s="34"/>
      <c r="D688" s="153" t="s">
        <v>187</v>
      </c>
      <c r="E688" s="34"/>
      <c r="F688" s="154" t="s">
        <v>3707</v>
      </c>
      <c r="G688" s="34"/>
      <c r="H688" s="34"/>
      <c r="I688" s="155"/>
      <c r="J688" s="34"/>
      <c r="K688" s="34"/>
      <c r="L688" s="35"/>
      <c r="M688" s="156"/>
      <c r="N688" s="157"/>
      <c r="O688" s="55"/>
      <c r="P688" s="55"/>
      <c r="Q688" s="55"/>
      <c r="R688" s="55"/>
      <c r="S688" s="55"/>
      <c r="T688" s="56"/>
      <c r="U688" s="34"/>
      <c r="V688" s="34"/>
      <c r="W688" s="34"/>
      <c r="X688" s="34"/>
      <c r="Y688" s="34"/>
      <c r="Z688" s="34"/>
      <c r="AA688" s="34"/>
      <c r="AB688" s="34"/>
      <c r="AC688" s="34"/>
      <c r="AD688" s="34"/>
      <c r="AE688" s="34"/>
      <c r="AT688" s="19" t="s">
        <v>187</v>
      </c>
      <c r="AU688" s="19" t="s">
        <v>87</v>
      </c>
    </row>
    <row r="689" spans="1:51" s="2" customFormat="1">
      <c r="A689" s="34"/>
      <c r="B689" s="35"/>
      <c r="C689" s="34"/>
      <c r="D689" s="158" t="s">
        <v>189</v>
      </c>
      <c r="E689" s="34"/>
      <c r="F689" s="159" t="s">
        <v>3709</v>
      </c>
      <c r="G689" s="34"/>
      <c r="H689" s="34"/>
      <c r="I689" s="155"/>
      <c r="J689" s="34"/>
      <c r="K689" s="34"/>
      <c r="L689" s="35"/>
      <c r="M689" s="156"/>
      <c r="N689" s="157"/>
      <c r="O689" s="55"/>
      <c r="P689" s="55"/>
      <c r="Q689" s="55"/>
      <c r="R689" s="55"/>
      <c r="S689" s="55"/>
      <c r="T689" s="56"/>
      <c r="U689" s="34"/>
      <c r="V689" s="34"/>
      <c r="W689" s="34"/>
      <c r="X689" s="34"/>
      <c r="Y689" s="34"/>
      <c r="Z689" s="34"/>
      <c r="AA689" s="34"/>
      <c r="AB689" s="34"/>
      <c r="AC689" s="34"/>
      <c r="AD689" s="34"/>
      <c r="AE689" s="34"/>
      <c r="AT689" s="19" t="s">
        <v>189</v>
      </c>
      <c r="AU689" s="19" t="s">
        <v>87</v>
      </c>
    </row>
    <row r="690" spans="1:51" s="14" customFormat="1">
      <c r="B690" s="169"/>
      <c r="D690" s="153" t="s">
        <v>193</v>
      </c>
      <c r="E690" s="170" t="s">
        <v>3</v>
      </c>
      <c r="F690" s="171" t="s">
        <v>3710</v>
      </c>
      <c r="H690" s="170" t="s">
        <v>3</v>
      </c>
      <c r="I690" s="172"/>
      <c r="L690" s="169"/>
      <c r="M690" s="173"/>
      <c r="N690" s="174"/>
      <c r="O690" s="174"/>
      <c r="P690" s="174"/>
      <c r="Q690" s="174"/>
      <c r="R690" s="174"/>
      <c r="S690" s="174"/>
      <c r="T690" s="175"/>
      <c r="AT690" s="170" t="s">
        <v>193</v>
      </c>
      <c r="AU690" s="170" t="s">
        <v>87</v>
      </c>
      <c r="AV690" s="14" t="s">
        <v>85</v>
      </c>
      <c r="AW690" s="14" t="s">
        <v>36</v>
      </c>
      <c r="AX690" s="14" t="s">
        <v>77</v>
      </c>
      <c r="AY690" s="170" t="s">
        <v>177</v>
      </c>
    </row>
    <row r="691" spans="1:51" s="13" customFormat="1">
      <c r="B691" s="161"/>
      <c r="D691" s="153" t="s">
        <v>193</v>
      </c>
      <c r="E691" s="162" t="s">
        <v>3</v>
      </c>
      <c r="F691" s="163" t="s">
        <v>85</v>
      </c>
      <c r="H691" s="164">
        <v>1</v>
      </c>
      <c r="I691" s="165"/>
      <c r="L691" s="161"/>
      <c r="M691" s="192"/>
      <c r="N691" s="193"/>
      <c r="O691" s="193"/>
      <c r="P691" s="193"/>
      <c r="Q691" s="193"/>
      <c r="R691" s="193"/>
      <c r="S691" s="193"/>
      <c r="T691" s="194"/>
      <c r="AT691" s="162" t="s">
        <v>193</v>
      </c>
      <c r="AU691" s="162" t="s">
        <v>87</v>
      </c>
      <c r="AV691" s="13" t="s">
        <v>87</v>
      </c>
      <c r="AW691" s="13" t="s">
        <v>36</v>
      </c>
      <c r="AX691" s="13" t="s">
        <v>85</v>
      </c>
      <c r="AY691" s="162" t="s">
        <v>177</v>
      </c>
    </row>
    <row r="692" spans="1:51" s="2" customFormat="1" ht="6.95" customHeight="1">
      <c r="A692" s="34"/>
      <c r="B692" s="44"/>
      <c r="C692" s="45"/>
      <c r="D692" s="45"/>
      <c r="E692" s="45"/>
      <c r="F692" s="45"/>
      <c r="G692" s="45"/>
      <c r="H692" s="45"/>
      <c r="I692" s="45"/>
      <c r="J692" s="45"/>
      <c r="K692" s="45"/>
      <c r="L692" s="35"/>
      <c r="M692" s="34"/>
      <c r="O692" s="34"/>
      <c r="P692" s="34"/>
      <c r="Q692" s="34"/>
      <c r="R692" s="34"/>
      <c r="S692" s="34"/>
      <c r="T692" s="34"/>
      <c r="U692" s="34"/>
      <c r="V692" s="34"/>
      <c r="W692" s="34"/>
      <c r="X692" s="34"/>
      <c r="Y692" s="34"/>
      <c r="Z692" s="34"/>
      <c r="AA692" s="34"/>
      <c r="AB692" s="34"/>
      <c r="AC692" s="34"/>
      <c r="AD692" s="34"/>
      <c r="AE692" s="34"/>
    </row>
  </sheetData>
  <autoFilter ref="C98:K691"/>
  <mergeCells count="9">
    <mergeCell ref="E50:H50"/>
    <mergeCell ref="E89:H89"/>
    <mergeCell ref="E91:H91"/>
    <mergeCell ref="L2:V2"/>
    <mergeCell ref="E7:H7"/>
    <mergeCell ref="E9:H9"/>
    <mergeCell ref="E18:H18"/>
    <mergeCell ref="E27:H27"/>
    <mergeCell ref="E48:H48"/>
  </mergeCells>
  <hyperlinks>
    <hyperlink ref="F104" r:id="rId1"/>
    <hyperlink ref="F107" r:id="rId2"/>
    <hyperlink ref="F111" r:id="rId3"/>
    <hyperlink ref="F116" r:id="rId4"/>
    <hyperlink ref="F144" r:id="rId5"/>
    <hyperlink ref="F151" r:id="rId6"/>
    <hyperlink ref="F155" r:id="rId7"/>
    <hyperlink ref="F161" r:id="rId8"/>
    <hyperlink ref="F170" r:id="rId9"/>
    <hyperlink ref="F176" r:id="rId10"/>
    <hyperlink ref="F186" r:id="rId11"/>
    <hyperlink ref="F190" r:id="rId12"/>
    <hyperlink ref="F195" r:id="rId13"/>
    <hyperlink ref="F201" r:id="rId14"/>
    <hyperlink ref="F205" r:id="rId15"/>
    <hyperlink ref="F210" r:id="rId16"/>
    <hyperlink ref="F219" r:id="rId17"/>
    <hyperlink ref="F223" r:id="rId18"/>
    <hyperlink ref="F227" r:id="rId19"/>
    <hyperlink ref="F231" r:id="rId20"/>
    <hyperlink ref="F236" r:id="rId21"/>
    <hyperlink ref="F242" r:id="rId22"/>
    <hyperlink ref="F248" r:id="rId23"/>
    <hyperlink ref="F256" r:id="rId24"/>
    <hyperlink ref="F262" r:id="rId25"/>
    <hyperlink ref="F270" r:id="rId26"/>
    <hyperlink ref="F275" r:id="rId27"/>
    <hyperlink ref="F280" r:id="rId28"/>
    <hyperlink ref="F286" r:id="rId29"/>
    <hyperlink ref="F290" r:id="rId30"/>
    <hyperlink ref="F297" r:id="rId31"/>
    <hyperlink ref="F312" r:id="rId32"/>
    <hyperlink ref="F316" r:id="rId33"/>
    <hyperlink ref="F321" r:id="rId34"/>
    <hyperlink ref="F348" r:id="rId35"/>
    <hyperlink ref="F352" r:id="rId36"/>
    <hyperlink ref="F357" r:id="rId37"/>
    <hyperlink ref="F361" r:id="rId38"/>
    <hyperlink ref="F365" r:id="rId39"/>
    <hyperlink ref="F369" r:id="rId40"/>
    <hyperlink ref="F374" r:id="rId41"/>
    <hyperlink ref="F378" r:id="rId42"/>
    <hyperlink ref="F402" r:id="rId43"/>
    <hyperlink ref="F415" r:id="rId44"/>
    <hyperlink ref="F419" r:id="rId45"/>
    <hyperlink ref="F423" r:id="rId46"/>
    <hyperlink ref="F426" r:id="rId47"/>
    <hyperlink ref="F430" r:id="rId48"/>
    <hyperlink ref="F435" r:id="rId49"/>
    <hyperlink ref="F440" r:id="rId50"/>
    <hyperlink ref="F444" r:id="rId51"/>
    <hyperlink ref="F448" r:id="rId52"/>
    <hyperlink ref="F452" r:id="rId53"/>
    <hyperlink ref="F461" r:id="rId54"/>
    <hyperlink ref="F469" r:id="rId55"/>
    <hyperlink ref="F480" r:id="rId56"/>
    <hyperlink ref="F484" r:id="rId57"/>
    <hyperlink ref="F488" r:id="rId58"/>
    <hyperlink ref="F493" r:id="rId59"/>
    <hyperlink ref="F497" r:id="rId60"/>
    <hyperlink ref="F501" r:id="rId61"/>
    <hyperlink ref="F517" r:id="rId62"/>
    <hyperlink ref="F521" r:id="rId63"/>
    <hyperlink ref="F525" r:id="rId64"/>
    <hyperlink ref="F529" r:id="rId65"/>
    <hyperlink ref="F538" r:id="rId66"/>
    <hyperlink ref="F551" r:id="rId67"/>
    <hyperlink ref="F558" r:id="rId68"/>
    <hyperlink ref="F562" r:id="rId69"/>
    <hyperlink ref="F566" r:id="rId70"/>
    <hyperlink ref="F569" r:id="rId71"/>
    <hyperlink ref="F573" r:id="rId72"/>
    <hyperlink ref="F578" r:id="rId73"/>
    <hyperlink ref="F581" r:id="rId74"/>
    <hyperlink ref="F584" r:id="rId75"/>
    <hyperlink ref="F587" r:id="rId76"/>
    <hyperlink ref="F590" r:id="rId77"/>
    <hyperlink ref="F609" r:id="rId78"/>
    <hyperlink ref="F612" r:id="rId79"/>
    <hyperlink ref="F618" r:id="rId80"/>
    <hyperlink ref="F625" r:id="rId81"/>
    <hyperlink ref="F633" r:id="rId82"/>
    <hyperlink ref="F636" r:id="rId83"/>
    <hyperlink ref="F641" r:id="rId84"/>
    <hyperlink ref="F653" r:id="rId85"/>
    <hyperlink ref="F657" r:id="rId86"/>
    <hyperlink ref="F669" r:id="rId87"/>
    <hyperlink ref="F673" r:id="rId88"/>
    <hyperlink ref="F682" r:id="rId89"/>
    <hyperlink ref="F689" r:id="rId90"/>
  </hyperlinks>
  <pageMargins left="0.39374999999999999" right="0.39374999999999999" top="0.39374999999999999" bottom="0.39374999999999999" header="0" footer="0"/>
  <pageSetup paperSize="9" scale="84" fitToHeight="100" orientation="landscape" blackAndWhite="1" r:id="rId91"/>
  <headerFooter>
    <oddFooter>&amp;CStrana &amp;P z &amp;N</oddFooter>
  </headerFooter>
  <drawing r:id="rId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129</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3711</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ROUND(J84,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ROUND((SUM(BE84:BE163)),  2)</f>
        <v>0</v>
      </c>
      <c r="G33" s="34"/>
      <c r="H33" s="34"/>
      <c r="I33" s="98">
        <v>0.21</v>
      </c>
      <c r="J33" s="97">
        <f>ROUND(((SUM(BE84:BE163))*I33),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ROUND((SUM(BF84:BF163)),  2)</f>
        <v>0</v>
      </c>
      <c r="G34" s="34"/>
      <c r="H34" s="34"/>
      <c r="I34" s="98">
        <v>0.15</v>
      </c>
      <c r="J34" s="97">
        <f>ROUND(((SUM(BF84:BF163))*I34),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ROUND((SUM(BG84:BG163)),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ROUND((SUM(BH84:BH163)),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ROUND((SUM(BI84:BI163)),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E15 - Vyrovnání terénu po odstraněném bazénu, okapové chodníčky, ozelenění</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J84</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J85</f>
        <v>0</v>
      </c>
      <c r="L60" s="108"/>
    </row>
    <row r="61" spans="1:47" s="10" customFormat="1" ht="19.899999999999999" customHeight="1">
      <c r="B61" s="112"/>
      <c r="D61" s="113" t="s">
        <v>2309</v>
      </c>
      <c r="E61" s="114"/>
      <c r="F61" s="114"/>
      <c r="G61" s="114"/>
      <c r="H61" s="114"/>
      <c r="I61" s="114"/>
      <c r="J61" s="115">
        <f>J86</f>
        <v>0</v>
      </c>
      <c r="L61" s="112"/>
    </row>
    <row r="62" spans="1:47" s="10" customFormat="1" ht="19.899999999999999" customHeight="1">
      <c r="B62" s="112"/>
      <c r="D62" s="113" t="s">
        <v>3712</v>
      </c>
      <c r="E62" s="114"/>
      <c r="F62" s="114"/>
      <c r="G62" s="114"/>
      <c r="H62" s="114"/>
      <c r="I62" s="114"/>
      <c r="J62" s="115">
        <f>J136</f>
        <v>0</v>
      </c>
      <c r="L62" s="112"/>
    </row>
    <row r="63" spans="1:47" s="10" customFormat="1" ht="19.899999999999999" customHeight="1">
      <c r="B63" s="112"/>
      <c r="D63" s="113" t="s">
        <v>547</v>
      </c>
      <c r="E63" s="114"/>
      <c r="F63" s="114"/>
      <c r="G63" s="114"/>
      <c r="H63" s="114"/>
      <c r="I63" s="114"/>
      <c r="J63" s="115">
        <f>J147</f>
        <v>0</v>
      </c>
      <c r="L63" s="112"/>
    </row>
    <row r="64" spans="1:47" s="10" customFormat="1" ht="19.899999999999999" customHeight="1">
      <c r="B64" s="112"/>
      <c r="D64" s="113" t="s">
        <v>326</v>
      </c>
      <c r="E64" s="114"/>
      <c r="F64" s="114"/>
      <c r="G64" s="114"/>
      <c r="H64" s="114"/>
      <c r="I64" s="114"/>
      <c r="J64" s="115">
        <f>J159</f>
        <v>0</v>
      </c>
      <c r="L64" s="112"/>
    </row>
    <row r="65" spans="1:31" s="2" customFormat="1" ht="21.75" customHeight="1">
      <c r="A65" s="34"/>
      <c r="B65" s="35"/>
      <c r="C65" s="34"/>
      <c r="D65" s="34"/>
      <c r="E65" s="34"/>
      <c r="F65" s="34"/>
      <c r="G65" s="34"/>
      <c r="H65" s="34"/>
      <c r="I65" s="34"/>
      <c r="J65" s="34"/>
      <c r="K65" s="34"/>
      <c r="L65" s="91"/>
      <c r="S65" s="34"/>
      <c r="T65" s="34"/>
      <c r="U65" s="34"/>
      <c r="V65" s="34"/>
      <c r="W65" s="34"/>
      <c r="X65" s="34"/>
      <c r="Y65" s="34"/>
      <c r="Z65" s="34"/>
      <c r="AA65" s="34"/>
      <c r="AB65" s="34"/>
      <c r="AC65" s="34"/>
      <c r="AD65" s="34"/>
      <c r="AE65" s="34"/>
    </row>
    <row r="66" spans="1:31" s="2" customFormat="1" ht="6.95" customHeight="1">
      <c r="A66" s="34"/>
      <c r="B66" s="44"/>
      <c r="C66" s="45"/>
      <c r="D66" s="45"/>
      <c r="E66" s="45"/>
      <c r="F66" s="45"/>
      <c r="G66" s="45"/>
      <c r="H66" s="45"/>
      <c r="I66" s="45"/>
      <c r="J66" s="45"/>
      <c r="K66" s="45"/>
      <c r="L66" s="91"/>
      <c r="S66" s="34"/>
      <c r="T66" s="34"/>
      <c r="U66" s="34"/>
      <c r="V66" s="34"/>
      <c r="W66" s="34"/>
      <c r="X66" s="34"/>
      <c r="Y66" s="34"/>
      <c r="Z66" s="34"/>
      <c r="AA66" s="34"/>
      <c r="AB66" s="34"/>
      <c r="AC66" s="34"/>
      <c r="AD66" s="34"/>
      <c r="AE66" s="34"/>
    </row>
    <row r="70" spans="1:31" s="2" customFormat="1" ht="6.95" customHeight="1">
      <c r="A70" s="34"/>
      <c r="B70" s="46"/>
      <c r="C70" s="47"/>
      <c r="D70" s="47"/>
      <c r="E70" s="47"/>
      <c r="F70" s="47"/>
      <c r="G70" s="47"/>
      <c r="H70" s="47"/>
      <c r="I70" s="47"/>
      <c r="J70" s="47"/>
      <c r="K70" s="47"/>
      <c r="L70" s="91"/>
      <c r="S70" s="34"/>
      <c r="T70" s="34"/>
      <c r="U70" s="34"/>
      <c r="V70" s="34"/>
      <c r="W70" s="34"/>
      <c r="X70" s="34"/>
      <c r="Y70" s="34"/>
      <c r="Z70" s="34"/>
      <c r="AA70" s="34"/>
      <c r="AB70" s="34"/>
      <c r="AC70" s="34"/>
      <c r="AD70" s="34"/>
      <c r="AE70" s="34"/>
    </row>
    <row r="71" spans="1:31" s="2" customFormat="1" ht="24.95" customHeight="1">
      <c r="A71" s="34"/>
      <c r="B71" s="35"/>
      <c r="C71" s="23" t="s">
        <v>162</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6.95" customHeight="1">
      <c r="A72" s="34"/>
      <c r="B72" s="35"/>
      <c r="C72" s="34"/>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17</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436" t="str">
        <f>E7</f>
        <v>ZŠ P. HOLÉHO - PŘESTAVBA PLAVECKÉHO PAVILONU</v>
      </c>
      <c r="F74" s="437"/>
      <c r="G74" s="437"/>
      <c r="H74" s="437"/>
      <c r="I74" s="34"/>
      <c r="J74" s="34"/>
      <c r="K74" s="34"/>
      <c r="L74" s="91"/>
      <c r="S74" s="34"/>
      <c r="T74" s="34"/>
      <c r="U74" s="34"/>
      <c r="V74" s="34"/>
      <c r="W74" s="34"/>
      <c r="X74" s="34"/>
      <c r="Y74" s="34"/>
      <c r="Z74" s="34"/>
      <c r="AA74" s="34"/>
      <c r="AB74" s="34"/>
      <c r="AC74" s="34"/>
      <c r="AD74" s="34"/>
      <c r="AE74" s="34"/>
    </row>
    <row r="75" spans="1:31" s="2" customFormat="1" ht="12" customHeight="1">
      <c r="A75" s="34"/>
      <c r="B75" s="35"/>
      <c r="C75" s="29" t="s">
        <v>146</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c r="A76" s="34"/>
      <c r="B76" s="35"/>
      <c r="C76" s="34"/>
      <c r="D76" s="34"/>
      <c r="E76" s="432" t="str">
        <f>E9</f>
        <v>E15 - Vyrovnání terénu po odstraněném bazénu, okapové chodníčky, ozelenění</v>
      </c>
      <c r="F76" s="435"/>
      <c r="G76" s="435"/>
      <c r="H76" s="435"/>
      <c r="I76" s="34"/>
      <c r="J76" s="34"/>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2" customHeight="1">
      <c r="A78" s="34"/>
      <c r="B78" s="35"/>
      <c r="C78" s="29" t="s">
        <v>21</v>
      </c>
      <c r="D78" s="34"/>
      <c r="E78" s="34"/>
      <c r="F78" s="27" t="str">
        <f>F12</f>
        <v>Prokopa Holého 2632, Louny, 440 01</v>
      </c>
      <c r="G78" s="34"/>
      <c r="H78" s="34"/>
      <c r="I78" s="29" t="s">
        <v>23</v>
      </c>
      <c r="J78" s="52" t="str">
        <f>IF(J12="","",J12)</f>
        <v>21. 9. 2022</v>
      </c>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5.2" customHeight="1">
      <c r="A80" s="34"/>
      <c r="B80" s="35"/>
      <c r="C80" s="29" t="s">
        <v>25</v>
      </c>
      <c r="D80" s="34"/>
      <c r="E80" s="34"/>
      <c r="F80" s="27" t="str">
        <f>E15</f>
        <v>Město Louny</v>
      </c>
      <c r="G80" s="34"/>
      <c r="H80" s="34"/>
      <c r="I80" s="29" t="s">
        <v>32</v>
      </c>
      <c r="J80" s="32" t="str">
        <f>E21</f>
        <v>RYSIK Design s.r.o.</v>
      </c>
      <c r="K80" s="34"/>
      <c r="L80" s="91"/>
      <c r="S80" s="34"/>
      <c r="T80" s="34"/>
      <c r="U80" s="34"/>
      <c r="V80" s="34"/>
      <c r="W80" s="34"/>
      <c r="X80" s="34"/>
      <c r="Y80" s="34"/>
      <c r="Z80" s="34"/>
      <c r="AA80" s="34"/>
      <c r="AB80" s="34"/>
      <c r="AC80" s="34"/>
      <c r="AD80" s="34"/>
      <c r="AE80" s="34"/>
    </row>
    <row r="81" spans="1:65" s="2" customFormat="1" ht="25.7" customHeight="1">
      <c r="A81" s="34"/>
      <c r="B81" s="35"/>
      <c r="C81" s="29" t="s">
        <v>30</v>
      </c>
      <c r="D81" s="34"/>
      <c r="E81" s="34"/>
      <c r="F81" s="27" t="str">
        <f>IF(E18="","",E18)</f>
        <v>Vyplň údaj</v>
      </c>
      <c r="G81" s="34"/>
      <c r="H81" s="34"/>
      <c r="I81" s="29" t="s">
        <v>37</v>
      </c>
      <c r="J81" s="32" t="str">
        <f>E24</f>
        <v>ing. Kateřina Tumpachová</v>
      </c>
      <c r="K81" s="34"/>
      <c r="L81" s="91"/>
      <c r="S81" s="34"/>
      <c r="T81" s="34"/>
      <c r="U81" s="34"/>
      <c r="V81" s="34"/>
      <c r="W81" s="34"/>
      <c r="X81" s="34"/>
      <c r="Y81" s="34"/>
      <c r="Z81" s="34"/>
      <c r="AA81" s="34"/>
      <c r="AB81" s="34"/>
      <c r="AC81" s="34"/>
      <c r="AD81" s="34"/>
      <c r="AE81" s="34"/>
    </row>
    <row r="82" spans="1:65" s="2" customFormat="1" ht="10.35" customHeight="1">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65" s="11" customFormat="1" ht="29.25" customHeight="1">
      <c r="A83" s="116"/>
      <c r="B83" s="117"/>
      <c r="C83" s="118" t="s">
        <v>163</v>
      </c>
      <c r="D83" s="119" t="s">
        <v>62</v>
      </c>
      <c r="E83" s="119" t="s">
        <v>58</v>
      </c>
      <c r="F83" s="119" t="s">
        <v>59</v>
      </c>
      <c r="G83" s="119" t="s">
        <v>164</v>
      </c>
      <c r="H83" s="119" t="s">
        <v>165</v>
      </c>
      <c r="I83" s="119" t="s">
        <v>166</v>
      </c>
      <c r="J83" s="119" t="s">
        <v>151</v>
      </c>
      <c r="K83" s="120" t="s">
        <v>167</v>
      </c>
      <c r="L83" s="121"/>
      <c r="M83" s="59" t="s">
        <v>3</v>
      </c>
      <c r="N83" s="60" t="s">
        <v>47</v>
      </c>
      <c r="O83" s="60" t="s">
        <v>168</v>
      </c>
      <c r="P83" s="60" t="s">
        <v>169</v>
      </c>
      <c r="Q83" s="60" t="s">
        <v>170</v>
      </c>
      <c r="R83" s="60" t="s">
        <v>171</v>
      </c>
      <c r="S83" s="60" t="s">
        <v>172</v>
      </c>
      <c r="T83" s="61" t="s">
        <v>173</v>
      </c>
      <c r="U83" s="116"/>
      <c r="V83" s="116"/>
      <c r="W83" s="116"/>
      <c r="X83" s="116"/>
      <c r="Y83" s="116"/>
      <c r="Z83" s="116"/>
      <c r="AA83" s="116"/>
      <c r="AB83" s="116"/>
      <c r="AC83" s="116"/>
      <c r="AD83" s="116"/>
      <c r="AE83" s="116"/>
    </row>
    <row r="84" spans="1:65" s="2" customFormat="1" ht="22.9" customHeight="1">
      <c r="A84" s="34"/>
      <c r="B84" s="35"/>
      <c r="C84" s="66" t="s">
        <v>174</v>
      </c>
      <c r="D84" s="34"/>
      <c r="E84" s="34"/>
      <c r="F84" s="34"/>
      <c r="G84" s="34"/>
      <c r="H84" s="34"/>
      <c r="I84" s="34"/>
      <c r="J84" s="122">
        <f>BK84</f>
        <v>0</v>
      </c>
      <c r="K84" s="34"/>
      <c r="L84" s="35"/>
      <c r="M84" s="62"/>
      <c r="N84" s="53"/>
      <c r="O84" s="63"/>
      <c r="P84" s="123">
        <f>P85</f>
        <v>0</v>
      </c>
      <c r="Q84" s="63"/>
      <c r="R84" s="123">
        <f>R85</f>
        <v>293.39420639999997</v>
      </c>
      <c r="S84" s="63"/>
      <c r="T84" s="124">
        <f>T85</f>
        <v>0</v>
      </c>
      <c r="U84" s="34"/>
      <c r="V84" s="34"/>
      <c r="W84" s="34"/>
      <c r="X84" s="34"/>
      <c r="Y84" s="34"/>
      <c r="Z84" s="34"/>
      <c r="AA84" s="34"/>
      <c r="AB84" s="34"/>
      <c r="AC84" s="34"/>
      <c r="AD84" s="34"/>
      <c r="AE84" s="34"/>
      <c r="AT84" s="19" t="s">
        <v>76</v>
      </c>
      <c r="AU84" s="19" t="s">
        <v>152</v>
      </c>
      <c r="BK84" s="125">
        <f>BK85</f>
        <v>0</v>
      </c>
    </row>
    <row r="85" spans="1:65" s="12" customFormat="1" ht="25.9" customHeight="1">
      <c r="B85" s="126"/>
      <c r="D85" s="127" t="s">
        <v>76</v>
      </c>
      <c r="E85" s="128" t="s">
        <v>175</v>
      </c>
      <c r="F85" s="128" t="s">
        <v>176</v>
      </c>
      <c r="I85" s="129"/>
      <c r="J85" s="130">
        <f>BK85</f>
        <v>0</v>
      </c>
      <c r="L85" s="126"/>
      <c r="M85" s="131"/>
      <c r="N85" s="132"/>
      <c r="O85" s="132"/>
      <c r="P85" s="133">
        <f>P86+P136+P147+P159</f>
        <v>0</v>
      </c>
      <c r="Q85" s="132"/>
      <c r="R85" s="133">
        <f>R86+R136+R147+R159</f>
        <v>293.39420639999997</v>
      </c>
      <c r="S85" s="132"/>
      <c r="T85" s="134">
        <f>T86+T136+T147+T159</f>
        <v>0</v>
      </c>
      <c r="AR85" s="127" t="s">
        <v>85</v>
      </c>
      <c r="AT85" s="135" t="s">
        <v>76</v>
      </c>
      <c r="AU85" s="135" t="s">
        <v>77</v>
      </c>
      <c r="AY85" s="127" t="s">
        <v>177</v>
      </c>
      <c r="BK85" s="136">
        <f>BK86+BK136+BK147+BK159</f>
        <v>0</v>
      </c>
    </row>
    <row r="86" spans="1:65" s="12" customFormat="1" ht="22.9" customHeight="1">
      <c r="B86" s="126"/>
      <c r="D86" s="127" t="s">
        <v>76</v>
      </c>
      <c r="E86" s="137" t="s">
        <v>85</v>
      </c>
      <c r="F86" s="137" t="s">
        <v>2311</v>
      </c>
      <c r="I86" s="129"/>
      <c r="J86" s="138">
        <f>BK86</f>
        <v>0</v>
      </c>
      <c r="L86" s="126"/>
      <c r="M86" s="131"/>
      <c r="N86" s="132"/>
      <c r="O86" s="132"/>
      <c r="P86" s="133">
        <f>SUM(P87:P135)</f>
        <v>0</v>
      </c>
      <c r="Q86" s="132"/>
      <c r="R86" s="133">
        <f>SUM(R87:R135)</f>
        <v>45.568575000000003</v>
      </c>
      <c r="S86" s="132"/>
      <c r="T86" s="134">
        <f>SUM(T87:T135)</f>
        <v>0</v>
      </c>
      <c r="AR86" s="127" t="s">
        <v>85</v>
      </c>
      <c r="AT86" s="135" t="s">
        <v>76</v>
      </c>
      <c r="AU86" s="135" t="s">
        <v>85</v>
      </c>
      <c r="AY86" s="127" t="s">
        <v>177</v>
      </c>
      <c r="BK86" s="136">
        <f>SUM(BK87:BK135)</f>
        <v>0</v>
      </c>
    </row>
    <row r="87" spans="1:65" s="2" customFormat="1" ht="21.75" customHeight="1">
      <c r="A87" s="34"/>
      <c r="B87" s="139"/>
      <c r="C87" s="140" t="s">
        <v>85</v>
      </c>
      <c r="D87" s="140" t="s">
        <v>180</v>
      </c>
      <c r="E87" s="141" t="s">
        <v>3713</v>
      </c>
      <c r="F87" s="142" t="s">
        <v>3714</v>
      </c>
      <c r="G87" s="143" t="s">
        <v>808</v>
      </c>
      <c r="H87" s="144">
        <v>486</v>
      </c>
      <c r="I87" s="145"/>
      <c r="J87" s="146">
        <f>ROUND(I87*H87,2)</f>
        <v>0</v>
      </c>
      <c r="K87" s="142" t="s">
        <v>184</v>
      </c>
      <c r="L87" s="35"/>
      <c r="M87" s="147" t="s">
        <v>3</v>
      </c>
      <c r="N87" s="148" t="s">
        <v>48</v>
      </c>
      <c r="O87" s="55"/>
      <c r="P87" s="149">
        <f>O87*H87</f>
        <v>0</v>
      </c>
      <c r="Q87" s="149">
        <v>0</v>
      </c>
      <c r="R87" s="149">
        <f>Q87*H87</f>
        <v>0</v>
      </c>
      <c r="S87" s="149">
        <v>0</v>
      </c>
      <c r="T87" s="150">
        <f>S87*H87</f>
        <v>0</v>
      </c>
      <c r="U87" s="34"/>
      <c r="V87" s="34"/>
      <c r="W87" s="34"/>
      <c r="X87" s="34"/>
      <c r="Y87" s="34"/>
      <c r="Z87" s="34"/>
      <c r="AA87" s="34"/>
      <c r="AB87" s="34"/>
      <c r="AC87" s="34"/>
      <c r="AD87" s="34"/>
      <c r="AE87" s="34"/>
      <c r="AR87" s="151" t="s">
        <v>185</v>
      </c>
      <c r="AT87" s="151" t="s">
        <v>180</v>
      </c>
      <c r="AU87" s="151" t="s">
        <v>87</v>
      </c>
      <c r="AY87" s="19" t="s">
        <v>177</v>
      </c>
      <c r="BE87" s="152">
        <f>IF(N87="základní",J87,0)</f>
        <v>0</v>
      </c>
      <c r="BF87" s="152">
        <f>IF(N87="snížená",J87,0)</f>
        <v>0</v>
      </c>
      <c r="BG87" s="152">
        <f>IF(N87="zákl. přenesená",J87,0)</f>
        <v>0</v>
      </c>
      <c r="BH87" s="152">
        <f>IF(N87="sníž. přenesená",J87,0)</f>
        <v>0</v>
      </c>
      <c r="BI87" s="152">
        <f>IF(N87="nulová",J87,0)</f>
        <v>0</v>
      </c>
      <c r="BJ87" s="19" t="s">
        <v>85</v>
      </c>
      <c r="BK87" s="152">
        <f>ROUND(I87*H87,2)</f>
        <v>0</v>
      </c>
      <c r="BL87" s="19" t="s">
        <v>185</v>
      </c>
      <c r="BM87" s="151" t="s">
        <v>3715</v>
      </c>
    </row>
    <row r="88" spans="1:65" s="2" customFormat="1" ht="19.5">
      <c r="A88" s="34"/>
      <c r="B88" s="35"/>
      <c r="C88" s="34"/>
      <c r="D88" s="153" t="s">
        <v>187</v>
      </c>
      <c r="E88" s="34"/>
      <c r="F88" s="154" t="s">
        <v>3716</v>
      </c>
      <c r="G88" s="34"/>
      <c r="H88" s="34"/>
      <c r="I88" s="155"/>
      <c r="J88" s="34"/>
      <c r="K88" s="34"/>
      <c r="L88" s="35"/>
      <c r="M88" s="156"/>
      <c r="N88" s="157"/>
      <c r="O88" s="55"/>
      <c r="P88" s="55"/>
      <c r="Q88" s="55"/>
      <c r="R88" s="55"/>
      <c r="S88" s="55"/>
      <c r="T88" s="56"/>
      <c r="U88" s="34"/>
      <c r="V88" s="34"/>
      <c r="W88" s="34"/>
      <c r="X88" s="34"/>
      <c r="Y88" s="34"/>
      <c r="Z88" s="34"/>
      <c r="AA88" s="34"/>
      <c r="AB88" s="34"/>
      <c r="AC88" s="34"/>
      <c r="AD88" s="34"/>
      <c r="AE88" s="34"/>
      <c r="AT88" s="19" t="s">
        <v>187</v>
      </c>
      <c r="AU88" s="19" t="s">
        <v>87</v>
      </c>
    </row>
    <row r="89" spans="1:65" s="2" customFormat="1">
      <c r="A89" s="34"/>
      <c r="B89" s="35"/>
      <c r="C89" s="34"/>
      <c r="D89" s="158" t="s">
        <v>189</v>
      </c>
      <c r="E89" s="34"/>
      <c r="F89" s="159" t="s">
        <v>3717</v>
      </c>
      <c r="G89" s="34"/>
      <c r="H89" s="34"/>
      <c r="I89" s="155"/>
      <c r="J89" s="34"/>
      <c r="K89" s="34"/>
      <c r="L89" s="35"/>
      <c r="M89" s="156"/>
      <c r="N89" s="157"/>
      <c r="O89" s="55"/>
      <c r="P89" s="55"/>
      <c r="Q89" s="55"/>
      <c r="R89" s="55"/>
      <c r="S89" s="55"/>
      <c r="T89" s="56"/>
      <c r="U89" s="34"/>
      <c r="V89" s="34"/>
      <c r="W89" s="34"/>
      <c r="X89" s="34"/>
      <c r="Y89" s="34"/>
      <c r="Z89" s="34"/>
      <c r="AA89" s="34"/>
      <c r="AB89" s="34"/>
      <c r="AC89" s="34"/>
      <c r="AD89" s="34"/>
      <c r="AE89" s="34"/>
      <c r="AT89" s="19" t="s">
        <v>189</v>
      </c>
      <c r="AU89" s="19" t="s">
        <v>87</v>
      </c>
    </row>
    <row r="90" spans="1:65" s="2" customFormat="1" ht="58.5">
      <c r="A90" s="34"/>
      <c r="B90" s="35"/>
      <c r="C90" s="34"/>
      <c r="D90" s="153" t="s">
        <v>191</v>
      </c>
      <c r="E90" s="34"/>
      <c r="F90" s="160" t="s">
        <v>2339</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191</v>
      </c>
      <c r="AU90" s="19" t="s">
        <v>87</v>
      </c>
    </row>
    <row r="91" spans="1:65" s="2" customFormat="1" ht="21.75" customHeight="1">
      <c r="A91" s="34"/>
      <c r="B91" s="139"/>
      <c r="C91" s="140" t="s">
        <v>87</v>
      </c>
      <c r="D91" s="140" t="s">
        <v>180</v>
      </c>
      <c r="E91" s="141" t="s">
        <v>2334</v>
      </c>
      <c r="F91" s="142" t="s">
        <v>2335</v>
      </c>
      <c r="G91" s="143" t="s">
        <v>808</v>
      </c>
      <c r="H91" s="144">
        <v>60.75</v>
      </c>
      <c r="I91" s="145"/>
      <c r="J91" s="146">
        <f>ROUND(I91*H91,2)</f>
        <v>0</v>
      </c>
      <c r="K91" s="142" t="s">
        <v>184</v>
      </c>
      <c r="L91" s="35"/>
      <c r="M91" s="147" t="s">
        <v>3</v>
      </c>
      <c r="N91" s="148" t="s">
        <v>48</v>
      </c>
      <c r="O91" s="55"/>
      <c r="P91" s="149">
        <f>O91*H91</f>
        <v>0</v>
      </c>
      <c r="Q91" s="149">
        <v>0</v>
      </c>
      <c r="R91" s="149">
        <f>Q91*H91</f>
        <v>0</v>
      </c>
      <c r="S91" s="149">
        <v>0</v>
      </c>
      <c r="T91" s="150">
        <f>S91*H91</f>
        <v>0</v>
      </c>
      <c r="U91" s="34"/>
      <c r="V91" s="34"/>
      <c r="W91" s="34"/>
      <c r="X91" s="34"/>
      <c r="Y91" s="34"/>
      <c r="Z91" s="34"/>
      <c r="AA91" s="34"/>
      <c r="AB91" s="34"/>
      <c r="AC91" s="34"/>
      <c r="AD91" s="34"/>
      <c r="AE91" s="34"/>
      <c r="AR91" s="151" t="s">
        <v>185</v>
      </c>
      <c r="AT91" s="151" t="s">
        <v>180</v>
      </c>
      <c r="AU91" s="151" t="s">
        <v>87</v>
      </c>
      <c r="AY91" s="19" t="s">
        <v>177</v>
      </c>
      <c r="BE91" s="152">
        <f>IF(N91="základní",J91,0)</f>
        <v>0</v>
      </c>
      <c r="BF91" s="152">
        <f>IF(N91="snížená",J91,0)</f>
        <v>0</v>
      </c>
      <c r="BG91" s="152">
        <f>IF(N91="zákl. přenesená",J91,0)</f>
        <v>0</v>
      </c>
      <c r="BH91" s="152">
        <f>IF(N91="sníž. přenesená",J91,0)</f>
        <v>0</v>
      </c>
      <c r="BI91" s="152">
        <f>IF(N91="nulová",J91,0)</f>
        <v>0</v>
      </c>
      <c r="BJ91" s="19" t="s">
        <v>85</v>
      </c>
      <c r="BK91" s="152">
        <f>ROUND(I91*H91,2)</f>
        <v>0</v>
      </c>
      <c r="BL91" s="19" t="s">
        <v>185</v>
      </c>
      <c r="BM91" s="151" t="s">
        <v>3718</v>
      </c>
    </row>
    <row r="92" spans="1:65" s="2" customFormat="1" ht="19.5">
      <c r="A92" s="34"/>
      <c r="B92" s="35"/>
      <c r="C92" s="34"/>
      <c r="D92" s="153" t="s">
        <v>187</v>
      </c>
      <c r="E92" s="34"/>
      <c r="F92" s="154" t="s">
        <v>2337</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187</v>
      </c>
      <c r="AU92" s="19" t="s">
        <v>87</v>
      </c>
    </row>
    <row r="93" spans="1:65" s="2" customFormat="1">
      <c r="A93" s="34"/>
      <c r="B93" s="35"/>
      <c r="C93" s="34"/>
      <c r="D93" s="158" t="s">
        <v>189</v>
      </c>
      <c r="E93" s="34"/>
      <c r="F93" s="159" t="s">
        <v>2338</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189</v>
      </c>
      <c r="AU93" s="19" t="s">
        <v>87</v>
      </c>
    </row>
    <row r="94" spans="1:65" s="2" customFormat="1" ht="58.5">
      <c r="A94" s="34"/>
      <c r="B94" s="35"/>
      <c r="C94" s="34"/>
      <c r="D94" s="153" t="s">
        <v>191</v>
      </c>
      <c r="E94" s="34"/>
      <c r="F94" s="160" t="s">
        <v>2339</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191</v>
      </c>
      <c r="AU94" s="19" t="s">
        <v>87</v>
      </c>
    </row>
    <row r="95" spans="1:65" s="2" customFormat="1" ht="24.2" customHeight="1">
      <c r="A95" s="34"/>
      <c r="B95" s="139"/>
      <c r="C95" s="140" t="s">
        <v>198</v>
      </c>
      <c r="D95" s="140" t="s">
        <v>180</v>
      </c>
      <c r="E95" s="141" t="s">
        <v>2340</v>
      </c>
      <c r="F95" s="142" t="s">
        <v>2341</v>
      </c>
      <c r="G95" s="143" t="s">
        <v>808</v>
      </c>
      <c r="H95" s="144">
        <v>607.5</v>
      </c>
      <c r="I95" s="145"/>
      <c r="J95" s="146">
        <f>ROUND(I95*H95,2)</f>
        <v>0</v>
      </c>
      <c r="K95" s="142" t="s">
        <v>184</v>
      </c>
      <c r="L95" s="35"/>
      <c r="M95" s="147" t="s">
        <v>3</v>
      </c>
      <c r="N95" s="148" t="s">
        <v>48</v>
      </c>
      <c r="O95" s="55"/>
      <c r="P95" s="149">
        <f>O95*H95</f>
        <v>0</v>
      </c>
      <c r="Q95" s="149">
        <v>0</v>
      </c>
      <c r="R95" s="149">
        <f>Q95*H95</f>
        <v>0</v>
      </c>
      <c r="S95" s="149">
        <v>0</v>
      </c>
      <c r="T95" s="150">
        <f>S95*H95</f>
        <v>0</v>
      </c>
      <c r="U95" s="34"/>
      <c r="V95" s="34"/>
      <c r="W95" s="34"/>
      <c r="X95" s="34"/>
      <c r="Y95" s="34"/>
      <c r="Z95" s="34"/>
      <c r="AA95" s="34"/>
      <c r="AB95" s="34"/>
      <c r="AC95" s="34"/>
      <c r="AD95" s="34"/>
      <c r="AE95" s="34"/>
      <c r="AR95" s="151" t="s">
        <v>185</v>
      </c>
      <c r="AT95" s="151" t="s">
        <v>180</v>
      </c>
      <c r="AU95" s="151" t="s">
        <v>87</v>
      </c>
      <c r="AY95" s="19" t="s">
        <v>177</v>
      </c>
      <c r="BE95" s="152">
        <f>IF(N95="základní",J95,0)</f>
        <v>0</v>
      </c>
      <c r="BF95" s="152">
        <f>IF(N95="snížená",J95,0)</f>
        <v>0</v>
      </c>
      <c r="BG95" s="152">
        <f>IF(N95="zákl. přenesená",J95,0)</f>
        <v>0</v>
      </c>
      <c r="BH95" s="152">
        <f>IF(N95="sníž. přenesená",J95,0)</f>
        <v>0</v>
      </c>
      <c r="BI95" s="152">
        <f>IF(N95="nulová",J95,0)</f>
        <v>0</v>
      </c>
      <c r="BJ95" s="19" t="s">
        <v>85</v>
      </c>
      <c r="BK95" s="152">
        <f>ROUND(I95*H95,2)</f>
        <v>0</v>
      </c>
      <c r="BL95" s="19" t="s">
        <v>185</v>
      </c>
      <c r="BM95" s="151" t="s">
        <v>3719</v>
      </c>
    </row>
    <row r="96" spans="1:65" s="2" customFormat="1" ht="19.5">
      <c r="A96" s="34"/>
      <c r="B96" s="35"/>
      <c r="C96" s="34"/>
      <c r="D96" s="153" t="s">
        <v>187</v>
      </c>
      <c r="E96" s="34"/>
      <c r="F96" s="154" t="s">
        <v>2343</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187</v>
      </c>
      <c r="AU96" s="19" t="s">
        <v>87</v>
      </c>
    </row>
    <row r="97" spans="1:65" s="2" customFormat="1">
      <c r="A97" s="34"/>
      <c r="B97" s="35"/>
      <c r="C97" s="34"/>
      <c r="D97" s="158" t="s">
        <v>189</v>
      </c>
      <c r="E97" s="34"/>
      <c r="F97" s="159" t="s">
        <v>2344</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189</v>
      </c>
      <c r="AU97" s="19" t="s">
        <v>87</v>
      </c>
    </row>
    <row r="98" spans="1:65" s="2" customFormat="1" ht="58.5">
      <c r="A98" s="34"/>
      <c r="B98" s="35"/>
      <c r="C98" s="34"/>
      <c r="D98" s="153" t="s">
        <v>191</v>
      </c>
      <c r="E98" s="34"/>
      <c r="F98" s="160" t="s">
        <v>2339</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191</v>
      </c>
      <c r="AU98" s="19" t="s">
        <v>87</v>
      </c>
    </row>
    <row r="99" spans="1:65" s="13" customFormat="1">
      <c r="B99" s="161"/>
      <c r="D99" s="153" t="s">
        <v>193</v>
      </c>
      <c r="F99" s="163" t="s">
        <v>3720</v>
      </c>
      <c r="H99" s="164">
        <v>607.5</v>
      </c>
      <c r="I99" s="165"/>
      <c r="L99" s="161"/>
      <c r="M99" s="166"/>
      <c r="N99" s="167"/>
      <c r="O99" s="167"/>
      <c r="P99" s="167"/>
      <c r="Q99" s="167"/>
      <c r="R99" s="167"/>
      <c r="S99" s="167"/>
      <c r="T99" s="168"/>
      <c r="AT99" s="162" t="s">
        <v>193</v>
      </c>
      <c r="AU99" s="162" t="s">
        <v>87</v>
      </c>
      <c r="AV99" s="13" t="s">
        <v>87</v>
      </c>
      <c r="AW99" s="13" t="s">
        <v>4</v>
      </c>
      <c r="AX99" s="13" t="s">
        <v>85</v>
      </c>
      <c r="AY99" s="162" t="s">
        <v>177</v>
      </c>
    </row>
    <row r="100" spans="1:65" s="2" customFormat="1" ht="16.5" customHeight="1">
      <c r="A100" s="34"/>
      <c r="B100" s="139"/>
      <c r="C100" s="140" t="s">
        <v>185</v>
      </c>
      <c r="D100" s="140" t="s">
        <v>180</v>
      </c>
      <c r="E100" s="141" t="s">
        <v>3721</v>
      </c>
      <c r="F100" s="142" t="s">
        <v>3722</v>
      </c>
      <c r="G100" s="143" t="s">
        <v>808</v>
      </c>
      <c r="H100" s="144">
        <v>60.75</v>
      </c>
      <c r="I100" s="145"/>
      <c r="J100" s="146">
        <f>ROUND(I100*H100,2)</f>
        <v>0</v>
      </c>
      <c r="K100" s="142" t="s">
        <v>184</v>
      </c>
      <c r="L100" s="35"/>
      <c r="M100" s="147" t="s">
        <v>3</v>
      </c>
      <c r="N100" s="148" t="s">
        <v>48</v>
      </c>
      <c r="O100" s="55"/>
      <c r="P100" s="149">
        <f>O100*H100</f>
        <v>0</v>
      </c>
      <c r="Q100" s="149">
        <v>0</v>
      </c>
      <c r="R100" s="149">
        <f>Q100*H100</f>
        <v>0</v>
      </c>
      <c r="S100" s="149">
        <v>0</v>
      </c>
      <c r="T100" s="150">
        <f>S100*H100</f>
        <v>0</v>
      </c>
      <c r="U100" s="34"/>
      <c r="V100" s="34"/>
      <c r="W100" s="34"/>
      <c r="X100" s="34"/>
      <c r="Y100" s="34"/>
      <c r="Z100" s="34"/>
      <c r="AA100" s="34"/>
      <c r="AB100" s="34"/>
      <c r="AC100" s="34"/>
      <c r="AD100" s="34"/>
      <c r="AE100" s="34"/>
      <c r="AR100" s="151" t="s">
        <v>185</v>
      </c>
      <c r="AT100" s="151" t="s">
        <v>180</v>
      </c>
      <c r="AU100" s="151" t="s">
        <v>87</v>
      </c>
      <c r="AY100" s="19" t="s">
        <v>177</v>
      </c>
      <c r="BE100" s="152">
        <f>IF(N100="základní",J100,0)</f>
        <v>0</v>
      </c>
      <c r="BF100" s="152">
        <f>IF(N100="snížená",J100,0)</f>
        <v>0</v>
      </c>
      <c r="BG100" s="152">
        <f>IF(N100="zákl. přenesená",J100,0)</f>
        <v>0</v>
      </c>
      <c r="BH100" s="152">
        <f>IF(N100="sníž. přenesená",J100,0)</f>
        <v>0</v>
      </c>
      <c r="BI100" s="152">
        <f>IF(N100="nulová",J100,0)</f>
        <v>0</v>
      </c>
      <c r="BJ100" s="19" t="s">
        <v>85</v>
      </c>
      <c r="BK100" s="152">
        <f>ROUND(I100*H100,2)</f>
        <v>0</v>
      </c>
      <c r="BL100" s="19" t="s">
        <v>185</v>
      </c>
      <c r="BM100" s="151" t="s">
        <v>3723</v>
      </c>
    </row>
    <row r="101" spans="1:65" s="2" customFormat="1" ht="19.5">
      <c r="A101" s="34"/>
      <c r="B101" s="35"/>
      <c r="C101" s="34"/>
      <c r="D101" s="153" t="s">
        <v>187</v>
      </c>
      <c r="E101" s="34"/>
      <c r="F101" s="154" t="s">
        <v>3724</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187</v>
      </c>
      <c r="AU101" s="19" t="s">
        <v>87</v>
      </c>
    </row>
    <row r="102" spans="1:65" s="2" customFormat="1">
      <c r="A102" s="34"/>
      <c r="B102" s="35"/>
      <c r="C102" s="34"/>
      <c r="D102" s="158" t="s">
        <v>189</v>
      </c>
      <c r="E102" s="34"/>
      <c r="F102" s="159" t="s">
        <v>3725</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189</v>
      </c>
      <c r="AU102" s="19" t="s">
        <v>87</v>
      </c>
    </row>
    <row r="103" spans="1:65" s="2" customFormat="1" ht="87.75">
      <c r="A103" s="34"/>
      <c r="B103" s="35"/>
      <c r="C103" s="34"/>
      <c r="D103" s="153" t="s">
        <v>191</v>
      </c>
      <c r="E103" s="34"/>
      <c r="F103" s="160" t="s">
        <v>3726</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191</v>
      </c>
      <c r="AU103" s="19" t="s">
        <v>87</v>
      </c>
    </row>
    <row r="104" spans="1:65" s="13" customFormat="1">
      <c r="B104" s="161"/>
      <c r="D104" s="153" t="s">
        <v>193</v>
      </c>
      <c r="E104" s="162" t="s">
        <v>3</v>
      </c>
      <c r="F104" s="163" t="s">
        <v>3727</v>
      </c>
      <c r="H104" s="164">
        <v>60.75</v>
      </c>
      <c r="I104" s="165"/>
      <c r="L104" s="161"/>
      <c r="M104" s="166"/>
      <c r="N104" s="167"/>
      <c r="O104" s="167"/>
      <c r="P104" s="167"/>
      <c r="Q104" s="167"/>
      <c r="R104" s="167"/>
      <c r="S104" s="167"/>
      <c r="T104" s="168"/>
      <c r="AT104" s="162" t="s">
        <v>193</v>
      </c>
      <c r="AU104" s="162" t="s">
        <v>87</v>
      </c>
      <c r="AV104" s="13" t="s">
        <v>87</v>
      </c>
      <c r="AW104" s="13" t="s">
        <v>36</v>
      </c>
      <c r="AX104" s="13" t="s">
        <v>85</v>
      </c>
      <c r="AY104" s="162" t="s">
        <v>177</v>
      </c>
    </row>
    <row r="105" spans="1:65" s="2" customFormat="1" ht="16.5" customHeight="1">
      <c r="A105" s="34"/>
      <c r="B105" s="139"/>
      <c r="C105" s="195" t="s">
        <v>200</v>
      </c>
      <c r="D105" s="195" t="s">
        <v>484</v>
      </c>
      <c r="E105" s="196" t="s">
        <v>3728</v>
      </c>
      <c r="F105" s="197" t="s">
        <v>3729</v>
      </c>
      <c r="G105" s="198" t="s">
        <v>808</v>
      </c>
      <c r="H105" s="199">
        <v>60.75</v>
      </c>
      <c r="I105" s="200"/>
      <c r="J105" s="201">
        <f>ROUND(I105*H105,2)</f>
        <v>0</v>
      </c>
      <c r="K105" s="197" t="s">
        <v>184</v>
      </c>
      <c r="L105" s="202"/>
      <c r="M105" s="203" t="s">
        <v>3</v>
      </c>
      <c r="N105" s="204" t="s">
        <v>48</v>
      </c>
      <c r="O105" s="55"/>
      <c r="P105" s="149">
        <f>O105*H105</f>
        <v>0</v>
      </c>
      <c r="Q105" s="149">
        <v>0.75</v>
      </c>
      <c r="R105" s="149">
        <f>Q105*H105</f>
        <v>45.5625</v>
      </c>
      <c r="S105" s="149">
        <v>0</v>
      </c>
      <c r="T105" s="150">
        <f>S105*H105</f>
        <v>0</v>
      </c>
      <c r="U105" s="34"/>
      <c r="V105" s="34"/>
      <c r="W105" s="34"/>
      <c r="X105" s="34"/>
      <c r="Y105" s="34"/>
      <c r="Z105" s="34"/>
      <c r="AA105" s="34"/>
      <c r="AB105" s="34"/>
      <c r="AC105" s="34"/>
      <c r="AD105" s="34"/>
      <c r="AE105" s="34"/>
      <c r="AR105" s="151" t="s">
        <v>248</v>
      </c>
      <c r="AT105" s="151" t="s">
        <v>484</v>
      </c>
      <c r="AU105" s="151" t="s">
        <v>87</v>
      </c>
      <c r="AY105" s="19" t="s">
        <v>177</v>
      </c>
      <c r="BE105" s="152">
        <f>IF(N105="základní",J105,0)</f>
        <v>0</v>
      </c>
      <c r="BF105" s="152">
        <f>IF(N105="snížená",J105,0)</f>
        <v>0</v>
      </c>
      <c r="BG105" s="152">
        <f>IF(N105="zákl. přenesená",J105,0)</f>
        <v>0</v>
      </c>
      <c r="BH105" s="152">
        <f>IF(N105="sníž. přenesená",J105,0)</f>
        <v>0</v>
      </c>
      <c r="BI105" s="152">
        <f>IF(N105="nulová",J105,0)</f>
        <v>0</v>
      </c>
      <c r="BJ105" s="19" t="s">
        <v>85</v>
      </c>
      <c r="BK105" s="152">
        <f>ROUND(I105*H105,2)</f>
        <v>0</v>
      </c>
      <c r="BL105" s="19" t="s">
        <v>185</v>
      </c>
      <c r="BM105" s="151" t="s">
        <v>3730</v>
      </c>
    </row>
    <row r="106" spans="1:65" s="2" customFormat="1">
      <c r="A106" s="34"/>
      <c r="B106" s="35"/>
      <c r="C106" s="34"/>
      <c r="D106" s="153" t="s">
        <v>187</v>
      </c>
      <c r="E106" s="34"/>
      <c r="F106" s="154" t="s">
        <v>3729</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187</v>
      </c>
      <c r="AU106" s="19" t="s">
        <v>87</v>
      </c>
    </row>
    <row r="107" spans="1:65" s="2" customFormat="1" ht="16.5" customHeight="1">
      <c r="A107" s="34"/>
      <c r="B107" s="139"/>
      <c r="C107" s="140" t="s">
        <v>233</v>
      </c>
      <c r="D107" s="140" t="s">
        <v>180</v>
      </c>
      <c r="E107" s="141" t="s">
        <v>3731</v>
      </c>
      <c r="F107" s="142" t="s">
        <v>3732</v>
      </c>
      <c r="G107" s="143" t="s">
        <v>808</v>
      </c>
      <c r="H107" s="144">
        <v>486</v>
      </c>
      <c r="I107" s="145"/>
      <c r="J107" s="146">
        <f>ROUND(I107*H107,2)</f>
        <v>0</v>
      </c>
      <c r="K107" s="142" t="s">
        <v>184</v>
      </c>
      <c r="L107" s="35"/>
      <c r="M107" s="147" t="s">
        <v>3</v>
      </c>
      <c r="N107" s="148" t="s">
        <v>48</v>
      </c>
      <c r="O107" s="55"/>
      <c r="P107" s="149">
        <f>O107*H107</f>
        <v>0</v>
      </c>
      <c r="Q107" s="149">
        <v>0</v>
      </c>
      <c r="R107" s="149">
        <f>Q107*H107</f>
        <v>0</v>
      </c>
      <c r="S107" s="149">
        <v>0</v>
      </c>
      <c r="T107" s="150">
        <f>S107*H107</f>
        <v>0</v>
      </c>
      <c r="U107" s="34"/>
      <c r="V107" s="34"/>
      <c r="W107" s="34"/>
      <c r="X107" s="34"/>
      <c r="Y107" s="34"/>
      <c r="Z107" s="34"/>
      <c r="AA107" s="34"/>
      <c r="AB107" s="34"/>
      <c r="AC107" s="34"/>
      <c r="AD107" s="34"/>
      <c r="AE107" s="34"/>
      <c r="AR107" s="151" t="s">
        <v>185</v>
      </c>
      <c r="AT107" s="151" t="s">
        <v>180</v>
      </c>
      <c r="AU107" s="151" t="s">
        <v>87</v>
      </c>
      <c r="AY107" s="19" t="s">
        <v>177</v>
      </c>
      <c r="BE107" s="152">
        <f>IF(N107="základní",J107,0)</f>
        <v>0</v>
      </c>
      <c r="BF107" s="152">
        <f>IF(N107="snížená",J107,0)</f>
        <v>0</v>
      </c>
      <c r="BG107" s="152">
        <f>IF(N107="zákl. přenesená",J107,0)</f>
        <v>0</v>
      </c>
      <c r="BH107" s="152">
        <f>IF(N107="sníž. přenesená",J107,0)</f>
        <v>0</v>
      </c>
      <c r="BI107" s="152">
        <f>IF(N107="nulová",J107,0)</f>
        <v>0</v>
      </c>
      <c r="BJ107" s="19" t="s">
        <v>85</v>
      </c>
      <c r="BK107" s="152">
        <f>ROUND(I107*H107,2)</f>
        <v>0</v>
      </c>
      <c r="BL107" s="19" t="s">
        <v>185</v>
      </c>
      <c r="BM107" s="151" t="s">
        <v>3733</v>
      </c>
    </row>
    <row r="108" spans="1:65" s="2" customFormat="1" ht="19.5">
      <c r="A108" s="34"/>
      <c r="B108" s="35"/>
      <c r="C108" s="34"/>
      <c r="D108" s="153" t="s">
        <v>187</v>
      </c>
      <c r="E108" s="34"/>
      <c r="F108" s="154" t="s">
        <v>3734</v>
      </c>
      <c r="G108" s="34"/>
      <c r="H108" s="34"/>
      <c r="I108" s="155"/>
      <c r="J108" s="34"/>
      <c r="K108" s="34"/>
      <c r="L108" s="35"/>
      <c r="M108" s="156"/>
      <c r="N108" s="157"/>
      <c r="O108" s="55"/>
      <c r="P108" s="55"/>
      <c r="Q108" s="55"/>
      <c r="R108" s="55"/>
      <c r="S108" s="55"/>
      <c r="T108" s="56"/>
      <c r="U108" s="34"/>
      <c r="V108" s="34"/>
      <c r="W108" s="34"/>
      <c r="X108" s="34"/>
      <c r="Y108" s="34"/>
      <c r="Z108" s="34"/>
      <c r="AA108" s="34"/>
      <c r="AB108" s="34"/>
      <c r="AC108" s="34"/>
      <c r="AD108" s="34"/>
      <c r="AE108" s="34"/>
      <c r="AT108" s="19" t="s">
        <v>187</v>
      </c>
      <c r="AU108" s="19" t="s">
        <v>87</v>
      </c>
    </row>
    <row r="109" spans="1:65" s="2" customFormat="1">
      <c r="A109" s="34"/>
      <c r="B109" s="35"/>
      <c r="C109" s="34"/>
      <c r="D109" s="158" t="s">
        <v>189</v>
      </c>
      <c r="E109" s="34"/>
      <c r="F109" s="159" t="s">
        <v>3735</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189</v>
      </c>
      <c r="AU109" s="19" t="s">
        <v>87</v>
      </c>
    </row>
    <row r="110" spans="1:65" s="2" customFormat="1" ht="87.75">
      <c r="A110" s="34"/>
      <c r="B110" s="35"/>
      <c r="C110" s="34"/>
      <c r="D110" s="153" t="s">
        <v>191</v>
      </c>
      <c r="E110" s="34"/>
      <c r="F110" s="160" t="s">
        <v>3726</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191</v>
      </c>
      <c r="AU110" s="19" t="s">
        <v>87</v>
      </c>
    </row>
    <row r="111" spans="1:65" s="2" customFormat="1" ht="16.5" customHeight="1">
      <c r="A111" s="34"/>
      <c r="B111" s="139"/>
      <c r="C111" s="140" t="s">
        <v>241</v>
      </c>
      <c r="D111" s="140" t="s">
        <v>180</v>
      </c>
      <c r="E111" s="141" t="s">
        <v>3736</v>
      </c>
      <c r="F111" s="142" t="s">
        <v>3737</v>
      </c>
      <c r="G111" s="143" t="s">
        <v>808</v>
      </c>
      <c r="H111" s="144">
        <v>486</v>
      </c>
      <c r="I111" s="145"/>
      <c r="J111" s="146">
        <f>ROUND(I111*H111,2)</f>
        <v>0</v>
      </c>
      <c r="K111" s="142" t="s">
        <v>184</v>
      </c>
      <c r="L111" s="35"/>
      <c r="M111" s="147" t="s">
        <v>3</v>
      </c>
      <c r="N111" s="148" t="s">
        <v>48</v>
      </c>
      <c r="O111" s="55"/>
      <c r="P111" s="149">
        <f>O111*H111</f>
        <v>0</v>
      </c>
      <c r="Q111" s="149">
        <v>0</v>
      </c>
      <c r="R111" s="149">
        <f>Q111*H111</f>
        <v>0</v>
      </c>
      <c r="S111" s="149">
        <v>0</v>
      </c>
      <c r="T111" s="150">
        <f>S111*H111</f>
        <v>0</v>
      </c>
      <c r="U111" s="34"/>
      <c r="V111" s="34"/>
      <c r="W111" s="34"/>
      <c r="X111" s="34"/>
      <c r="Y111" s="34"/>
      <c r="Z111" s="34"/>
      <c r="AA111" s="34"/>
      <c r="AB111" s="34"/>
      <c r="AC111" s="34"/>
      <c r="AD111" s="34"/>
      <c r="AE111" s="34"/>
      <c r="AR111" s="151" t="s">
        <v>185</v>
      </c>
      <c r="AT111" s="151" t="s">
        <v>180</v>
      </c>
      <c r="AU111" s="151" t="s">
        <v>87</v>
      </c>
      <c r="AY111" s="19" t="s">
        <v>177</v>
      </c>
      <c r="BE111" s="152">
        <f>IF(N111="základní",J111,0)</f>
        <v>0</v>
      </c>
      <c r="BF111" s="152">
        <f>IF(N111="snížená",J111,0)</f>
        <v>0</v>
      </c>
      <c r="BG111" s="152">
        <f>IF(N111="zákl. přenesená",J111,0)</f>
        <v>0</v>
      </c>
      <c r="BH111" s="152">
        <f>IF(N111="sníž. přenesená",J111,0)</f>
        <v>0</v>
      </c>
      <c r="BI111" s="152">
        <f>IF(N111="nulová",J111,0)</f>
        <v>0</v>
      </c>
      <c r="BJ111" s="19" t="s">
        <v>85</v>
      </c>
      <c r="BK111" s="152">
        <f>ROUND(I111*H111,2)</f>
        <v>0</v>
      </c>
      <c r="BL111" s="19" t="s">
        <v>185</v>
      </c>
      <c r="BM111" s="151" t="s">
        <v>3738</v>
      </c>
    </row>
    <row r="112" spans="1:65" s="2" customFormat="1" ht="19.5">
      <c r="A112" s="34"/>
      <c r="B112" s="35"/>
      <c r="C112" s="34"/>
      <c r="D112" s="153" t="s">
        <v>187</v>
      </c>
      <c r="E112" s="34"/>
      <c r="F112" s="154" t="s">
        <v>3739</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187</v>
      </c>
      <c r="AU112" s="19" t="s">
        <v>87</v>
      </c>
    </row>
    <row r="113" spans="1:65" s="2" customFormat="1">
      <c r="A113" s="34"/>
      <c r="B113" s="35"/>
      <c r="C113" s="34"/>
      <c r="D113" s="158" t="s">
        <v>189</v>
      </c>
      <c r="E113" s="34"/>
      <c r="F113" s="159" t="s">
        <v>3740</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189</v>
      </c>
      <c r="AU113" s="19" t="s">
        <v>87</v>
      </c>
    </row>
    <row r="114" spans="1:65" s="2" customFormat="1" ht="136.5">
      <c r="A114" s="34"/>
      <c r="B114" s="35"/>
      <c r="C114" s="34"/>
      <c r="D114" s="153" t="s">
        <v>191</v>
      </c>
      <c r="E114" s="34"/>
      <c r="F114" s="160" t="s">
        <v>3741</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191</v>
      </c>
      <c r="AU114" s="19" t="s">
        <v>87</v>
      </c>
    </row>
    <row r="115" spans="1:65" s="14" customFormat="1">
      <c r="B115" s="169"/>
      <c r="D115" s="153" t="s">
        <v>193</v>
      </c>
      <c r="E115" s="170" t="s">
        <v>3</v>
      </c>
      <c r="F115" s="171" t="s">
        <v>3742</v>
      </c>
      <c r="H115" s="170" t="s">
        <v>3</v>
      </c>
      <c r="I115" s="172"/>
      <c r="L115" s="169"/>
      <c r="M115" s="173"/>
      <c r="N115" s="174"/>
      <c r="O115" s="174"/>
      <c r="P115" s="174"/>
      <c r="Q115" s="174"/>
      <c r="R115" s="174"/>
      <c r="S115" s="174"/>
      <c r="T115" s="175"/>
      <c r="AT115" s="170" t="s">
        <v>193</v>
      </c>
      <c r="AU115" s="170" t="s">
        <v>87</v>
      </c>
      <c r="AV115" s="14" t="s">
        <v>85</v>
      </c>
      <c r="AW115" s="14" t="s">
        <v>36</v>
      </c>
      <c r="AX115" s="14" t="s">
        <v>77</v>
      </c>
      <c r="AY115" s="170" t="s">
        <v>177</v>
      </c>
    </row>
    <row r="116" spans="1:65" s="13" customFormat="1">
      <c r="B116" s="161"/>
      <c r="D116" s="153" t="s">
        <v>193</v>
      </c>
      <c r="E116" s="162" t="s">
        <v>3</v>
      </c>
      <c r="F116" s="163" t="s">
        <v>3743</v>
      </c>
      <c r="H116" s="164">
        <v>486</v>
      </c>
      <c r="I116" s="165"/>
      <c r="L116" s="161"/>
      <c r="M116" s="166"/>
      <c r="N116" s="167"/>
      <c r="O116" s="167"/>
      <c r="P116" s="167"/>
      <c r="Q116" s="167"/>
      <c r="R116" s="167"/>
      <c r="S116" s="167"/>
      <c r="T116" s="168"/>
      <c r="AT116" s="162" t="s">
        <v>193</v>
      </c>
      <c r="AU116" s="162" t="s">
        <v>87</v>
      </c>
      <c r="AV116" s="13" t="s">
        <v>87</v>
      </c>
      <c r="AW116" s="13" t="s">
        <v>36</v>
      </c>
      <c r="AX116" s="13" t="s">
        <v>85</v>
      </c>
      <c r="AY116" s="162" t="s">
        <v>177</v>
      </c>
    </row>
    <row r="117" spans="1:65" s="2" customFormat="1" ht="21.75" customHeight="1">
      <c r="A117" s="34"/>
      <c r="B117" s="139"/>
      <c r="C117" s="140" t="s">
        <v>248</v>
      </c>
      <c r="D117" s="140" t="s">
        <v>180</v>
      </c>
      <c r="E117" s="141" t="s">
        <v>3744</v>
      </c>
      <c r="F117" s="142" t="s">
        <v>3745</v>
      </c>
      <c r="G117" s="143" t="s">
        <v>332</v>
      </c>
      <c r="H117" s="144">
        <v>405</v>
      </c>
      <c r="I117" s="145"/>
      <c r="J117" s="146">
        <f>ROUND(I117*H117,2)</f>
        <v>0</v>
      </c>
      <c r="K117" s="142" t="s">
        <v>184</v>
      </c>
      <c r="L117" s="35"/>
      <c r="M117" s="147" t="s">
        <v>3</v>
      </c>
      <c r="N117" s="148" t="s">
        <v>48</v>
      </c>
      <c r="O117" s="55"/>
      <c r="P117" s="149">
        <f>O117*H117</f>
        <v>0</v>
      </c>
      <c r="Q117" s="149">
        <v>0</v>
      </c>
      <c r="R117" s="149">
        <f>Q117*H117</f>
        <v>0</v>
      </c>
      <c r="S117" s="149">
        <v>0</v>
      </c>
      <c r="T117" s="150">
        <f>S117*H117</f>
        <v>0</v>
      </c>
      <c r="U117" s="34"/>
      <c r="V117" s="34"/>
      <c r="W117" s="34"/>
      <c r="X117" s="34"/>
      <c r="Y117" s="34"/>
      <c r="Z117" s="34"/>
      <c r="AA117" s="34"/>
      <c r="AB117" s="34"/>
      <c r="AC117" s="34"/>
      <c r="AD117" s="34"/>
      <c r="AE117" s="34"/>
      <c r="AR117" s="151" t="s">
        <v>185</v>
      </c>
      <c r="AT117" s="151" t="s">
        <v>180</v>
      </c>
      <c r="AU117" s="151" t="s">
        <v>87</v>
      </c>
      <c r="AY117" s="19" t="s">
        <v>177</v>
      </c>
      <c r="BE117" s="152">
        <f>IF(N117="základní",J117,0)</f>
        <v>0</v>
      </c>
      <c r="BF117" s="152">
        <f>IF(N117="snížená",J117,0)</f>
        <v>0</v>
      </c>
      <c r="BG117" s="152">
        <f>IF(N117="zákl. přenesená",J117,0)</f>
        <v>0</v>
      </c>
      <c r="BH117" s="152">
        <f>IF(N117="sníž. přenesená",J117,0)</f>
        <v>0</v>
      </c>
      <c r="BI117" s="152">
        <f>IF(N117="nulová",J117,0)</f>
        <v>0</v>
      </c>
      <c r="BJ117" s="19" t="s">
        <v>85</v>
      </c>
      <c r="BK117" s="152">
        <f>ROUND(I117*H117,2)</f>
        <v>0</v>
      </c>
      <c r="BL117" s="19" t="s">
        <v>185</v>
      </c>
      <c r="BM117" s="151" t="s">
        <v>3746</v>
      </c>
    </row>
    <row r="118" spans="1:65" s="2" customFormat="1" ht="19.5">
      <c r="A118" s="34"/>
      <c r="B118" s="35"/>
      <c r="C118" s="34"/>
      <c r="D118" s="153" t="s">
        <v>187</v>
      </c>
      <c r="E118" s="34"/>
      <c r="F118" s="154" t="s">
        <v>3747</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187</v>
      </c>
      <c r="AU118" s="19" t="s">
        <v>87</v>
      </c>
    </row>
    <row r="119" spans="1:65" s="2" customFormat="1">
      <c r="A119" s="34"/>
      <c r="B119" s="35"/>
      <c r="C119" s="34"/>
      <c r="D119" s="158" t="s">
        <v>189</v>
      </c>
      <c r="E119" s="34"/>
      <c r="F119" s="159" t="s">
        <v>3748</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189</v>
      </c>
      <c r="AU119" s="19" t="s">
        <v>87</v>
      </c>
    </row>
    <row r="120" spans="1:65" s="2" customFormat="1" ht="48.75">
      <c r="A120" s="34"/>
      <c r="B120" s="35"/>
      <c r="C120" s="34"/>
      <c r="D120" s="153" t="s">
        <v>191</v>
      </c>
      <c r="E120" s="34"/>
      <c r="F120" s="160" t="s">
        <v>3749</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191</v>
      </c>
      <c r="AU120" s="19" t="s">
        <v>87</v>
      </c>
    </row>
    <row r="121" spans="1:65" s="2" customFormat="1" ht="16.5" customHeight="1">
      <c r="A121" s="34"/>
      <c r="B121" s="139"/>
      <c r="C121" s="140" t="s">
        <v>252</v>
      </c>
      <c r="D121" s="140" t="s">
        <v>180</v>
      </c>
      <c r="E121" s="141" t="s">
        <v>3750</v>
      </c>
      <c r="F121" s="142" t="s">
        <v>3751</v>
      </c>
      <c r="G121" s="143" t="s">
        <v>332</v>
      </c>
      <c r="H121" s="144">
        <v>405</v>
      </c>
      <c r="I121" s="145"/>
      <c r="J121" s="146">
        <f>ROUND(I121*H121,2)</f>
        <v>0</v>
      </c>
      <c r="K121" s="142" t="s">
        <v>184</v>
      </c>
      <c r="L121" s="35"/>
      <c r="M121" s="147" t="s">
        <v>3</v>
      </c>
      <c r="N121" s="148" t="s">
        <v>48</v>
      </c>
      <c r="O121" s="55"/>
      <c r="P121" s="149">
        <f>O121*H121</f>
        <v>0</v>
      </c>
      <c r="Q121" s="149">
        <v>0</v>
      </c>
      <c r="R121" s="149">
        <f>Q121*H121</f>
        <v>0</v>
      </c>
      <c r="S121" s="149">
        <v>0</v>
      </c>
      <c r="T121" s="150">
        <f>S121*H121</f>
        <v>0</v>
      </c>
      <c r="U121" s="34"/>
      <c r="V121" s="34"/>
      <c r="W121" s="34"/>
      <c r="X121" s="34"/>
      <c r="Y121" s="34"/>
      <c r="Z121" s="34"/>
      <c r="AA121" s="34"/>
      <c r="AB121" s="34"/>
      <c r="AC121" s="34"/>
      <c r="AD121" s="34"/>
      <c r="AE121" s="34"/>
      <c r="AR121" s="151" t="s">
        <v>185</v>
      </c>
      <c r="AT121" s="151" t="s">
        <v>180</v>
      </c>
      <c r="AU121" s="151" t="s">
        <v>87</v>
      </c>
      <c r="AY121" s="19" t="s">
        <v>177</v>
      </c>
      <c r="BE121" s="152">
        <f>IF(N121="základní",J121,0)</f>
        <v>0</v>
      </c>
      <c r="BF121" s="152">
        <f>IF(N121="snížená",J121,0)</f>
        <v>0</v>
      </c>
      <c r="BG121" s="152">
        <f>IF(N121="zákl. přenesená",J121,0)</f>
        <v>0</v>
      </c>
      <c r="BH121" s="152">
        <f>IF(N121="sníž. přenesená",J121,0)</f>
        <v>0</v>
      </c>
      <c r="BI121" s="152">
        <f>IF(N121="nulová",J121,0)</f>
        <v>0</v>
      </c>
      <c r="BJ121" s="19" t="s">
        <v>85</v>
      </c>
      <c r="BK121" s="152">
        <f>ROUND(I121*H121,2)</f>
        <v>0</v>
      </c>
      <c r="BL121" s="19" t="s">
        <v>185</v>
      </c>
      <c r="BM121" s="151" t="s">
        <v>3752</v>
      </c>
    </row>
    <row r="122" spans="1:65" s="2" customFormat="1">
      <c r="A122" s="34"/>
      <c r="B122" s="35"/>
      <c r="C122" s="34"/>
      <c r="D122" s="153" t="s">
        <v>187</v>
      </c>
      <c r="E122" s="34"/>
      <c r="F122" s="154" t="s">
        <v>3753</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187</v>
      </c>
      <c r="AU122" s="19" t="s">
        <v>87</v>
      </c>
    </row>
    <row r="123" spans="1:65" s="2" customFormat="1">
      <c r="A123" s="34"/>
      <c r="B123" s="35"/>
      <c r="C123" s="34"/>
      <c r="D123" s="158" t="s">
        <v>189</v>
      </c>
      <c r="E123" s="34"/>
      <c r="F123" s="159" t="s">
        <v>3754</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189</v>
      </c>
      <c r="AU123" s="19" t="s">
        <v>87</v>
      </c>
    </row>
    <row r="124" spans="1:65" s="2" customFormat="1" ht="107.25">
      <c r="A124" s="34"/>
      <c r="B124" s="35"/>
      <c r="C124" s="34"/>
      <c r="D124" s="153" t="s">
        <v>191</v>
      </c>
      <c r="E124" s="34"/>
      <c r="F124" s="160" t="s">
        <v>3755</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191</v>
      </c>
      <c r="AU124" s="19" t="s">
        <v>87</v>
      </c>
    </row>
    <row r="125" spans="1:65" s="2" customFormat="1" ht="16.5" customHeight="1">
      <c r="A125" s="34"/>
      <c r="B125" s="139"/>
      <c r="C125" s="195" t="s">
        <v>258</v>
      </c>
      <c r="D125" s="195" t="s">
        <v>484</v>
      </c>
      <c r="E125" s="196" t="s">
        <v>3756</v>
      </c>
      <c r="F125" s="197" t="s">
        <v>3757</v>
      </c>
      <c r="G125" s="198" t="s">
        <v>1630</v>
      </c>
      <c r="H125" s="199">
        <v>6.0750000000000002</v>
      </c>
      <c r="I125" s="200"/>
      <c r="J125" s="201">
        <f>ROUND(I125*H125,2)</f>
        <v>0</v>
      </c>
      <c r="K125" s="197" t="s">
        <v>184</v>
      </c>
      <c r="L125" s="202"/>
      <c r="M125" s="203" t="s">
        <v>3</v>
      </c>
      <c r="N125" s="204" t="s">
        <v>48</v>
      </c>
      <c r="O125" s="55"/>
      <c r="P125" s="149">
        <f>O125*H125</f>
        <v>0</v>
      </c>
      <c r="Q125" s="149">
        <v>1E-3</v>
      </c>
      <c r="R125" s="149">
        <f>Q125*H125</f>
        <v>6.0750000000000005E-3</v>
      </c>
      <c r="S125" s="149">
        <v>0</v>
      </c>
      <c r="T125" s="150">
        <f>S125*H125</f>
        <v>0</v>
      </c>
      <c r="U125" s="34"/>
      <c r="V125" s="34"/>
      <c r="W125" s="34"/>
      <c r="X125" s="34"/>
      <c r="Y125" s="34"/>
      <c r="Z125" s="34"/>
      <c r="AA125" s="34"/>
      <c r="AB125" s="34"/>
      <c r="AC125" s="34"/>
      <c r="AD125" s="34"/>
      <c r="AE125" s="34"/>
      <c r="AR125" s="151" t="s">
        <v>248</v>
      </c>
      <c r="AT125" s="151" t="s">
        <v>484</v>
      </c>
      <c r="AU125" s="151" t="s">
        <v>87</v>
      </c>
      <c r="AY125" s="19" t="s">
        <v>177</v>
      </c>
      <c r="BE125" s="152">
        <f>IF(N125="základní",J125,0)</f>
        <v>0</v>
      </c>
      <c r="BF125" s="152">
        <f>IF(N125="snížená",J125,0)</f>
        <v>0</v>
      </c>
      <c r="BG125" s="152">
        <f>IF(N125="zákl. přenesená",J125,0)</f>
        <v>0</v>
      </c>
      <c r="BH125" s="152">
        <f>IF(N125="sníž. přenesená",J125,0)</f>
        <v>0</v>
      </c>
      <c r="BI125" s="152">
        <f>IF(N125="nulová",J125,0)</f>
        <v>0</v>
      </c>
      <c r="BJ125" s="19" t="s">
        <v>85</v>
      </c>
      <c r="BK125" s="152">
        <f>ROUND(I125*H125,2)</f>
        <v>0</v>
      </c>
      <c r="BL125" s="19" t="s">
        <v>185</v>
      </c>
      <c r="BM125" s="151" t="s">
        <v>3758</v>
      </c>
    </row>
    <row r="126" spans="1:65" s="2" customFormat="1">
      <c r="A126" s="34"/>
      <c r="B126" s="35"/>
      <c r="C126" s="34"/>
      <c r="D126" s="153" t="s">
        <v>187</v>
      </c>
      <c r="E126" s="34"/>
      <c r="F126" s="154" t="s">
        <v>3757</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187</v>
      </c>
      <c r="AU126" s="19" t="s">
        <v>87</v>
      </c>
    </row>
    <row r="127" spans="1:65" s="13" customFormat="1">
      <c r="B127" s="161"/>
      <c r="D127" s="153" t="s">
        <v>193</v>
      </c>
      <c r="F127" s="163" t="s">
        <v>3759</v>
      </c>
      <c r="H127" s="164">
        <v>6.0750000000000002</v>
      </c>
      <c r="I127" s="165"/>
      <c r="L127" s="161"/>
      <c r="M127" s="166"/>
      <c r="N127" s="167"/>
      <c r="O127" s="167"/>
      <c r="P127" s="167"/>
      <c r="Q127" s="167"/>
      <c r="R127" s="167"/>
      <c r="S127" s="167"/>
      <c r="T127" s="168"/>
      <c r="AT127" s="162" t="s">
        <v>193</v>
      </c>
      <c r="AU127" s="162" t="s">
        <v>87</v>
      </c>
      <c r="AV127" s="13" t="s">
        <v>87</v>
      </c>
      <c r="AW127" s="13" t="s">
        <v>4</v>
      </c>
      <c r="AX127" s="13" t="s">
        <v>85</v>
      </c>
      <c r="AY127" s="162" t="s">
        <v>177</v>
      </c>
    </row>
    <row r="128" spans="1:65" s="2" customFormat="1" ht="16.5" customHeight="1">
      <c r="A128" s="34"/>
      <c r="B128" s="139"/>
      <c r="C128" s="140" t="s">
        <v>265</v>
      </c>
      <c r="D128" s="140" t="s">
        <v>180</v>
      </c>
      <c r="E128" s="141" t="s">
        <v>3760</v>
      </c>
      <c r="F128" s="142" t="s">
        <v>3761</v>
      </c>
      <c r="G128" s="143" t="s">
        <v>332</v>
      </c>
      <c r="H128" s="144">
        <v>405</v>
      </c>
      <c r="I128" s="145"/>
      <c r="J128" s="146">
        <f>ROUND(I128*H128,2)</f>
        <v>0</v>
      </c>
      <c r="K128" s="142" t="s">
        <v>184</v>
      </c>
      <c r="L128" s="35"/>
      <c r="M128" s="147" t="s">
        <v>3</v>
      </c>
      <c r="N128" s="148" t="s">
        <v>48</v>
      </c>
      <c r="O128" s="55"/>
      <c r="P128" s="149">
        <f>O128*H128</f>
        <v>0</v>
      </c>
      <c r="Q128" s="149">
        <v>0</v>
      </c>
      <c r="R128" s="149">
        <f>Q128*H128</f>
        <v>0</v>
      </c>
      <c r="S128" s="149">
        <v>0</v>
      </c>
      <c r="T128" s="150">
        <f>S128*H128</f>
        <v>0</v>
      </c>
      <c r="U128" s="34"/>
      <c r="V128" s="34"/>
      <c r="W128" s="34"/>
      <c r="X128" s="34"/>
      <c r="Y128" s="34"/>
      <c r="Z128" s="34"/>
      <c r="AA128" s="34"/>
      <c r="AB128" s="34"/>
      <c r="AC128" s="34"/>
      <c r="AD128" s="34"/>
      <c r="AE128" s="34"/>
      <c r="AR128" s="151" t="s">
        <v>185</v>
      </c>
      <c r="AT128" s="151" t="s">
        <v>180</v>
      </c>
      <c r="AU128" s="151" t="s">
        <v>87</v>
      </c>
      <c r="AY128" s="19" t="s">
        <v>177</v>
      </c>
      <c r="BE128" s="152">
        <f>IF(N128="základní",J128,0)</f>
        <v>0</v>
      </c>
      <c r="BF128" s="152">
        <f>IF(N128="snížená",J128,0)</f>
        <v>0</v>
      </c>
      <c r="BG128" s="152">
        <f>IF(N128="zákl. přenesená",J128,0)</f>
        <v>0</v>
      </c>
      <c r="BH128" s="152">
        <f>IF(N128="sníž. přenesená",J128,0)</f>
        <v>0</v>
      </c>
      <c r="BI128" s="152">
        <f>IF(N128="nulová",J128,0)</f>
        <v>0</v>
      </c>
      <c r="BJ128" s="19" t="s">
        <v>85</v>
      </c>
      <c r="BK128" s="152">
        <f>ROUND(I128*H128,2)</f>
        <v>0</v>
      </c>
      <c r="BL128" s="19" t="s">
        <v>185</v>
      </c>
      <c r="BM128" s="151" t="s">
        <v>3762</v>
      </c>
    </row>
    <row r="129" spans="1:65" s="2" customFormat="1">
      <c r="A129" s="34"/>
      <c r="B129" s="35"/>
      <c r="C129" s="34"/>
      <c r="D129" s="153" t="s">
        <v>187</v>
      </c>
      <c r="E129" s="34"/>
      <c r="F129" s="154" t="s">
        <v>3763</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187</v>
      </c>
      <c r="AU129" s="19" t="s">
        <v>87</v>
      </c>
    </row>
    <row r="130" spans="1:65" s="2" customFormat="1">
      <c r="A130" s="34"/>
      <c r="B130" s="35"/>
      <c r="C130" s="34"/>
      <c r="D130" s="158" t="s">
        <v>189</v>
      </c>
      <c r="E130" s="34"/>
      <c r="F130" s="159" t="s">
        <v>3764</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189</v>
      </c>
      <c r="AU130" s="19" t="s">
        <v>87</v>
      </c>
    </row>
    <row r="131" spans="1:65" s="2" customFormat="1" ht="87.75">
      <c r="A131" s="34"/>
      <c r="B131" s="35"/>
      <c r="C131" s="34"/>
      <c r="D131" s="153" t="s">
        <v>191</v>
      </c>
      <c r="E131" s="34"/>
      <c r="F131" s="160" t="s">
        <v>3765</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191</v>
      </c>
      <c r="AU131" s="19" t="s">
        <v>87</v>
      </c>
    </row>
    <row r="132" spans="1:65" s="2" customFormat="1" ht="16.5" customHeight="1">
      <c r="A132" s="34"/>
      <c r="B132" s="139"/>
      <c r="C132" s="140" t="s">
        <v>271</v>
      </c>
      <c r="D132" s="140" t="s">
        <v>180</v>
      </c>
      <c r="E132" s="141" t="s">
        <v>3766</v>
      </c>
      <c r="F132" s="142" t="s">
        <v>3767</v>
      </c>
      <c r="G132" s="143" t="s">
        <v>332</v>
      </c>
      <c r="H132" s="144">
        <v>405</v>
      </c>
      <c r="I132" s="145"/>
      <c r="J132" s="146">
        <f>ROUND(I132*H132,2)</f>
        <v>0</v>
      </c>
      <c r="K132" s="142" t="s">
        <v>184</v>
      </c>
      <c r="L132" s="35"/>
      <c r="M132" s="147" t="s">
        <v>3</v>
      </c>
      <c r="N132" s="148" t="s">
        <v>48</v>
      </c>
      <c r="O132" s="55"/>
      <c r="P132" s="149">
        <f>O132*H132</f>
        <v>0</v>
      </c>
      <c r="Q132" s="149">
        <v>0</v>
      </c>
      <c r="R132" s="149">
        <f>Q132*H132</f>
        <v>0</v>
      </c>
      <c r="S132" s="149">
        <v>0</v>
      </c>
      <c r="T132" s="150">
        <f>S132*H132</f>
        <v>0</v>
      </c>
      <c r="U132" s="34"/>
      <c r="V132" s="34"/>
      <c r="W132" s="34"/>
      <c r="X132" s="34"/>
      <c r="Y132" s="34"/>
      <c r="Z132" s="34"/>
      <c r="AA132" s="34"/>
      <c r="AB132" s="34"/>
      <c r="AC132" s="34"/>
      <c r="AD132" s="34"/>
      <c r="AE132" s="34"/>
      <c r="AR132" s="151" t="s">
        <v>185</v>
      </c>
      <c r="AT132" s="151" t="s">
        <v>180</v>
      </c>
      <c r="AU132" s="151" t="s">
        <v>87</v>
      </c>
      <c r="AY132" s="19" t="s">
        <v>177</v>
      </c>
      <c r="BE132" s="152">
        <f>IF(N132="základní",J132,0)</f>
        <v>0</v>
      </c>
      <c r="BF132" s="152">
        <f>IF(N132="snížená",J132,0)</f>
        <v>0</v>
      </c>
      <c r="BG132" s="152">
        <f>IF(N132="zákl. přenesená",J132,0)</f>
        <v>0</v>
      </c>
      <c r="BH132" s="152">
        <f>IF(N132="sníž. přenesená",J132,0)</f>
        <v>0</v>
      </c>
      <c r="BI132" s="152">
        <f>IF(N132="nulová",J132,0)</f>
        <v>0</v>
      </c>
      <c r="BJ132" s="19" t="s">
        <v>85</v>
      </c>
      <c r="BK132" s="152">
        <f>ROUND(I132*H132,2)</f>
        <v>0</v>
      </c>
      <c r="BL132" s="19" t="s">
        <v>185</v>
      </c>
      <c r="BM132" s="151" t="s">
        <v>3768</v>
      </c>
    </row>
    <row r="133" spans="1:65" s="2" customFormat="1">
      <c r="A133" s="34"/>
      <c r="B133" s="35"/>
      <c r="C133" s="34"/>
      <c r="D133" s="153" t="s">
        <v>187</v>
      </c>
      <c r="E133" s="34"/>
      <c r="F133" s="154" t="s">
        <v>3769</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187</v>
      </c>
      <c r="AU133" s="19" t="s">
        <v>87</v>
      </c>
    </row>
    <row r="134" spans="1:65" s="2" customFormat="1">
      <c r="A134" s="34"/>
      <c r="B134" s="35"/>
      <c r="C134" s="34"/>
      <c r="D134" s="158" t="s">
        <v>189</v>
      </c>
      <c r="E134" s="34"/>
      <c r="F134" s="159" t="s">
        <v>3770</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189</v>
      </c>
      <c r="AU134" s="19" t="s">
        <v>87</v>
      </c>
    </row>
    <row r="135" spans="1:65" s="2" customFormat="1" ht="87.75">
      <c r="A135" s="34"/>
      <c r="B135" s="35"/>
      <c r="C135" s="34"/>
      <c r="D135" s="153" t="s">
        <v>191</v>
      </c>
      <c r="E135" s="34"/>
      <c r="F135" s="160" t="s">
        <v>3765</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191</v>
      </c>
      <c r="AU135" s="19" t="s">
        <v>87</v>
      </c>
    </row>
    <row r="136" spans="1:65" s="12" customFormat="1" ht="22.9" customHeight="1">
      <c r="B136" s="126"/>
      <c r="D136" s="127" t="s">
        <v>76</v>
      </c>
      <c r="E136" s="137" t="s">
        <v>200</v>
      </c>
      <c r="F136" s="137" t="s">
        <v>3771</v>
      </c>
      <c r="I136" s="129"/>
      <c r="J136" s="138">
        <f>BK136</f>
        <v>0</v>
      </c>
      <c r="L136" s="126"/>
      <c r="M136" s="131"/>
      <c r="N136" s="132"/>
      <c r="O136" s="132"/>
      <c r="P136" s="133">
        <f>SUM(P137:P146)</f>
        <v>0</v>
      </c>
      <c r="Q136" s="132"/>
      <c r="R136" s="133">
        <f>SUM(R137:R146)</f>
        <v>230.67149999999998</v>
      </c>
      <c r="S136" s="132"/>
      <c r="T136" s="134">
        <f>SUM(T137:T146)</f>
        <v>0</v>
      </c>
      <c r="AR136" s="127" t="s">
        <v>85</v>
      </c>
      <c r="AT136" s="135" t="s">
        <v>76</v>
      </c>
      <c r="AU136" s="135" t="s">
        <v>85</v>
      </c>
      <c r="AY136" s="127" t="s">
        <v>177</v>
      </c>
      <c r="BK136" s="136">
        <f>SUM(BK137:BK146)</f>
        <v>0</v>
      </c>
    </row>
    <row r="137" spans="1:65" s="2" customFormat="1" ht="16.5" customHeight="1">
      <c r="A137" s="34"/>
      <c r="B137" s="139"/>
      <c r="C137" s="140" t="s">
        <v>277</v>
      </c>
      <c r="D137" s="140" t="s">
        <v>180</v>
      </c>
      <c r="E137" s="141" t="s">
        <v>3772</v>
      </c>
      <c r="F137" s="142" t="s">
        <v>3773</v>
      </c>
      <c r="G137" s="143" t="s">
        <v>332</v>
      </c>
      <c r="H137" s="144">
        <v>34.700000000000003</v>
      </c>
      <c r="I137" s="145"/>
      <c r="J137" s="146">
        <f>ROUND(I137*H137,2)</f>
        <v>0</v>
      </c>
      <c r="K137" s="142" t="s">
        <v>184</v>
      </c>
      <c r="L137" s="35"/>
      <c r="M137" s="147" t="s">
        <v>3</v>
      </c>
      <c r="N137" s="148" t="s">
        <v>48</v>
      </c>
      <c r="O137" s="55"/>
      <c r="P137" s="149">
        <f>O137*H137</f>
        <v>0</v>
      </c>
      <c r="Q137" s="149">
        <v>0.34499999999999997</v>
      </c>
      <c r="R137" s="149">
        <f>Q137*H137</f>
        <v>11.971500000000001</v>
      </c>
      <c r="S137" s="149">
        <v>0</v>
      </c>
      <c r="T137" s="150">
        <f>S137*H137</f>
        <v>0</v>
      </c>
      <c r="U137" s="34"/>
      <c r="V137" s="34"/>
      <c r="W137" s="34"/>
      <c r="X137" s="34"/>
      <c r="Y137" s="34"/>
      <c r="Z137" s="34"/>
      <c r="AA137" s="34"/>
      <c r="AB137" s="34"/>
      <c r="AC137" s="34"/>
      <c r="AD137" s="34"/>
      <c r="AE137" s="34"/>
      <c r="AR137" s="151" t="s">
        <v>185</v>
      </c>
      <c r="AT137" s="151" t="s">
        <v>180</v>
      </c>
      <c r="AU137" s="151" t="s">
        <v>87</v>
      </c>
      <c r="AY137" s="19" t="s">
        <v>177</v>
      </c>
      <c r="BE137" s="152">
        <f>IF(N137="základní",J137,0)</f>
        <v>0</v>
      </c>
      <c r="BF137" s="152">
        <f>IF(N137="snížená",J137,0)</f>
        <v>0</v>
      </c>
      <c r="BG137" s="152">
        <f>IF(N137="zákl. přenesená",J137,0)</f>
        <v>0</v>
      </c>
      <c r="BH137" s="152">
        <f>IF(N137="sníž. přenesená",J137,0)</f>
        <v>0</v>
      </c>
      <c r="BI137" s="152">
        <f>IF(N137="nulová",J137,0)</f>
        <v>0</v>
      </c>
      <c r="BJ137" s="19" t="s">
        <v>85</v>
      </c>
      <c r="BK137" s="152">
        <f>ROUND(I137*H137,2)</f>
        <v>0</v>
      </c>
      <c r="BL137" s="19" t="s">
        <v>185</v>
      </c>
      <c r="BM137" s="151" t="s">
        <v>3774</v>
      </c>
    </row>
    <row r="138" spans="1:65" s="2" customFormat="1">
      <c r="A138" s="34"/>
      <c r="B138" s="35"/>
      <c r="C138" s="34"/>
      <c r="D138" s="153" t="s">
        <v>187</v>
      </c>
      <c r="E138" s="34"/>
      <c r="F138" s="154" t="s">
        <v>3775</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187</v>
      </c>
      <c r="AU138" s="19" t="s">
        <v>87</v>
      </c>
    </row>
    <row r="139" spans="1:65" s="2" customFormat="1">
      <c r="A139" s="34"/>
      <c r="B139" s="35"/>
      <c r="C139" s="34"/>
      <c r="D139" s="158" t="s">
        <v>189</v>
      </c>
      <c r="E139" s="34"/>
      <c r="F139" s="159" t="s">
        <v>3776</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189</v>
      </c>
      <c r="AU139" s="19" t="s">
        <v>87</v>
      </c>
    </row>
    <row r="140" spans="1:65" s="2" customFormat="1" ht="16.5" customHeight="1">
      <c r="A140" s="34"/>
      <c r="B140" s="139"/>
      <c r="C140" s="140" t="s">
        <v>283</v>
      </c>
      <c r="D140" s="140" t="s">
        <v>180</v>
      </c>
      <c r="E140" s="141" t="s">
        <v>3777</v>
      </c>
      <c r="F140" s="142" t="s">
        <v>3778</v>
      </c>
      <c r="G140" s="143" t="s">
        <v>332</v>
      </c>
      <c r="H140" s="144">
        <v>405</v>
      </c>
      <c r="I140" s="145"/>
      <c r="J140" s="146">
        <f>ROUND(I140*H140,2)</f>
        <v>0</v>
      </c>
      <c r="K140" s="142" t="s">
        <v>184</v>
      </c>
      <c r="L140" s="35"/>
      <c r="M140" s="147" t="s">
        <v>3</v>
      </c>
      <c r="N140" s="148" t="s">
        <v>48</v>
      </c>
      <c r="O140" s="55"/>
      <c r="P140" s="149">
        <f>O140*H140</f>
        <v>0</v>
      </c>
      <c r="Q140" s="149">
        <v>0.18</v>
      </c>
      <c r="R140" s="149">
        <f>Q140*H140</f>
        <v>72.899999999999991</v>
      </c>
      <c r="S140" s="149">
        <v>0</v>
      </c>
      <c r="T140" s="150">
        <f>S140*H140</f>
        <v>0</v>
      </c>
      <c r="U140" s="34"/>
      <c r="V140" s="34"/>
      <c r="W140" s="34"/>
      <c r="X140" s="34"/>
      <c r="Y140" s="34"/>
      <c r="Z140" s="34"/>
      <c r="AA140" s="34"/>
      <c r="AB140" s="34"/>
      <c r="AC140" s="34"/>
      <c r="AD140" s="34"/>
      <c r="AE140" s="34"/>
      <c r="AR140" s="151" t="s">
        <v>185</v>
      </c>
      <c r="AT140" s="151" t="s">
        <v>180</v>
      </c>
      <c r="AU140" s="151" t="s">
        <v>87</v>
      </c>
      <c r="AY140" s="19" t="s">
        <v>177</v>
      </c>
      <c r="BE140" s="152">
        <f>IF(N140="základní",J140,0)</f>
        <v>0</v>
      </c>
      <c r="BF140" s="152">
        <f>IF(N140="snížená",J140,0)</f>
        <v>0</v>
      </c>
      <c r="BG140" s="152">
        <f>IF(N140="zákl. přenesená",J140,0)</f>
        <v>0</v>
      </c>
      <c r="BH140" s="152">
        <f>IF(N140="sníž. přenesená",J140,0)</f>
        <v>0</v>
      </c>
      <c r="BI140" s="152">
        <f>IF(N140="nulová",J140,0)</f>
        <v>0</v>
      </c>
      <c r="BJ140" s="19" t="s">
        <v>85</v>
      </c>
      <c r="BK140" s="152">
        <f>ROUND(I140*H140,2)</f>
        <v>0</v>
      </c>
      <c r="BL140" s="19" t="s">
        <v>185</v>
      </c>
      <c r="BM140" s="151" t="s">
        <v>3779</v>
      </c>
    </row>
    <row r="141" spans="1:65" s="2" customFormat="1">
      <c r="A141" s="34"/>
      <c r="B141" s="35"/>
      <c r="C141" s="34"/>
      <c r="D141" s="153" t="s">
        <v>187</v>
      </c>
      <c r="E141" s="34"/>
      <c r="F141" s="154" t="s">
        <v>3780</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187</v>
      </c>
      <c r="AU141" s="19" t="s">
        <v>87</v>
      </c>
    </row>
    <row r="142" spans="1:65" s="2" customFormat="1">
      <c r="A142" s="34"/>
      <c r="B142" s="35"/>
      <c r="C142" s="34"/>
      <c r="D142" s="158" t="s">
        <v>189</v>
      </c>
      <c r="E142" s="34"/>
      <c r="F142" s="159" t="s">
        <v>3781</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189</v>
      </c>
      <c r="AU142" s="19" t="s">
        <v>87</v>
      </c>
    </row>
    <row r="143" spans="1:65" s="13" customFormat="1">
      <c r="B143" s="161"/>
      <c r="D143" s="153" t="s">
        <v>193</v>
      </c>
      <c r="E143" s="162" t="s">
        <v>3</v>
      </c>
      <c r="F143" s="163" t="s">
        <v>3782</v>
      </c>
      <c r="H143" s="164">
        <v>405</v>
      </c>
      <c r="I143" s="165"/>
      <c r="L143" s="161"/>
      <c r="M143" s="166"/>
      <c r="N143" s="167"/>
      <c r="O143" s="167"/>
      <c r="P143" s="167"/>
      <c r="Q143" s="167"/>
      <c r="R143" s="167"/>
      <c r="S143" s="167"/>
      <c r="T143" s="168"/>
      <c r="AT143" s="162" t="s">
        <v>193</v>
      </c>
      <c r="AU143" s="162" t="s">
        <v>87</v>
      </c>
      <c r="AV143" s="13" t="s">
        <v>87</v>
      </c>
      <c r="AW143" s="13" t="s">
        <v>36</v>
      </c>
      <c r="AX143" s="13" t="s">
        <v>85</v>
      </c>
      <c r="AY143" s="162" t="s">
        <v>177</v>
      </c>
    </row>
    <row r="144" spans="1:65" s="2" customFormat="1" ht="16.5" customHeight="1">
      <c r="A144" s="34"/>
      <c r="B144" s="139"/>
      <c r="C144" s="140" t="s">
        <v>9</v>
      </c>
      <c r="D144" s="140" t="s">
        <v>180</v>
      </c>
      <c r="E144" s="141" t="s">
        <v>3783</v>
      </c>
      <c r="F144" s="142" t="s">
        <v>3784</v>
      </c>
      <c r="G144" s="143" t="s">
        <v>332</v>
      </c>
      <c r="H144" s="144">
        <v>405</v>
      </c>
      <c r="I144" s="145"/>
      <c r="J144" s="146">
        <f>ROUND(I144*H144,2)</f>
        <v>0</v>
      </c>
      <c r="K144" s="142" t="s">
        <v>184</v>
      </c>
      <c r="L144" s="35"/>
      <c r="M144" s="147" t="s">
        <v>3</v>
      </c>
      <c r="N144" s="148" t="s">
        <v>48</v>
      </c>
      <c r="O144" s="55"/>
      <c r="P144" s="149">
        <f>O144*H144</f>
        <v>0</v>
      </c>
      <c r="Q144" s="149">
        <v>0.36</v>
      </c>
      <c r="R144" s="149">
        <f>Q144*H144</f>
        <v>145.79999999999998</v>
      </c>
      <c r="S144" s="149">
        <v>0</v>
      </c>
      <c r="T144" s="150">
        <f>S144*H144</f>
        <v>0</v>
      </c>
      <c r="U144" s="34"/>
      <c r="V144" s="34"/>
      <c r="W144" s="34"/>
      <c r="X144" s="34"/>
      <c r="Y144" s="34"/>
      <c r="Z144" s="34"/>
      <c r="AA144" s="34"/>
      <c r="AB144" s="34"/>
      <c r="AC144" s="34"/>
      <c r="AD144" s="34"/>
      <c r="AE144" s="34"/>
      <c r="AR144" s="151" t="s">
        <v>185</v>
      </c>
      <c r="AT144" s="151" t="s">
        <v>180</v>
      </c>
      <c r="AU144" s="151" t="s">
        <v>87</v>
      </c>
      <c r="AY144" s="19" t="s">
        <v>177</v>
      </c>
      <c r="BE144" s="152">
        <f>IF(N144="základní",J144,0)</f>
        <v>0</v>
      </c>
      <c r="BF144" s="152">
        <f>IF(N144="snížená",J144,0)</f>
        <v>0</v>
      </c>
      <c r="BG144" s="152">
        <f>IF(N144="zákl. přenesená",J144,0)</f>
        <v>0</v>
      </c>
      <c r="BH144" s="152">
        <f>IF(N144="sníž. přenesená",J144,0)</f>
        <v>0</v>
      </c>
      <c r="BI144" s="152">
        <f>IF(N144="nulová",J144,0)</f>
        <v>0</v>
      </c>
      <c r="BJ144" s="19" t="s">
        <v>85</v>
      </c>
      <c r="BK144" s="152">
        <f>ROUND(I144*H144,2)</f>
        <v>0</v>
      </c>
      <c r="BL144" s="19" t="s">
        <v>185</v>
      </c>
      <c r="BM144" s="151" t="s">
        <v>3785</v>
      </c>
    </row>
    <row r="145" spans="1:65" s="2" customFormat="1">
      <c r="A145" s="34"/>
      <c r="B145" s="35"/>
      <c r="C145" s="34"/>
      <c r="D145" s="153" t="s">
        <v>187</v>
      </c>
      <c r="E145" s="34"/>
      <c r="F145" s="154" t="s">
        <v>3786</v>
      </c>
      <c r="G145" s="34"/>
      <c r="H145" s="34"/>
      <c r="I145" s="155"/>
      <c r="J145" s="34"/>
      <c r="K145" s="34"/>
      <c r="L145" s="35"/>
      <c r="M145" s="156"/>
      <c r="N145" s="157"/>
      <c r="O145" s="55"/>
      <c r="P145" s="55"/>
      <c r="Q145" s="55"/>
      <c r="R145" s="55"/>
      <c r="S145" s="55"/>
      <c r="T145" s="56"/>
      <c r="U145" s="34"/>
      <c r="V145" s="34"/>
      <c r="W145" s="34"/>
      <c r="X145" s="34"/>
      <c r="Y145" s="34"/>
      <c r="Z145" s="34"/>
      <c r="AA145" s="34"/>
      <c r="AB145" s="34"/>
      <c r="AC145" s="34"/>
      <c r="AD145" s="34"/>
      <c r="AE145" s="34"/>
      <c r="AT145" s="19" t="s">
        <v>187</v>
      </c>
      <c r="AU145" s="19" t="s">
        <v>87</v>
      </c>
    </row>
    <row r="146" spans="1:65" s="2" customFormat="1">
      <c r="A146" s="34"/>
      <c r="B146" s="35"/>
      <c r="C146" s="34"/>
      <c r="D146" s="158" t="s">
        <v>189</v>
      </c>
      <c r="E146" s="34"/>
      <c r="F146" s="159" t="s">
        <v>3787</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189</v>
      </c>
      <c r="AU146" s="19" t="s">
        <v>87</v>
      </c>
    </row>
    <row r="147" spans="1:65" s="12" customFormat="1" ht="22.9" customHeight="1">
      <c r="B147" s="126"/>
      <c r="D147" s="127" t="s">
        <v>76</v>
      </c>
      <c r="E147" s="137" t="s">
        <v>233</v>
      </c>
      <c r="F147" s="137" t="s">
        <v>626</v>
      </c>
      <c r="I147" s="129"/>
      <c r="J147" s="138">
        <f>BK147</f>
        <v>0</v>
      </c>
      <c r="L147" s="126"/>
      <c r="M147" s="131"/>
      <c r="N147" s="132"/>
      <c r="O147" s="132"/>
      <c r="P147" s="133">
        <f>SUM(P148:P158)</f>
        <v>0</v>
      </c>
      <c r="Q147" s="132"/>
      <c r="R147" s="133">
        <f>SUM(R148:R158)</f>
        <v>17.154131400000001</v>
      </c>
      <c r="S147" s="132"/>
      <c r="T147" s="134">
        <f>SUM(T148:T158)</f>
        <v>0</v>
      </c>
      <c r="AR147" s="127" t="s">
        <v>85</v>
      </c>
      <c r="AT147" s="135" t="s">
        <v>76</v>
      </c>
      <c r="AU147" s="135" t="s">
        <v>85</v>
      </c>
      <c r="AY147" s="127" t="s">
        <v>177</v>
      </c>
      <c r="BK147" s="136">
        <f>SUM(BK148:BK158)</f>
        <v>0</v>
      </c>
    </row>
    <row r="148" spans="1:65" s="2" customFormat="1" ht="16.5" customHeight="1">
      <c r="A148" s="34"/>
      <c r="B148" s="139"/>
      <c r="C148" s="140" t="s">
        <v>237</v>
      </c>
      <c r="D148" s="140" t="s">
        <v>180</v>
      </c>
      <c r="E148" s="141" t="s">
        <v>3788</v>
      </c>
      <c r="F148" s="142" t="s">
        <v>3789</v>
      </c>
      <c r="G148" s="143" t="s">
        <v>332</v>
      </c>
      <c r="H148" s="144">
        <v>34.700000000000003</v>
      </c>
      <c r="I148" s="145"/>
      <c r="J148" s="146">
        <f>ROUND(I148*H148,2)</f>
        <v>0</v>
      </c>
      <c r="K148" s="142" t="s">
        <v>184</v>
      </c>
      <c r="L148" s="35"/>
      <c r="M148" s="147" t="s">
        <v>3</v>
      </c>
      <c r="N148" s="148" t="s">
        <v>48</v>
      </c>
      <c r="O148" s="55"/>
      <c r="P148" s="149">
        <f>O148*H148</f>
        <v>0</v>
      </c>
      <c r="Q148" s="149">
        <v>0.29794799999999999</v>
      </c>
      <c r="R148" s="149">
        <f>Q148*H148</f>
        <v>10.338795600000001</v>
      </c>
      <c r="S148" s="149">
        <v>0</v>
      </c>
      <c r="T148" s="150">
        <f>S148*H148</f>
        <v>0</v>
      </c>
      <c r="U148" s="34"/>
      <c r="V148" s="34"/>
      <c r="W148" s="34"/>
      <c r="X148" s="34"/>
      <c r="Y148" s="34"/>
      <c r="Z148" s="34"/>
      <c r="AA148" s="34"/>
      <c r="AB148" s="34"/>
      <c r="AC148" s="34"/>
      <c r="AD148" s="34"/>
      <c r="AE148" s="34"/>
      <c r="AR148" s="151" t="s">
        <v>185</v>
      </c>
      <c r="AT148" s="151" t="s">
        <v>180</v>
      </c>
      <c r="AU148" s="151" t="s">
        <v>87</v>
      </c>
      <c r="AY148" s="19" t="s">
        <v>177</v>
      </c>
      <c r="BE148" s="152">
        <f>IF(N148="základní",J148,0)</f>
        <v>0</v>
      </c>
      <c r="BF148" s="152">
        <f>IF(N148="snížená",J148,0)</f>
        <v>0</v>
      </c>
      <c r="BG148" s="152">
        <f>IF(N148="zákl. přenesená",J148,0)</f>
        <v>0</v>
      </c>
      <c r="BH148" s="152">
        <f>IF(N148="sníž. přenesená",J148,0)</f>
        <v>0</v>
      </c>
      <c r="BI148" s="152">
        <f>IF(N148="nulová",J148,0)</f>
        <v>0</v>
      </c>
      <c r="BJ148" s="19" t="s">
        <v>85</v>
      </c>
      <c r="BK148" s="152">
        <f>ROUND(I148*H148,2)</f>
        <v>0</v>
      </c>
      <c r="BL148" s="19" t="s">
        <v>185</v>
      </c>
      <c r="BM148" s="151" t="s">
        <v>3790</v>
      </c>
    </row>
    <row r="149" spans="1:65" s="2" customFormat="1" ht="19.5">
      <c r="A149" s="34"/>
      <c r="B149" s="35"/>
      <c r="C149" s="34"/>
      <c r="D149" s="153" t="s">
        <v>187</v>
      </c>
      <c r="E149" s="34"/>
      <c r="F149" s="154" t="s">
        <v>3791</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187</v>
      </c>
      <c r="AU149" s="19" t="s">
        <v>87</v>
      </c>
    </row>
    <row r="150" spans="1:65" s="2" customFormat="1">
      <c r="A150" s="34"/>
      <c r="B150" s="35"/>
      <c r="C150" s="34"/>
      <c r="D150" s="158" t="s">
        <v>189</v>
      </c>
      <c r="E150" s="34"/>
      <c r="F150" s="159" t="s">
        <v>3792</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189</v>
      </c>
      <c r="AU150" s="19" t="s">
        <v>87</v>
      </c>
    </row>
    <row r="151" spans="1:65" s="13" customFormat="1">
      <c r="B151" s="161"/>
      <c r="D151" s="153" t="s">
        <v>193</v>
      </c>
      <c r="E151" s="162" t="s">
        <v>3</v>
      </c>
      <c r="F151" s="163" t="s">
        <v>3793</v>
      </c>
      <c r="H151" s="164">
        <v>34.700000000000003</v>
      </c>
      <c r="I151" s="165"/>
      <c r="L151" s="161"/>
      <c r="M151" s="166"/>
      <c r="N151" s="167"/>
      <c r="O151" s="167"/>
      <c r="P151" s="167"/>
      <c r="Q151" s="167"/>
      <c r="R151" s="167"/>
      <c r="S151" s="167"/>
      <c r="T151" s="168"/>
      <c r="AT151" s="162" t="s">
        <v>193</v>
      </c>
      <c r="AU151" s="162" t="s">
        <v>87</v>
      </c>
      <c r="AV151" s="13" t="s">
        <v>87</v>
      </c>
      <c r="AW151" s="13" t="s">
        <v>36</v>
      </c>
      <c r="AX151" s="13" t="s">
        <v>85</v>
      </c>
      <c r="AY151" s="162" t="s">
        <v>177</v>
      </c>
    </row>
    <row r="152" spans="1:65" s="2" customFormat="1" ht="16.5" customHeight="1">
      <c r="A152" s="34"/>
      <c r="B152" s="139"/>
      <c r="C152" s="140" t="s">
        <v>302</v>
      </c>
      <c r="D152" s="140" t="s">
        <v>180</v>
      </c>
      <c r="E152" s="141" t="s">
        <v>3794</v>
      </c>
      <c r="F152" s="142" t="s">
        <v>3795</v>
      </c>
      <c r="G152" s="143" t="s">
        <v>476</v>
      </c>
      <c r="H152" s="144">
        <v>39.700000000000003</v>
      </c>
      <c r="I152" s="145"/>
      <c r="J152" s="146">
        <f>ROUND(I152*H152,2)</f>
        <v>0</v>
      </c>
      <c r="K152" s="142" t="s">
        <v>184</v>
      </c>
      <c r="L152" s="35"/>
      <c r="M152" s="147" t="s">
        <v>3</v>
      </c>
      <c r="N152" s="148" t="s">
        <v>48</v>
      </c>
      <c r="O152" s="55"/>
      <c r="P152" s="149">
        <f>O152*H152</f>
        <v>0</v>
      </c>
      <c r="Q152" s="149">
        <v>1.8E-3</v>
      </c>
      <c r="R152" s="149">
        <f>Q152*H152</f>
        <v>7.146000000000001E-2</v>
      </c>
      <c r="S152" s="149">
        <v>0</v>
      </c>
      <c r="T152" s="150">
        <f>S152*H152</f>
        <v>0</v>
      </c>
      <c r="U152" s="34"/>
      <c r="V152" s="34"/>
      <c r="W152" s="34"/>
      <c r="X152" s="34"/>
      <c r="Y152" s="34"/>
      <c r="Z152" s="34"/>
      <c r="AA152" s="34"/>
      <c r="AB152" s="34"/>
      <c r="AC152" s="34"/>
      <c r="AD152" s="34"/>
      <c r="AE152" s="34"/>
      <c r="AR152" s="151" t="s">
        <v>185</v>
      </c>
      <c r="AT152" s="151" t="s">
        <v>180</v>
      </c>
      <c r="AU152" s="151" t="s">
        <v>87</v>
      </c>
      <c r="AY152" s="19" t="s">
        <v>177</v>
      </c>
      <c r="BE152" s="152">
        <f>IF(N152="základní",J152,0)</f>
        <v>0</v>
      </c>
      <c r="BF152" s="152">
        <f>IF(N152="snížená",J152,0)</f>
        <v>0</v>
      </c>
      <c r="BG152" s="152">
        <f>IF(N152="zákl. přenesená",J152,0)</f>
        <v>0</v>
      </c>
      <c r="BH152" s="152">
        <f>IF(N152="sníž. přenesená",J152,0)</f>
        <v>0</v>
      </c>
      <c r="BI152" s="152">
        <f>IF(N152="nulová",J152,0)</f>
        <v>0</v>
      </c>
      <c r="BJ152" s="19" t="s">
        <v>85</v>
      </c>
      <c r="BK152" s="152">
        <f>ROUND(I152*H152,2)</f>
        <v>0</v>
      </c>
      <c r="BL152" s="19" t="s">
        <v>185</v>
      </c>
      <c r="BM152" s="151" t="s">
        <v>3796</v>
      </c>
    </row>
    <row r="153" spans="1:65" s="2" customFormat="1" ht="19.5">
      <c r="A153" s="34"/>
      <c r="B153" s="35"/>
      <c r="C153" s="34"/>
      <c r="D153" s="153" t="s">
        <v>187</v>
      </c>
      <c r="E153" s="34"/>
      <c r="F153" s="154" t="s">
        <v>3797</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187</v>
      </c>
      <c r="AU153" s="19" t="s">
        <v>87</v>
      </c>
    </row>
    <row r="154" spans="1:65" s="2" customFormat="1">
      <c r="A154" s="34"/>
      <c r="B154" s="35"/>
      <c r="C154" s="34"/>
      <c r="D154" s="158" t="s">
        <v>189</v>
      </c>
      <c r="E154" s="34"/>
      <c r="F154" s="159" t="s">
        <v>3798</v>
      </c>
      <c r="G154" s="34"/>
      <c r="H154" s="34"/>
      <c r="I154" s="155"/>
      <c r="J154" s="34"/>
      <c r="K154" s="34"/>
      <c r="L154" s="35"/>
      <c r="M154" s="156"/>
      <c r="N154" s="157"/>
      <c r="O154" s="55"/>
      <c r="P154" s="55"/>
      <c r="Q154" s="55"/>
      <c r="R154" s="55"/>
      <c r="S154" s="55"/>
      <c r="T154" s="56"/>
      <c r="U154" s="34"/>
      <c r="V154" s="34"/>
      <c r="W154" s="34"/>
      <c r="X154" s="34"/>
      <c r="Y154" s="34"/>
      <c r="Z154" s="34"/>
      <c r="AA154" s="34"/>
      <c r="AB154" s="34"/>
      <c r="AC154" s="34"/>
      <c r="AD154" s="34"/>
      <c r="AE154" s="34"/>
      <c r="AT154" s="19" t="s">
        <v>189</v>
      </c>
      <c r="AU154" s="19" t="s">
        <v>87</v>
      </c>
    </row>
    <row r="155" spans="1:65" s="2" customFormat="1" ht="16.5" customHeight="1">
      <c r="A155" s="34"/>
      <c r="B155" s="139"/>
      <c r="C155" s="140" t="s">
        <v>315</v>
      </c>
      <c r="D155" s="140" t="s">
        <v>180</v>
      </c>
      <c r="E155" s="141" t="s">
        <v>3799</v>
      </c>
      <c r="F155" s="142" t="s">
        <v>3800</v>
      </c>
      <c r="G155" s="143" t="s">
        <v>476</v>
      </c>
      <c r="H155" s="144">
        <v>52.3</v>
      </c>
      <c r="I155" s="145"/>
      <c r="J155" s="146">
        <f>ROUND(I155*H155,2)</f>
        <v>0</v>
      </c>
      <c r="K155" s="142" t="s">
        <v>184</v>
      </c>
      <c r="L155" s="35"/>
      <c r="M155" s="147" t="s">
        <v>3</v>
      </c>
      <c r="N155" s="148" t="s">
        <v>48</v>
      </c>
      <c r="O155" s="55"/>
      <c r="P155" s="149">
        <f>O155*H155</f>
        <v>0</v>
      </c>
      <c r="Q155" s="149">
        <v>0.12894600000000001</v>
      </c>
      <c r="R155" s="149">
        <f>Q155*H155</f>
        <v>6.7438757999999996</v>
      </c>
      <c r="S155" s="149">
        <v>0</v>
      </c>
      <c r="T155" s="150">
        <f>S155*H155</f>
        <v>0</v>
      </c>
      <c r="U155" s="34"/>
      <c r="V155" s="34"/>
      <c r="W155" s="34"/>
      <c r="X155" s="34"/>
      <c r="Y155" s="34"/>
      <c r="Z155" s="34"/>
      <c r="AA155" s="34"/>
      <c r="AB155" s="34"/>
      <c r="AC155" s="34"/>
      <c r="AD155" s="34"/>
      <c r="AE155" s="34"/>
      <c r="AR155" s="151" t="s">
        <v>185</v>
      </c>
      <c r="AT155" s="151" t="s">
        <v>180</v>
      </c>
      <c r="AU155" s="151" t="s">
        <v>87</v>
      </c>
      <c r="AY155" s="19" t="s">
        <v>177</v>
      </c>
      <c r="BE155" s="152">
        <f>IF(N155="základní",J155,0)</f>
        <v>0</v>
      </c>
      <c r="BF155" s="152">
        <f>IF(N155="snížená",J155,0)</f>
        <v>0</v>
      </c>
      <c r="BG155" s="152">
        <f>IF(N155="zákl. přenesená",J155,0)</f>
        <v>0</v>
      </c>
      <c r="BH155" s="152">
        <f>IF(N155="sníž. přenesená",J155,0)</f>
        <v>0</v>
      </c>
      <c r="BI155" s="152">
        <f>IF(N155="nulová",J155,0)</f>
        <v>0</v>
      </c>
      <c r="BJ155" s="19" t="s">
        <v>85</v>
      </c>
      <c r="BK155" s="152">
        <f>ROUND(I155*H155,2)</f>
        <v>0</v>
      </c>
      <c r="BL155" s="19" t="s">
        <v>185</v>
      </c>
      <c r="BM155" s="151" t="s">
        <v>3801</v>
      </c>
    </row>
    <row r="156" spans="1:65" s="2" customFormat="1">
      <c r="A156" s="34"/>
      <c r="B156" s="35"/>
      <c r="C156" s="34"/>
      <c r="D156" s="153" t="s">
        <v>187</v>
      </c>
      <c r="E156" s="34"/>
      <c r="F156" s="154" t="s">
        <v>3802</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187</v>
      </c>
      <c r="AU156" s="19" t="s">
        <v>87</v>
      </c>
    </row>
    <row r="157" spans="1:65" s="2" customFormat="1">
      <c r="A157" s="34"/>
      <c r="B157" s="35"/>
      <c r="C157" s="34"/>
      <c r="D157" s="158" t="s">
        <v>189</v>
      </c>
      <c r="E157" s="34"/>
      <c r="F157" s="159" t="s">
        <v>3803</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189</v>
      </c>
      <c r="AU157" s="19" t="s">
        <v>87</v>
      </c>
    </row>
    <row r="158" spans="1:65" s="13" customFormat="1">
      <c r="B158" s="161"/>
      <c r="D158" s="153" t="s">
        <v>193</v>
      </c>
      <c r="E158" s="162" t="s">
        <v>3</v>
      </c>
      <c r="F158" s="163" t="s">
        <v>3804</v>
      </c>
      <c r="H158" s="164">
        <v>52.3</v>
      </c>
      <c r="I158" s="165"/>
      <c r="L158" s="161"/>
      <c r="M158" s="166"/>
      <c r="N158" s="167"/>
      <c r="O158" s="167"/>
      <c r="P158" s="167"/>
      <c r="Q158" s="167"/>
      <c r="R158" s="167"/>
      <c r="S158" s="167"/>
      <c r="T158" s="168"/>
      <c r="AT158" s="162" t="s">
        <v>193</v>
      </c>
      <c r="AU158" s="162" t="s">
        <v>87</v>
      </c>
      <c r="AV158" s="13" t="s">
        <v>87</v>
      </c>
      <c r="AW158" s="13" t="s">
        <v>36</v>
      </c>
      <c r="AX158" s="13" t="s">
        <v>85</v>
      </c>
      <c r="AY158" s="162" t="s">
        <v>177</v>
      </c>
    </row>
    <row r="159" spans="1:65" s="12" customFormat="1" ht="22.9" customHeight="1">
      <c r="B159" s="126"/>
      <c r="D159" s="127" t="s">
        <v>76</v>
      </c>
      <c r="E159" s="137" t="s">
        <v>518</v>
      </c>
      <c r="F159" s="137" t="s">
        <v>519</v>
      </c>
      <c r="I159" s="129"/>
      <c r="J159" s="138">
        <f>BK159</f>
        <v>0</v>
      </c>
      <c r="L159" s="126"/>
      <c r="M159" s="131"/>
      <c r="N159" s="132"/>
      <c r="O159" s="132"/>
      <c r="P159" s="133">
        <f>SUM(P160:P163)</f>
        <v>0</v>
      </c>
      <c r="Q159" s="132"/>
      <c r="R159" s="133">
        <f>SUM(R160:R163)</f>
        <v>0</v>
      </c>
      <c r="S159" s="132"/>
      <c r="T159" s="134">
        <f>SUM(T160:T163)</f>
        <v>0</v>
      </c>
      <c r="AR159" s="127" t="s">
        <v>85</v>
      </c>
      <c r="AT159" s="135" t="s">
        <v>76</v>
      </c>
      <c r="AU159" s="135" t="s">
        <v>85</v>
      </c>
      <c r="AY159" s="127" t="s">
        <v>177</v>
      </c>
      <c r="BK159" s="136">
        <f>SUM(BK160:BK163)</f>
        <v>0</v>
      </c>
    </row>
    <row r="160" spans="1:65" s="2" customFormat="1" ht="16.5" customHeight="1">
      <c r="A160" s="34"/>
      <c r="B160" s="139"/>
      <c r="C160" s="140" t="s">
        <v>461</v>
      </c>
      <c r="D160" s="140" t="s">
        <v>180</v>
      </c>
      <c r="E160" s="141" t="s">
        <v>3805</v>
      </c>
      <c r="F160" s="142" t="s">
        <v>3806</v>
      </c>
      <c r="G160" s="143" t="s">
        <v>183</v>
      </c>
      <c r="H160" s="144">
        <v>293.39400000000001</v>
      </c>
      <c r="I160" s="145"/>
      <c r="J160" s="146">
        <f>ROUND(I160*H160,2)</f>
        <v>0</v>
      </c>
      <c r="K160" s="142" t="s">
        <v>184</v>
      </c>
      <c r="L160" s="35"/>
      <c r="M160" s="147" t="s">
        <v>3</v>
      </c>
      <c r="N160" s="148" t="s">
        <v>48</v>
      </c>
      <c r="O160" s="55"/>
      <c r="P160" s="149">
        <f>O160*H160</f>
        <v>0</v>
      </c>
      <c r="Q160" s="149">
        <v>0</v>
      </c>
      <c r="R160" s="149">
        <f>Q160*H160</f>
        <v>0</v>
      </c>
      <c r="S160" s="149">
        <v>0</v>
      </c>
      <c r="T160" s="150">
        <f>S160*H160</f>
        <v>0</v>
      </c>
      <c r="U160" s="34"/>
      <c r="V160" s="34"/>
      <c r="W160" s="34"/>
      <c r="X160" s="34"/>
      <c r="Y160" s="34"/>
      <c r="Z160" s="34"/>
      <c r="AA160" s="34"/>
      <c r="AB160" s="34"/>
      <c r="AC160" s="34"/>
      <c r="AD160" s="34"/>
      <c r="AE160" s="34"/>
      <c r="AR160" s="151" t="s">
        <v>185</v>
      </c>
      <c r="AT160" s="151" t="s">
        <v>180</v>
      </c>
      <c r="AU160" s="151" t="s">
        <v>87</v>
      </c>
      <c r="AY160" s="19" t="s">
        <v>177</v>
      </c>
      <c r="BE160" s="152">
        <f>IF(N160="základní",J160,0)</f>
        <v>0</v>
      </c>
      <c r="BF160" s="152">
        <f>IF(N160="snížená",J160,0)</f>
        <v>0</v>
      </c>
      <c r="BG160" s="152">
        <f>IF(N160="zákl. přenesená",J160,0)</f>
        <v>0</v>
      </c>
      <c r="BH160" s="152">
        <f>IF(N160="sníž. přenesená",J160,0)</f>
        <v>0</v>
      </c>
      <c r="BI160" s="152">
        <f>IF(N160="nulová",J160,0)</f>
        <v>0</v>
      </c>
      <c r="BJ160" s="19" t="s">
        <v>85</v>
      </c>
      <c r="BK160" s="152">
        <f>ROUND(I160*H160,2)</f>
        <v>0</v>
      </c>
      <c r="BL160" s="19" t="s">
        <v>185</v>
      </c>
      <c r="BM160" s="151" t="s">
        <v>3807</v>
      </c>
    </row>
    <row r="161" spans="1:47" s="2" customFormat="1" ht="19.5">
      <c r="A161" s="34"/>
      <c r="B161" s="35"/>
      <c r="C161" s="34"/>
      <c r="D161" s="153" t="s">
        <v>187</v>
      </c>
      <c r="E161" s="34"/>
      <c r="F161" s="154" t="s">
        <v>3808</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187</v>
      </c>
      <c r="AU161" s="19" t="s">
        <v>87</v>
      </c>
    </row>
    <row r="162" spans="1:47" s="2" customFormat="1">
      <c r="A162" s="34"/>
      <c r="B162" s="35"/>
      <c r="C162" s="34"/>
      <c r="D162" s="158" t="s">
        <v>189</v>
      </c>
      <c r="E162" s="34"/>
      <c r="F162" s="159" t="s">
        <v>3809</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189</v>
      </c>
      <c r="AU162" s="19" t="s">
        <v>87</v>
      </c>
    </row>
    <row r="163" spans="1:47" s="2" customFormat="1" ht="58.5">
      <c r="A163" s="34"/>
      <c r="B163" s="35"/>
      <c r="C163" s="34"/>
      <c r="D163" s="153" t="s">
        <v>191</v>
      </c>
      <c r="E163" s="34"/>
      <c r="F163" s="160" t="s">
        <v>526</v>
      </c>
      <c r="G163" s="34"/>
      <c r="H163" s="34"/>
      <c r="I163" s="155"/>
      <c r="J163" s="34"/>
      <c r="K163" s="34"/>
      <c r="L163" s="35"/>
      <c r="M163" s="205"/>
      <c r="N163" s="206"/>
      <c r="O163" s="207"/>
      <c r="P163" s="207"/>
      <c r="Q163" s="207"/>
      <c r="R163" s="207"/>
      <c r="S163" s="207"/>
      <c r="T163" s="208"/>
      <c r="U163" s="34"/>
      <c r="V163" s="34"/>
      <c r="W163" s="34"/>
      <c r="X163" s="34"/>
      <c r="Y163" s="34"/>
      <c r="Z163" s="34"/>
      <c r="AA163" s="34"/>
      <c r="AB163" s="34"/>
      <c r="AC163" s="34"/>
      <c r="AD163" s="34"/>
      <c r="AE163" s="34"/>
      <c r="AT163" s="19" t="s">
        <v>191</v>
      </c>
      <c r="AU163" s="19" t="s">
        <v>87</v>
      </c>
    </row>
    <row r="164" spans="1:47" s="2" customFormat="1" ht="6.95" customHeight="1">
      <c r="A164" s="34"/>
      <c r="B164" s="44"/>
      <c r="C164" s="45"/>
      <c r="D164" s="45"/>
      <c r="E164" s="45"/>
      <c r="F164" s="45"/>
      <c r="G164" s="45"/>
      <c r="H164" s="45"/>
      <c r="I164" s="45"/>
      <c r="J164" s="45"/>
      <c r="K164" s="45"/>
      <c r="L164" s="35"/>
      <c r="M164" s="34"/>
      <c r="O164" s="34"/>
      <c r="P164" s="34"/>
      <c r="Q164" s="34"/>
      <c r="R164" s="34"/>
      <c r="S164" s="34"/>
      <c r="T164" s="34"/>
      <c r="U164" s="34"/>
      <c r="V164" s="34"/>
      <c r="W164" s="34"/>
      <c r="X164" s="34"/>
      <c r="Y164" s="34"/>
      <c r="Z164" s="34"/>
      <c r="AA164" s="34"/>
      <c r="AB164" s="34"/>
      <c r="AC164" s="34"/>
      <c r="AD164" s="34"/>
      <c r="AE164" s="34"/>
    </row>
  </sheetData>
  <autoFilter ref="C83:K163"/>
  <mergeCells count="9">
    <mergeCell ref="E50:H50"/>
    <mergeCell ref="E74:H74"/>
    <mergeCell ref="E76:H76"/>
    <mergeCell ref="L2:V2"/>
    <mergeCell ref="E7:H7"/>
    <mergeCell ref="E9:H9"/>
    <mergeCell ref="E18:H18"/>
    <mergeCell ref="E27:H27"/>
    <mergeCell ref="E48:H48"/>
  </mergeCells>
  <hyperlinks>
    <hyperlink ref="F89" r:id="rId1"/>
    <hyperlink ref="F93" r:id="rId2"/>
    <hyperlink ref="F97" r:id="rId3"/>
    <hyperlink ref="F102" r:id="rId4"/>
    <hyperlink ref="F109" r:id="rId5"/>
    <hyperlink ref="F113" r:id="rId6"/>
    <hyperlink ref="F119" r:id="rId7"/>
    <hyperlink ref="F123" r:id="rId8"/>
    <hyperlink ref="F130" r:id="rId9"/>
    <hyperlink ref="F134" r:id="rId10"/>
    <hyperlink ref="F139" r:id="rId11"/>
    <hyperlink ref="F142" r:id="rId12"/>
    <hyperlink ref="F146" r:id="rId13"/>
    <hyperlink ref="F150" r:id="rId14"/>
    <hyperlink ref="F154" r:id="rId15"/>
    <hyperlink ref="F157" r:id="rId16"/>
    <hyperlink ref="F162" r:id="rId17"/>
  </hyperlinks>
  <pageMargins left="0.39374999999999999" right="0.39374999999999999" top="0.39374999999999999" bottom="0.39374999999999999" header="0" footer="0"/>
  <pageSetup paperSize="9" scale="84" fitToHeight="100" orientation="landscape" blackAndWhite="1" r:id="rId18"/>
  <headerFooter>
    <oddFooter>&amp;CStrana &amp;P z &amp;N</oddFooter>
  </headerFooter>
  <drawing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1"/>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132</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3810</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ROUND(J82,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ROUND((SUM(BE82:BE100)),  2)</f>
        <v>0</v>
      </c>
      <c r="G33" s="34"/>
      <c r="H33" s="34"/>
      <c r="I33" s="98">
        <v>0.21</v>
      </c>
      <c r="J33" s="97">
        <f>ROUND(((SUM(BE82:BE100))*I33),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ROUND((SUM(BF82:BF100)),  2)</f>
        <v>0</v>
      </c>
      <c r="G34" s="34"/>
      <c r="H34" s="34"/>
      <c r="I34" s="98">
        <v>0.15</v>
      </c>
      <c r="J34" s="97">
        <f>ROUND(((SUM(BF82:BF100))*I34),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ROUND((SUM(BG82:BG100)),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ROUND((SUM(BH82:BH100)),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ROUND((SUM(BI82:BI100)),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SO 2 - UT</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J82</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155</v>
      </c>
      <c r="E60" s="110"/>
      <c r="F60" s="110"/>
      <c r="G60" s="110"/>
      <c r="H60" s="110"/>
      <c r="I60" s="110"/>
      <c r="J60" s="111">
        <f>J83</f>
        <v>0</v>
      </c>
      <c r="L60" s="108"/>
    </row>
    <row r="61" spans="1:47" s="10" customFormat="1" ht="19.899999999999999" customHeight="1">
      <c r="B61" s="112"/>
      <c r="D61" s="113" t="s">
        <v>3811</v>
      </c>
      <c r="E61" s="114"/>
      <c r="F61" s="114"/>
      <c r="G61" s="114"/>
      <c r="H61" s="114"/>
      <c r="I61" s="114"/>
      <c r="J61" s="115">
        <f>J84</f>
        <v>0</v>
      </c>
      <c r="L61" s="112"/>
    </row>
    <row r="62" spans="1:47" s="9" customFormat="1" ht="24.95" customHeight="1">
      <c r="B62" s="108"/>
      <c r="D62" s="109" t="s">
        <v>161</v>
      </c>
      <c r="E62" s="110"/>
      <c r="F62" s="110"/>
      <c r="G62" s="110"/>
      <c r="H62" s="110"/>
      <c r="I62" s="110"/>
      <c r="J62" s="111">
        <f>J95</f>
        <v>0</v>
      </c>
      <c r="L62" s="108"/>
    </row>
    <row r="63" spans="1:47" s="2" customFormat="1" ht="21.75" customHeight="1">
      <c r="A63" s="34"/>
      <c r="B63" s="35"/>
      <c r="C63" s="34"/>
      <c r="D63" s="34"/>
      <c r="E63" s="34"/>
      <c r="F63" s="34"/>
      <c r="G63" s="34"/>
      <c r="H63" s="34"/>
      <c r="I63" s="34"/>
      <c r="J63" s="34"/>
      <c r="K63" s="34"/>
      <c r="L63" s="91"/>
      <c r="S63" s="34"/>
      <c r="T63" s="34"/>
      <c r="U63" s="34"/>
      <c r="V63" s="34"/>
      <c r="W63" s="34"/>
      <c r="X63" s="34"/>
      <c r="Y63" s="34"/>
      <c r="Z63" s="34"/>
      <c r="AA63" s="34"/>
      <c r="AB63" s="34"/>
      <c r="AC63" s="34"/>
      <c r="AD63" s="34"/>
      <c r="AE63" s="34"/>
    </row>
    <row r="64" spans="1:47" s="2" customFormat="1" ht="6.95" customHeight="1">
      <c r="A64" s="34"/>
      <c r="B64" s="44"/>
      <c r="C64" s="45"/>
      <c r="D64" s="45"/>
      <c r="E64" s="45"/>
      <c r="F64" s="45"/>
      <c r="G64" s="45"/>
      <c r="H64" s="45"/>
      <c r="I64" s="45"/>
      <c r="J64" s="45"/>
      <c r="K64" s="45"/>
      <c r="L64" s="91"/>
      <c r="S64" s="34"/>
      <c r="T64" s="34"/>
      <c r="U64" s="34"/>
      <c r="V64" s="34"/>
      <c r="W64" s="34"/>
      <c r="X64" s="34"/>
      <c r="Y64" s="34"/>
      <c r="Z64" s="34"/>
      <c r="AA64" s="34"/>
      <c r="AB64" s="34"/>
      <c r="AC64" s="34"/>
      <c r="AD64" s="34"/>
      <c r="AE64" s="34"/>
    </row>
    <row r="68" spans="1:31" s="2" customFormat="1" ht="6.95" customHeight="1">
      <c r="A68" s="34"/>
      <c r="B68" s="46"/>
      <c r="C68" s="47"/>
      <c r="D68" s="47"/>
      <c r="E68" s="47"/>
      <c r="F68" s="47"/>
      <c r="G68" s="47"/>
      <c r="H68" s="47"/>
      <c r="I68" s="47"/>
      <c r="J68" s="47"/>
      <c r="K68" s="47"/>
      <c r="L68" s="91"/>
      <c r="S68" s="34"/>
      <c r="T68" s="34"/>
      <c r="U68" s="34"/>
      <c r="V68" s="34"/>
      <c r="W68" s="34"/>
      <c r="X68" s="34"/>
      <c r="Y68" s="34"/>
      <c r="Z68" s="34"/>
      <c r="AA68" s="34"/>
      <c r="AB68" s="34"/>
      <c r="AC68" s="34"/>
      <c r="AD68" s="34"/>
      <c r="AE68" s="34"/>
    </row>
    <row r="69" spans="1:31" s="2" customFormat="1" ht="24.95" customHeight="1">
      <c r="A69" s="34"/>
      <c r="B69" s="35"/>
      <c r="C69" s="23" t="s">
        <v>162</v>
      </c>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12" customHeight="1">
      <c r="A71" s="34"/>
      <c r="B71" s="35"/>
      <c r="C71" s="29" t="s">
        <v>17</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16.5" customHeight="1">
      <c r="A72" s="34"/>
      <c r="B72" s="35"/>
      <c r="C72" s="34"/>
      <c r="D72" s="34"/>
      <c r="E72" s="436" t="str">
        <f>E7</f>
        <v>ZŠ P. HOLÉHO - PŘESTAVBA PLAVECKÉHO PAVILONU</v>
      </c>
      <c r="F72" s="437"/>
      <c r="G72" s="437"/>
      <c r="H72" s="437"/>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146</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432" t="str">
        <f>E9</f>
        <v>SO 2 - UT</v>
      </c>
      <c r="F74" s="435"/>
      <c r="G74" s="435"/>
      <c r="H74" s="435"/>
      <c r="I74" s="34"/>
      <c r="J74" s="34"/>
      <c r="K74" s="34"/>
      <c r="L74" s="91"/>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21</v>
      </c>
      <c r="D76" s="34"/>
      <c r="E76" s="34"/>
      <c r="F76" s="27" t="str">
        <f>F12</f>
        <v>Prokopa Holého 2632, Louny, 440 01</v>
      </c>
      <c r="G76" s="34"/>
      <c r="H76" s="34"/>
      <c r="I76" s="29" t="s">
        <v>23</v>
      </c>
      <c r="J76" s="52" t="str">
        <f>IF(J12="","",J12)</f>
        <v>21. 9. 2022</v>
      </c>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5.2" customHeight="1">
      <c r="A78" s="34"/>
      <c r="B78" s="35"/>
      <c r="C78" s="29" t="s">
        <v>25</v>
      </c>
      <c r="D78" s="34"/>
      <c r="E78" s="34"/>
      <c r="F78" s="27" t="str">
        <f>E15</f>
        <v>Město Louny</v>
      </c>
      <c r="G78" s="34"/>
      <c r="H78" s="34"/>
      <c r="I78" s="29" t="s">
        <v>32</v>
      </c>
      <c r="J78" s="32" t="str">
        <f>E21</f>
        <v>RYSIK Design s.r.o.</v>
      </c>
      <c r="K78" s="34"/>
      <c r="L78" s="91"/>
      <c r="S78" s="34"/>
      <c r="T78" s="34"/>
      <c r="U78" s="34"/>
      <c r="V78" s="34"/>
      <c r="W78" s="34"/>
      <c r="X78" s="34"/>
      <c r="Y78" s="34"/>
      <c r="Z78" s="34"/>
      <c r="AA78" s="34"/>
      <c r="AB78" s="34"/>
      <c r="AC78" s="34"/>
      <c r="AD78" s="34"/>
      <c r="AE78" s="34"/>
    </row>
    <row r="79" spans="1:31" s="2" customFormat="1" ht="25.7" customHeight="1">
      <c r="A79" s="34"/>
      <c r="B79" s="35"/>
      <c r="C79" s="29" t="s">
        <v>30</v>
      </c>
      <c r="D79" s="34"/>
      <c r="E79" s="34"/>
      <c r="F79" s="27" t="str">
        <f>IF(E18="","",E18)</f>
        <v>Vyplň údaj</v>
      </c>
      <c r="G79" s="34"/>
      <c r="H79" s="34"/>
      <c r="I79" s="29" t="s">
        <v>37</v>
      </c>
      <c r="J79" s="32" t="str">
        <f>E24</f>
        <v>ing. Kateřina Tumpachová</v>
      </c>
      <c r="K79" s="34"/>
      <c r="L79" s="91"/>
      <c r="S79" s="34"/>
      <c r="T79" s="34"/>
      <c r="U79" s="34"/>
      <c r="V79" s="34"/>
      <c r="W79" s="34"/>
      <c r="X79" s="34"/>
      <c r="Y79" s="34"/>
      <c r="Z79" s="34"/>
      <c r="AA79" s="34"/>
      <c r="AB79" s="34"/>
      <c r="AC79" s="34"/>
      <c r="AD79" s="34"/>
      <c r="AE79" s="34"/>
    </row>
    <row r="80" spans="1:31" s="2" customFormat="1" ht="10.3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11" customFormat="1" ht="29.25" customHeight="1">
      <c r="A81" s="116"/>
      <c r="B81" s="117"/>
      <c r="C81" s="118" t="s">
        <v>163</v>
      </c>
      <c r="D81" s="119" t="s">
        <v>62</v>
      </c>
      <c r="E81" s="119" t="s">
        <v>58</v>
      </c>
      <c r="F81" s="119" t="s">
        <v>59</v>
      </c>
      <c r="G81" s="119" t="s">
        <v>164</v>
      </c>
      <c r="H81" s="119" t="s">
        <v>165</v>
      </c>
      <c r="I81" s="119" t="s">
        <v>166</v>
      </c>
      <c r="J81" s="119" t="s">
        <v>151</v>
      </c>
      <c r="K81" s="120" t="s">
        <v>167</v>
      </c>
      <c r="L81" s="121"/>
      <c r="M81" s="59" t="s">
        <v>3</v>
      </c>
      <c r="N81" s="60" t="s">
        <v>47</v>
      </c>
      <c r="O81" s="60" t="s">
        <v>168</v>
      </c>
      <c r="P81" s="60" t="s">
        <v>169</v>
      </c>
      <c r="Q81" s="60" t="s">
        <v>170</v>
      </c>
      <c r="R81" s="60" t="s">
        <v>171</v>
      </c>
      <c r="S81" s="60" t="s">
        <v>172</v>
      </c>
      <c r="T81" s="61" t="s">
        <v>173</v>
      </c>
      <c r="U81" s="116"/>
      <c r="V81" s="116"/>
      <c r="W81" s="116"/>
      <c r="X81" s="116"/>
      <c r="Y81" s="116"/>
      <c r="Z81" s="116"/>
      <c r="AA81" s="116"/>
      <c r="AB81" s="116"/>
      <c r="AC81" s="116"/>
      <c r="AD81" s="116"/>
      <c r="AE81" s="116"/>
    </row>
    <row r="82" spans="1:65" s="2" customFormat="1" ht="22.9" customHeight="1">
      <c r="A82" s="34"/>
      <c r="B82" s="35"/>
      <c r="C82" s="66" t="s">
        <v>174</v>
      </c>
      <c r="D82" s="34"/>
      <c r="E82" s="34"/>
      <c r="F82" s="34"/>
      <c r="G82" s="34"/>
      <c r="H82" s="34"/>
      <c r="I82" s="34"/>
      <c r="J82" s="122">
        <f>BK82</f>
        <v>0</v>
      </c>
      <c r="K82" s="34"/>
      <c r="L82" s="35"/>
      <c r="M82" s="62"/>
      <c r="N82" s="53"/>
      <c r="O82" s="63"/>
      <c r="P82" s="123">
        <f>P83+P95</f>
        <v>0</v>
      </c>
      <c r="Q82" s="63"/>
      <c r="R82" s="123">
        <f>R83+R95</f>
        <v>0</v>
      </c>
      <c r="S82" s="63"/>
      <c r="T82" s="124">
        <f>T83+T95</f>
        <v>0</v>
      </c>
      <c r="U82" s="34"/>
      <c r="V82" s="34"/>
      <c r="W82" s="34"/>
      <c r="X82" s="34"/>
      <c r="Y82" s="34"/>
      <c r="Z82" s="34"/>
      <c r="AA82" s="34"/>
      <c r="AB82" s="34"/>
      <c r="AC82" s="34"/>
      <c r="AD82" s="34"/>
      <c r="AE82" s="34"/>
      <c r="AT82" s="19" t="s">
        <v>76</v>
      </c>
      <c r="AU82" s="19" t="s">
        <v>152</v>
      </c>
      <c r="BK82" s="125">
        <f>BK83+BK95</f>
        <v>0</v>
      </c>
    </row>
    <row r="83" spans="1:65" s="12" customFormat="1" ht="25.9" customHeight="1">
      <c r="B83" s="126"/>
      <c r="D83" s="127" t="s">
        <v>76</v>
      </c>
      <c r="E83" s="128" t="s">
        <v>229</v>
      </c>
      <c r="F83" s="128" t="s">
        <v>230</v>
      </c>
      <c r="I83" s="129"/>
      <c r="J83" s="130">
        <f>BK83</f>
        <v>0</v>
      </c>
      <c r="L83" s="126"/>
      <c r="M83" s="131"/>
      <c r="N83" s="132"/>
      <c r="O83" s="132"/>
      <c r="P83" s="133">
        <f>P84</f>
        <v>0</v>
      </c>
      <c r="Q83" s="132"/>
      <c r="R83" s="133">
        <f>R84</f>
        <v>0</v>
      </c>
      <c r="S83" s="132"/>
      <c r="T83" s="134">
        <f>T84</f>
        <v>0</v>
      </c>
      <c r="AR83" s="127" t="s">
        <v>87</v>
      </c>
      <c r="AT83" s="135" t="s">
        <v>76</v>
      </c>
      <c r="AU83" s="135" t="s">
        <v>77</v>
      </c>
      <c r="AY83" s="127" t="s">
        <v>177</v>
      </c>
      <c r="BK83" s="136">
        <f>BK84</f>
        <v>0</v>
      </c>
    </row>
    <row r="84" spans="1:65" s="12" customFormat="1" ht="22.9" customHeight="1">
      <c r="B84" s="126"/>
      <c r="D84" s="127" t="s">
        <v>76</v>
      </c>
      <c r="E84" s="137" t="s">
        <v>3812</v>
      </c>
      <c r="F84" s="137" t="s">
        <v>3813</v>
      </c>
      <c r="I84" s="129"/>
      <c r="J84" s="138">
        <f>BK84</f>
        <v>0</v>
      </c>
      <c r="L84" s="126"/>
      <c r="M84" s="131"/>
      <c r="N84" s="132"/>
      <c r="O84" s="132"/>
      <c r="P84" s="133">
        <f>SUM(P85:P94)</f>
        <v>0</v>
      </c>
      <c r="Q84" s="132"/>
      <c r="R84" s="133">
        <f>SUM(R85:R94)</f>
        <v>0</v>
      </c>
      <c r="S84" s="132"/>
      <c r="T84" s="134">
        <f>SUM(T85:T94)</f>
        <v>0</v>
      </c>
      <c r="AR84" s="127" t="s">
        <v>87</v>
      </c>
      <c r="AT84" s="135" t="s">
        <v>76</v>
      </c>
      <c r="AU84" s="135" t="s">
        <v>85</v>
      </c>
      <c r="AY84" s="127" t="s">
        <v>177</v>
      </c>
      <c r="BK84" s="136">
        <f>SUM(BK85:BK94)</f>
        <v>0</v>
      </c>
    </row>
    <row r="85" spans="1:65" s="2" customFormat="1" ht="16.5" customHeight="1">
      <c r="A85" s="34"/>
      <c r="B85" s="139"/>
      <c r="C85" s="140" t="s">
        <v>85</v>
      </c>
      <c r="D85" s="140" t="s">
        <v>180</v>
      </c>
      <c r="E85" s="141" t="s">
        <v>131</v>
      </c>
      <c r="F85" s="142" t="s">
        <v>3814</v>
      </c>
      <c r="G85" s="143" t="s">
        <v>243</v>
      </c>
      <c r="H85" s="144">
        <v>1</v>
      </c>
      <c r="I85" s="145"/>
      <c r="J85" s="146">
        <f>ROUND(I85*H85,2)</f>
        <v>0</v>
      </c>
      <c r="K85" s="142" t="s">
        <v>3</v>
      </c>
      <c r="L85" s="35"/>
      <c r="M85" s="147" t="s">
        <v>3</v>
      </c>
      <c r="N85" s="148" t="s">
        <v>48</v>
      </c>
      <c r="O85" s="55"/>
      <c r="P85" s="149">
        <f>O85*H85</f>
        <v>0</v>
      </c>
      <c r="Q85" s="149">
        <v>0</v>
      </c>
      <c r="R85" s="149">
        <f>Q85*H85</f>
        <v>0</v>
      </c>
      <c r="S85" s="149">
        <v>0</v>
      </c>
      <c r="T85" s="150">
        <f>S85*H85</f>
        <v>0</v>
      </c>
      <c r="U85" s="34"/>
      <c r="V85" s="34"/>
      <c r="W85" s="34"/>
      <c r="X85" s="34"/>
      <c r="Y85" s="34"/>
      <c r="Z85" s="34"/>
      <c r="AA85" s="34"/>
      <c r="AB85" s="34"/>
      <c r="AC85" s="34"/>
      <c r="AD85" s="34"/>
      <c r="AE85" s="34"/>
      <c r="AR85" s="151" t="s">
        <v>237</v>
      </c>
      <c r="AT85" s="151" t="s">
        <v>180</v>
      </c>
      <c r="AU85" s="151" t="s">
        <v>87</v>
      </c>
      <c r="AY85" s="19" t="s">
        <v>177</v>
      </c>
      <c r="BE85" s="152">
        <f>IF(N85="základní",J85,0)</f>
        <v>0</v>
      </c>
      <c r="BF85" s="152">
        <f>IF(N85="snížená",J85,0)</f>
        <v>0</v>
      </c>
      <c r="BG85" s="152">
        <f>IF(N85="zákl. přenesená",J85,0)</f>
        <v>0</v>
      </c>
      <c r="BH85" s="152">
        <f>IF(N85="sníž. přenesená",J85,0)</f>
        <v>0</v>
      </c>
      <c r="BI85" s="152">
        <f>IF(N85="nulová",J85,0)</f>
        <v>0</v>
      </c>
      <c r="BJ85" s="19" t="s">
        <v>85</v>
      </c>
      <c r="BK85" s="152">
        <f>ROUND(I85*H85,2)</f>
        <v>0</v>
      </c>
      <c r="BL85" s="19" t="s">
        <v>237</v>
      </c>
      <c r="BM85" s="151" t="s">
        <v>3815</v>
      </c>
    </row>
    <row r="86" spans="1:65" s="2" customFormat="1">
      <c r="A86" s="34"/>
      <c r="B86" s="35"/>
      <c r="C86" s="34"/>
      <c r="D86" s="153" t="s">
        <v>187</v>
      </c>
      <c r="E86" s="34"/>
      <c r="F86" s="154" t="s">
        <v>3814</v>
      </c>
      <c r="G86" s="34"/>
      <c r="H86" s="34"/>
      <c r="I86" s="155"/>
      <c r="J86" s="34"/>
      <c r="K86" s="34"/>
      <c r="L86" s="35"/>
      <c r="M86" s="156"/>
      <c r="N86" s="157"/>
      <c r="O86" s="55"/>
      <c r="P86" s="55"/>
      <c r="Q86" s="55"/>
      <c r="R86" s="55"/>
      <c r="S86" s="55"/>
      <c r="T86" s="56"/>
      <c r="U86" s="34"/>
      <c r="V86" s="34"/>
      <c r="W86" s="34"/>
      <c r="X86" s="34"/>
      <c r="Y86" s="34"/>
      <c r="Z86" s="34"/>
      <c r="AA86" s="34"/>
      <c r="AB86" s="34"/>
      <c r="AC86" s="34"/>
      <c r="AD86" s="34"/>
      <c r="AE86" s="34"/>
      <c r="AT86" s="19" t="s">
        <v>187</v>
      </c>
      <c r="AU86" s="19" t="s">
        <v>87</v>
      </c>
    </row>
    <row r="87" spans="1:65" s="2" customFormat="1" ht="16.5" customHeight="1">
      <c r="A87" s="34"/>
      <c r="B87" s="139"/>
      <c r="C87" s="140" t="s">
        <v>87</v>
      </c>
      <c r="D87" s="140" t="s">
        <v>180</v>
      </c>
      <c r="E87" s="141" t="s">
        <v>3816</v>
      </c>
      <c r="F87" s="142" t="s">
        <v>3817</v>
      </c>
      <c r="G87" s="143" t="s">
        <v>243</v>
      </c>
      <c r="H87" s="144">
        <v>1</v>
      </c>
      <c r="I87" s="145"/>
      <c r="J87" s="146">
        <f>ROUND(I87*H87,2)</f>
        <v>0</v>
      </c>
      <c r="K87" s="142" t="s">
        <v>3</v>
      </c>
      <c r="L87" s="35"/>
      <c r="M87" s="147" t="s">
        <v>3</v>
      </c>
      <c r="N87" s="148" t="s">
        <v>48</v>
      </c>
      <c r="O87" s="55"/>
      <c r="P87" s="149">
        <f>O87*H87</f>
        <v>0</v>
      </c>
      <c r="Q87" s="149">
        <v>0</v>
      </c>
      <c r="R87" s="149">
        <f>Q87*H87</f>
        <v>0</v>
      </c>
      <c r="S87" s="149">
        <v>0</v>
      </c>
      <c r="T87" s="150">
        <f>S87*H87</f>
        <v>0</v>
      </c>
      <c r="U87" s="34"/>
      <c r="V87" s="34"/>
      <c r="W87" s="34"/>
      <c r="X87" s="34"/>
      <c r="Y87" s="34"/>
      <c r="Z87" s="34"/>
      <c r="AA87" s="34"/>
      <c r="AB87" s="34"/>
      <c r="AC87" s="34"/>
      <c r="AD87" s="34"/>
      <c r="AE87" s="34"/>
      <c r="AR87" s="151" t="s">
        <v>237</v>
      </c>
      <c r="AT87" s="151" t="s">
        <v>180</v>
      </c>
      <c r="AU87" s="151" t="s">
        <v>87</v>
      </c>
      <c r="AY87" s="19" t="s">
        <v>177</v>
      </c>
      <c r="BE87" s="152">
        <f>IF(N87="základní",J87,0)</f>
        <v>0</v>
      </c>
      <c r="BF87" s="152">
        <f>IF(N87="snížená",J87,0)</f>
        <v>0</v>
      </c>
      <c r="BG87" s="152">
        <f>IF(N87="zákl. přenesená",J87,0)</f>
        <v>0</v>
      </c>
      <c r="BH87" s="152">
        <f>IF(N87="sníž. přenesená",J87,0)</f>
        <v>0</v>
      </c>
      <c r="BI87" s="152">
        <f>IF(N87="nulová",J87,0)</f>
        <v>0</v>
      </c>
      <c r="BJ87" s="19" t="s">
        <v>85</v>
      </c>
      <c r="BK87" s="152">
        <f>ROUND(I87*H87,2)</f>
        <v>0</v>
      </c>
      <c r="BL87" s="19" t="s">
        <v>237</v>
      </c>
      <c r="BM87" s="151" t="s">
        <v>3818</v>
      </c>
    </row>
    <row r="88" spans="1:65" s="2" customFormat="1">
      <c r="A88" s="34"/>
      <c r="B88" s="35"/>
      <c r="C88" s="34"/>
      <c r="D88" s="153" t="s">
        <v>187</v>
      </c>
      <c r="E88" s="34"/>
      <c r="F88" s="154" t="s">
        <v>3817</v>
      </c>
      <c r="G88" s="34"/>
      <c r="H88" s="34"/>
      <c r="I88" s="155"/>
      <c r="J88" s="34"/>
      <c r="K88" s="34"/>
      <c r="L88" s="35"/>
      <c r="M88" s="156"/>
      <c r="N88" s="157"/>
      <c r="O88" s="55"/>
      <c r="P88" s="55"/>
      <c r="Q88" s="55"/>
      <c r="R88" s="55"/>
      <c r="S88" s="55"/>
      <c r="T88" s="56"/>
      <c r="U88" s="34"/>
      <c r="V88" s="34"/>
      <c r="W88" s="34"/>
      <c r="X88" s="34"/>
      <c r="Y88" s="34"/>
      <c r="Z88" s="34"/>
      <c r="AA88" s="34"/>
      <c r="AB88" s="34"/>
      <c r="AC88" s="34"/>
      <c r="AD88" s="34"/>
      <c r="AE88" s="34"/>
      <c r="AT88" s="19" t="s">
        <v>187</v>
      </c>
      <c r="AU88" s="19" t="s">
        <v>87</v>
      </c>
    </row>
    <row r="89" spans="1:65" s="2" customFormat="1" ht="16.5" customHeight="1">
      <c r="A89" s="34"/>
      <c r="B89" s="139"/>
      <c r="C89" s="140" t="s">
        <v>198</v>
      </c>
      <c r="D89" s="140" t="s">
        <v>180</v>
      </c>
      <c r="E89" s="141" t="s">
        <v>3819</v>
      </c>
      <c r="F89" s="142" t="s">
        <v>3820</v>
      </c>
      <c r="G89" s="143" t="s">
        <v>236</v>
      </c>
      <c r="H89" s="144">
        <v>8</v>
      </c>
      <c r="I89" s="145"/>
      <c r="J89" s="146">
        <f>ROUND(I89*H89,2)</f>
        <v>0</v>
      </c>
      <c r="K89" s="142" t="s">
        <v>3</v>
      </c>
      <c r="L89" s="35"/>
      <c r="M89" s="147" t="s">
        <v>3</v>
      </c>
      <c r="N89" s="148" t="s">
        <v>48</v>
      </c>
      <c r="O89" s="55"/>
      <c r="P89" s="149">
        <f>O89*H89</f>
        <v>0</v>
      </c>
      <c r="Q89" s="149">
        <v>0</v>
      </c>
      <c r="R89" s="149">
        <f>Q89*H89</f>
        <v>0</v>
      </c>
      <c r="S89" s="149">
        <v>0</v>
      </c>
      <c r="T89" s="150">
        <f>S89*H89</f>
        <v>0</v>
      </c>
      <c r="U89" s="34"/>
      <c r="V89" s="34"/>
      <c r="W89" s="34"/>
      <c r="X89" s="34"/>
      <c r="Y89" s="34"/>
      <c r="Z89" s="34"/>
      <c r="AA89" s="34"/>
      <c r="AB89" s="34"/>
      <c r="AC89" s="34"/>
      <c r="AD89" s="34"/>
      <c r="AE89" s="34"/>
      <c r="AR89" s="151" t="s">
        <v>237</v>
      </c>
      <c r="AT89" s="151" t="s">
        <v>180</v>
      </c>
      <c r="AU89" s="151" t="s">
        <v>87</v>
      </c>
      <c r="AY89" s="19" t="s">
        <v>177</v>
      </c>
      <c r="BE89" s="152">
        <f>IF(N89="základní",J89,0)</f>
        <v>0</v>
      </c>
      <c r="BF89" s="152">
        <f>IF(N89="snížená",J89,0)</f>
        <v>0</v>
      </c>
      <c r="BG89" s="152">
        <f>IF(N89="zákl. přenesená",J89,0)</f>
        <v>0</v>
      </c>
      <c r="BH89" s="152">
        <f>IF(N89="sníž. přenesená",J89,0)</f>
        <v>0</v>
      </c>
      <c r="BI89" s="152">
        <f>IF(N89="nulová",J89,0)</f>
        <v>0</v>
      </c>
      <c r="BJ89" s="19" t="s">
        <v>85</v>
      </c>
      <c r="BK89" s="152">
        <f>ROUND(I89*H89,2)</f>
        <v>0</v>
      </c>
      <c r="BL89" s="19" t="s">
        <v>237</v>
      </c>
      <c r="BM89" s="151" t="s">
        <v>3821</v>
      </c>
    </row>
    <row r="90" spans="1:65" s="2" customFormat="1">
      <c r="A90" s="34"/>
      <c r="B90" s="35"/>
      <c r="C90" s="34"/>
      <c r="D90" s="153" t="s">
        <v>187</v>
      </c>
      <c r="E90" s="34"/>
      <c r="F90" s="154" t="s">
        <v>3820</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187</v>
      </c>
      <c r="AU90" s="19" t="s">
        <v>87</v>
      </c>
    </row>
    <row r="91" spans="1:65" s="2" customFormat="1" ht="16.5" customHeight="1">
      <c r="A91" s="34"/>
      <c r="B91" s="139"/>
      <c r="C91" s="140" t="s">
        <v>185</v>
      </c>
      <c r="D91" s="140" t="s">
        <v>180</v>
      </c>
      <c r="E91" s="141" t="s">
        <v>3822</v>
      </c>
      <c r="F91" s="142" t="s">
        <v>3823</v>
      </c>
      <c r="G91" s="143" t="s">
        <v>236</v>
      </c>
      <c r="H91" s="144">
        <v>22</v>
      </c>
      <c r="I91" s="145"/>
      <c r="J91" s="146">
        <f>ROUND(I91*H91,2)</f>
        <v>0</v>
      </c>
      <c r="K91" s="142" t="s">
        <v>3</v>
      </c>
      <c r="L91" s="35"/>
      <c r="M91" s="147" t="s">
        <v>3</v>
      </c>
      <c r="N91" s="148" t="s">
        <v>48</v>
      </c>
      <c r="O91" s="55"/>
      <c r="P91" s="149">
        <f>O91*H91</f>
        <v>0</v>
      </c>
      <c r="Q91" s="149">
        <v>0</v>
      </c>
      <c r="R91" s="149">
        <f>Q91*H91</f>
        <v>0</v>
      </c>
      <c r="S91" s="149">
        <v>0</v>
      </c>
      <c r="T91" s="150">
        <f>S91*H91</f>
        <v>0</v>
      </c>
      <c r="U91" s="34"/>
      <c r="V91" s="34"/>
      <c r="W91" s="34"/>
      <c r="X91" s="34"/>
      <c r="Y91" s="34"/>
      <c r="Z91" s="34"/>
      <c r="AA91" s="34"/>
      <c r="AB91" s="34"/>
      <c r="AC91" s="34"/>
      <c r="AD91" s="34"/>
      <c r="AE91" s="34"/>
      <c r="AR91" s="151" t="s">
        <v>237</v>
      </c>
      <c r="AT91" s="151" t="s">
        <v>180</v>
      </c>
      <c r="AU91" s="151" t="s">
        <v>87</v>
      </c>
      <c r="AY91" s="19" t="s">
        <v>177</v>
      </c>
      <c r="BE91" s="152">
        <f>IF(N91="základní",J91,0)</f>
        <v>0</v>
      </c>
      <c r="BF91" s="152">
        <f>IF(N91="snížená",J91,0)</f>
        <v>0</v>
      </c>
      <c r="BG91" s="152">
        <f>IF(N91="zákl. přenesená",J91,0)</f>
        <v>0</v>
      </c>
      <c r="BH91" s="152">
        <f>IF(N91="sníž. přenesená",J91,0)</f>
        <v>0</v>
      </c>
      <c r="BI91" s="152">
        <f>IF(N91="nulová",J91,0)</f>
        <v>0</v>
      </c>
      <c r="BJ91" s="19" t="s">
        <v>85</v>
      </c>
      <c r="BK91" s="152">
        <f>ROUND(I91*H91,2)</f>
        <v>0</v>
      </c>
      <c r="BL91" s="19" t="s">
        <v>237</v>
      </c>
      <c r="BM91" s="151" t="s">
        <v>3824</v>
      </c>
    </row>
    <row r="92" spans="1:65" s="2" customFormat="1">
      <c r="A92" s="34"/>
      <c r="B92" s="35"/>
      <c r="C92" s="34"/>
      <c r="D92" s="153" t="s">
        <v>187</v>
      </c>
      <c r="E92" s="34"/>
      <c r="F92" s="154" t="s">
        <v>3823</v>
      </c>
      <c r="G92" s="34"/>
      <c r="H92" s="34"/>
      <c r="I92" s="155"/>
      <c r="J92" s="34"/>
      <c r="K92" s="34"/>
      <c r="L92" s="35"/>
      <c r="M92" s="156"/>
      <c r="N92" s="157"/>
      <c r="O92" s="55"/>
      <c r="P92" s="55"/>
      <c r="Q92" s="55"/>
      <c r="R92" s="55"/>
      <c r="S92" s="55"/>
      <c r="T92" s="56"/>
      <c r="U92" s="34"/>
      <c r="V92" s="34"/>
      <c r="W92" s="34"/>
      <c r="X92" s="34"/>
      <c r="Y92" s="34"/>
      <c r="Z92" s="34"/>
      <c r="AA92" s="34"/>
      <c r="AB92" s="34"/>
      <c r="AC92" s="34"/>
      <c r="AD92" s="34"/>
      <c r="AE92" s="34"/>
      <c r="AT92" s="19" t="s">
        <v>187</v>
      </c>
      <c r="AU92" s="19" t="s">
        <v>87</v>
      </c>
    </row>
    <row r="93" spans="1:65" s="2" customFormat="1" ht="16.5" customHeight="1">
      <c r="A93" s="34"/>
      <c r="B93" s="139"/>
      <c r="C93" s="140" t="s">
        <v>200</v>
      </c>
      <c r="D93" s="140" t="s">
        <v>180</v>
      </c>
      <c r="E93" s="141" t="s">
        <v>3825</v>
      </c>
      <c r="F93" s="142" t="s">
        <v>3826</v>
      </c>
      <c r="G93" s="143" t="s">
        <v>243</v>
      </c>
      <c r="H93" s="144">
        <v>1</v>
      </c>
      <c r="I93" s="145"/>
      <c r="J93" s="146">
        <f>ROUND(I93*H93,2)</f>
        <v>0</v>
      </c>
      <c r="K93" s="142" t="s">
        <v>3</v>
      </c>
      <c r="L93" s="35"/>
      <c r="M93" s="147" t="s">
        <v>3</v>
      </c>
      <c r="N93" s="148" t="s">
        <v>48</v>
      </c>
      <c r="O93" s="55"/>
      <c r="P93" s="149">
        <f>O93*H93</f>
        <v>0</v>
      </c>
      <c r="Q93" s="149">
        <v>0</v>
      </c>
      <c r="R93" s="149">
        <f>Q93*H93</f>
        <v>0</v>
      </c>
      <c r="S93" s="149">
        <v>0</v>
      </c>
      <c r="T93" s="150">
        <f>S93*H93</f>
        <v>0</v>
      </c>
      <c r="U93" s="34"/>
      <c r="V93" s="34"/>
      <c r="W93" s="34"/>
      <c r="X93" s="34"/>
      <c r="Y93" s="34"/>
      <c r="Z93" s="34"/>
      <c r="AA93" s="34"/>
      <c r="AB93" s="34"/>
      <c r="AC93" s="34"/>
      <c r="AD93" s="34"/>
      <c r="AE93" s="34"/>
      <c r="AR93" s="151" t="s">
        <v>237</v>
      </c>
      <c r="AT93" s="151" t="s">
        <v>180</v>
      </c>
      <c r="AU93" s="151" t="s">
        <v>87</v>
      </c>
      <c r="AY93" s="19" t="s">
        <v>177</v>
      </c>
      <c r="BE93" s="152">
        <f>IF(N93="základní",J93,0)</f>
        <v>0</v>
      </c>
      <c r="BF93" s="152">
        <f>IF(N93="snížená",J93,0)</f>
        <v>0</v>
      </c>
      <c r="BG93" s="152">
        <f>IF(N93="zákl. přenesená",J93,0)</f>
        <v>0</v>
      </c>
      <c r="BH93" s="152">
        <f>IF(N93="sníž. přenesená",J93,0)</f>
        <v>0</v>
      </c>
      <c r="BI93" s="152">
        <f>IF(N93="nulová",J93,0)</f>
        <v>0</v>
      </c>
      <c r="BJ93" s="19" t="s">
        <v>85</v>
      </c>
      <c r="BK93" s="152">
        <f>ROUND(I93*H93,2)</f>
        <v>0</v>
      </c>
      <c r="BL93" s="19" t="s">
        <v>237</v>
      </c>
      <c r="BM93" s="151" t="s">
        <v>3827</v>
      </c>
    </row>
    <row r="94" spans="1:65" s="2" customFormat="1">
      <c r="A94" s="34"/>
      <c r="B94" s="35"/>
      <c r="C94" s="34"/>
      <c r="D94" s="153" t="s">
        <v>187</v>
      </c>
      <c r="E94" s="34"/>
      <c r="F94" s="154" t="s">
        <v>3826</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187</v>
      </c>
      <c r="AU94" s="19" t="s">
        <v>87</v>
      </c>
    </row>
    <row r="95" spans="1:65" s="12" customFormat="1" ht="25.9" customHeight="1">
      <c r="B95" s="126"/>
      <c r="D95" s="127" t="s">
        <v>76</v>
      </c>
      <c r="E95" s="128" t="s">
        <v>313</v>
      </c>
      <c r="F95" s="128" t="s">
        <v>314</v>
      </c>
      <c r="I95" s="129"/>
      <c r="J95" s="130">
        <f>BK95</f>
        <v>0</v>
      </c>
      <c r="L95" s="126"/>
      <c r="M95" s="131"/>
      <c r="N95" s="132"/>
      <c r="O95" s="132"/>
      <c r="P95" s="133">
        <f>SUM(P96:P100)</f>
        <v>0</v>
      </c>
      <c r="Q95" s="132"/>
      <c r="R95" s="133">
        <f>SUM(R96:R100)</f>
        <v>0</v>
      </c>
      <c r="S95" s="132"/>
      <c r="T95" s="134">
        <f>SUM(T96:T100)</f>
        <v>0</v>
      </c>
      <c r="AR95" s="127" t="s">
        <v>185</v>
      </c>
      <c r="AT95" s="135" t="s">
        <v>76</v>
      </c>
      <c r="AU95" s="135" t="s">
        <v>77</v>
      </c>
      <c r="AY95" s="127" t="s">
        <v>177</v>
      </c>
      <c r="BK95" s="136">
        <f>SUM(BK96:BK100)</f>
        <v>0</v>
      </c>
    </row>
    <row r="96" spans="1:65" s="2" customFormat="1" ht="16.5" customHeight="1">
      <c r="A96" s="34"/>
      <c r="B96" s="139"/>
      <c r="C96" s="140" t="s">
        <v>233</v>
      </c>
      <c r="D96" s="140" t="s">
        <v>180</v>
      </c>
      <c r="E96" s="141" t="s">
        <v>528</v>
      </c>
      <c r="F96" s="142" t="s">
        <v>529</v>
      </c>
      <c r="G96" s="143" t="s">
        <v>305</v>
      </c>
      <c r="H96" s="144">
        <v>100</v>
      </c>
      <c r="I96" s="145"/>
      <c r="J96" s="146">
        <f>ROUND(I96*H96,2)</f>
        <v>0</v>
      </c>
      <c r="K96" s="142" t="s">
        <v>184</v>
      </c>
      <c r="L96" s="35"/>
      <c r="M96" s="147" t="s">
        <v>3</v>
      </c>
      <c r="N96" s="148" t="s">
        <v>48</v>
      </c>
      <c r="O96" s="55"/>
      <c r="P96" s="149">
        <f>O96*H96</f>
        <v>0</v>
      </c>
      <c r="Q96" s="149">
        <v>0</v>
      </c>
      <c r="R96" s="149">
        <f>Q96*H96</f>
        <v>0</v>
      </c>
      <c r="S96" s="149">
        <v>0</v>
      </c>
      <c r="T96" s="150">
        <f>S96*H96</f>
        <v>0</v>
      </c>
      <c r="U96" s="34"/>
      <c r="V96" s="34"/>
      <c r="W96" s="34"/>
      <c r="X96" s="34"/>
      <c r="Y96" s="34"/>
      <c r="Z96" s="34"/>
      <c r="AA96" s="34"/>
      <c r="AB96" s="34"/>
      <c r="AC96" s="34"/>
      <c r="AD96" s="34"/>
      <c r="AE96" s="34"/>
      <c r="AR96" s="151" t="s">
        <v>318</v>
      </c>
      <c r="AT96" s="151" t="s">
        <v>180</v>
      </c>
      <c r="AU96" s="151" t="s">
        <v>85</v>
      </c>
      <c r="AY96" s="19" t="s">
        <v>177</v>
      </c>
      <c r="BE96" s="152">
        <f>IF(N96="základní",J96,0)</f>
        <v>0</v>
      </c>
      <c r="BF96" s="152">
        <f>IF(N96="snížená",J96,0)</f>
        <v>0</v>
      </c>
      <c r="BG96" s="152">
        <f>IF(N96="zákl. přenesená",J96,0)</f>
        <v>0</v>
      </c>
      <c r="BH96" s="152">
        <f>IF(N96="sníž. přenesená",J96,0)</f>
        <v>0</v>
      </c>
      <c r="BI96" s="152">
        <f>IF(N96="nulová",J96,0)</f>
        <v>0</v>
      </c>
      <c r="BJ96" s="19" t="s">
        <v>85</v>
      </c>
      <c r="BK96" s="152">
        <f>ROUND(I96*H96,2)</f>
        <v>0</v>
      </c>
      <c r="BL96" s="19" t="s">
        <v>318</v>
      </c>
      <c r="BM96" s="151" t="s">
        <v>3828</v>
      </c>
    </row>
    <row r="97" spans="1:51" s="2" customFormat="1">
      <c r="A97" s="34"/>
      <c r="B97" s="35"/>
      <c r="C97" s="34"/>
      <c r="D97" s="153" t="s">
        <v>187</v>
      </c>
      <c r="E97" s="34"/>
      <c r="F97" s="154" t="s">
        <v>531</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187</v>
      </c>
      <c r="AU97" s="19" t="s">
        <v>85</v>
      </c>
    </row>
    <row r="98" spans="1:51" s="2" customFormat="1">
      <c r="A98" s="34"/>
      <c r="B98" s="35"/>
      <c r="C98" s="34"/>
      <c r="D98" s="158" t="s">
        <v>189</v>
      </c>
      <c r="E98" s="34"/>
      <c r="F98" s="159" t="s">
        <v>532</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189</v>
      </c>
      <c r="AU98" s="19" t="s">
        <v>85</v>
      </c>
    </row>
    <row r="99" spans="1:51" s="14" customFormat="1">
      <c r="B99" s="169"/>
      <c r="D99" s="153" t="s">
        <v>193</v>
      </c>
      <c r="E99" s="170" t="s">
        <v>3</v>
      </c>
      <c r="F99" s="171" t="s">
        <v>3829</v>
      </c>
      <c r="H99" s="170" t="s">
        <v>3</v>
      </c>
      <c r="I99" s="172"/>
      <c r="L99" s="169"/>
      <c r="M99" s="173"/>
      <c r="N99" s="174"/>
      <c r="O99" s="174"/>
      <c r="P99" s="174"/>
      <c r="Q99" s="174"/>
      <c r="R99" s="174"/>
      <c r="S99" s="174"/>
      <c r="T99" s="175"/>
      <c r="AT99" s="170" t="s">
        <v>193</v>
      </c>
      <c r="AU99" s="170" t="s">
        <v>85</v>
      </c>
      <c r="AV99" s="14" t="s">
        <v>85</v>
      </c>
      <c r="AW99" s="14" t="s">
        <v>36</v>
      </c>
      <c r="AX99" s="14" t="s">
        <v>77</v>
      </c>
      <c r="AY99" s="170" t="s">
        <v>177</v>
      </c>
    </row>
    <row r="100" spans="1:51" s="13" customFormat="1">
      <c r="B100" s="161"/>
      <c r="D100" s="153" t="s">
        <v>193</v>
      </c>
      <c r="E100" s="162" t="s">
        <v>3</v>
      </c>
      <c r="F100" s="163" t="s">
        <v>2775</v>
      </c>
      <c r="H100" s="164">
        <v>100</v>
      </c>
      <c r="I100" s="165"/>
      <c r="L100" s="161"/>
      <c r="M100" s="192"/>
      <c r="N100" s="193"/>
      <c r="O100" s="193"/>
      <c r="P100" s="193"/>
      <c r="Q100" s="193"/>
      <c r="R100" s="193"/>
      <c r="S100" s="193"/>
      <c r="T100" s="194"/>
      <c r="AT100" s="162" t="s">
        <v>193</v>
      </c>
      <c r="AU100" s="162" t="s">
        <v>85</v>
      </c>
      <c r="AV100" s="13" t="s">
        <v>87</v>
      </c>
      <c r="AW100" s="13" t="s">
        <v>36</v>
      </c>
      <c r="AX100" s="13" t="s">
        <v>85</v>
      </c>
      <c r="AY100" s="162" t="s">
        <v>177</v>
      </c>
    </row>
    <row r="101" spans="1:51" s="2" customFormat="1" ht="6.95" customHeight="1">
      <c r="A101" s="34"/>
      <c r="B101" s="44"/>
      <c r="C101" s="45"/>
      <c r="D101" s="45"/>
      <c r="E101" s="45"/>
      <c r="F101" s="45"/>
      <c r="G101" s="45"/>
      <c r="H101" s="45"/>
      <c r="I101" s="45"/>
      <c r="J101" s="45"/>
      <c r="K101" s="45"/>
      <c r="L101" s="35"/>
      <c r="M101" s="34"/>
      <c r="O101" s="34"/>
      <c r="P101" s="34"/>
      <c r="Q101" s="34"/>
      <c r="R101" s="34"/>
      <c r="S101" s="34"/>
      <c r="T101" s="34"/>
      <c r="U101" s="34"/>
      <c r="V101" s="34"/>
      <c r="W101" s="34"/>
      <c r="X101" s="34"/>
      <c r="Y101" s="34"/>
      <c r="Z101" s="34"/>
      <c r="AA101" s="34"/>
      <c r="AB101" s="34"/>
      <c r="AC101" s="34"/>
      <c r="AD101" s="34"/>
      <c r="AE101" s="34"/>
    </row>
  </sheetData>
  <autoFilter ref="C81:K100"/>
  <mergeCells count="9">
    <mergeCell ref="E50:H50"/>
    <mergeCell ref="E72:H72"/>
    <mergeCell ref="E74:H74"/>
    <mergeCell ref="L2:V2"/>
    <mergeCell ref="E7:H7"/>
    <mergeCell ref="E9:H9"/>
    <mergeCell ref="E18:H18"/>
    <mergeCell ref="E27:H27"/>
    <mergeCell ref="E48:H48"/>
  </mergeCells>
  <hyperlinks>
    <hyperlink ref="F98" r:id="rId1"/>
  </hyperlinks>
  <pageMargins left="0.39374999999999999" right="0.39374999999999999" top="0.39374999999999999" bottom="0.39374999999999999" header="0" footer="0"/>
  <pageSetup paperSize="9" scale="84" fitToHeight="100" orientation="landscape" blackAndWhite="1" r:id="rId2"/>
  <headerFooter>
    <oddFooter>&amp;CStrana &amp;P z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87"/>
  <sheetViews>
    <sheetView workbookViewId="0">
      <pane ySplit="11" topLeftCell="A12" activePane="bottomLeft" state="frozenSplit"/>
      <selection activeCell="T30" sqref="T30:U30"/>
      <selection pane="bottomLeft" activeCell="T30" sqref="T30:U30"/>
    </sheetView>
  </sheetViews>
  <sheetFormatPr defaultColWidth="13.5" defaultRowHeight="12.75"/>
  <cols>
    <col min="1" max="1" width="4.33203125" style="290" customWidth="1"/>
    <col min="2" max="2" width="8.83203125" style="290" customWidth="1"/>
    <col min="3" max="3" width="16.6640625" style="290" customWidth="1"/>
    <col min="4" max="4" width="1.6640625" style="290" customWidth="1"/>
    <col min="5" max="5" width="54.5" style="290" customWidth="1"/>
    <col min="6" max="6" width="5" style="290" customWidth="1"/>
    <col min="7" max="7" width="15" style="290" customWidth="1"/>
    <col min="8" max="8" width="14" style="290" customWidth="1"/>
    <col min="9" max="11" width="16.6640625" style="290" customWidth="1"/>
    <col min="12" max="14" width="13.6640625" style="290" customWidth="1"/>
    <col min="15" max="24" width="13.5" style="290"/>
    <col min="25" max="64" width="14.1640625" style="290" hidden="1" customWidth="1"/>
    <col min="65" max="256" width="13.5" style="290"/>
    <col min="257" max="257" width="4.33203125" style="290" customWidth="1"/>
    <col min="258" max="258" width="8.83203125" style="290" customWidth="1"/>
    <col min="259" max="259" width="16.6640625" style="290" customWidth="1"/>
    <col min="260" max="260" width="1.6640625" style="290" customWidth="1"/>
    <col min="261" max="261" width="54.5" style="290" customWidth="1"/>
    <col min="262" max="262" width="5" style="290" customWidth="1"/>
    <col min="263" max="263" width="15" style="290" customWidth="1"/>
    <col min="264" max="264" width="14" style="290" customWidth="1"/>
    <col min="265" max="267" width="16.6640625" style="290" customWidth="1"/>
    <col min="268" max="270" width="13.6640625" style="290" customWidth="1"/>
    <col min="271" max="280" width="13.5" style="290"/>
    <col min="281" max="320" width="0" style="290" hidden="1" customWidth="1"/>
    <col min="321" max="512" width="13.5" style="290"/>
    <col min="513" max="513" width="4.33203125" style="290" customWidth="1"/>
    <col min="514" max="514" width="8.83203125" style="290" customWidth="1"/>
    <col min="515" max="515" width="16.6640625" style="290" customWidth="1"/>
    <col min="516" max="516" width="1.6640625" style="290" customWidth="1"/>
    <col min="517" max="517" width="54.5" style="290" customWidth="1"/>
    <col min="518" max="518" width="5" style="290" customWidth="1"/>
    <col min="519" max="519" width="15" style="290" customWidth="1"/>
    <col min="520" max="520" width="14" style="290" customWidth="1"/>
    <col min="521" max="523" width="16.6640625" style="290" customWidth="1"/>
    <col min="524" max="526" width="13.6640625" style="290" customWidth="1"/>
    <col min="527" max="536" width="13.5" style="290"/>
    <col min="537" max="576" width="0" style="290" hidden="1" customWidth="1"/>
    <col min="577" max="768" width="13.5" style="290"/>
    <col min="769" max="769" width="4.33203125" style="290" customWidth="1"/>
    <col min="770" max="770" width="8.83203125" style="290" customWidth="1"/>
    <col min="771" max="771" width="16.6640625" style="290" customWidth="1"/>
    <col min="772" max="772" width="1.6640625" style="290" customWidth="1"/>
    <col min="773" max="773" width="54.5" style="290" customWidth="1"/>
    <col min="774" max="774" width="5" style="290" customWidth="1"/>
    <col min="775" max="775" width="15" style="290" customWidth="1"/>
    <col min="776" max="776" width="14" style="290" customWidth="1"/>
    <col min="777" max="779" width="16.6640625" style="290" customWidth="1"/>
    <col min="780" max="782" width="13.6640625" style="290" customWidth="1"/>
    <col min="783" max="792" width="13.5" style="290"/>
    <col min="793" max="832" width="0" style="290" hidden="1" customWidth="1"/>
    <col min="833" max="1024" width="13.5" style="290"/>
    <col min="1025" max="1025" width="4.33203125" style="290" customWidth="1"/>
    <col min="1026" max="1026" width="8.83203125" style="290" customWidth="1"/>
    <col min="1027" max="1027" width="16.6640625" style="290" customWidth="1"/>
    <col min="1028" max="1028" width="1.6640625" style="290" customWidth="1"/>
    <col min="1029" max="1029" width="54.5" style="290" customWidth="1"/>
    <col min="1030" max="1030" width="5" style="290" customWidth="1"/>
    <col min="1031" max="1031" width="15" style="290" customWidth="1"/>
    <col min="1032" max="1032" width="14" style="290" customWidth="1"/>
    <col min="1033" max="1035" width="16.6640625" style="290" customWidth="1"/>
    <col min="1036" max="1038" width="13.6640625" style="290" customWidth="1"/>
    <col min="1039" max="1048" width="13.5" style="290"/>
    <col min="1049" max="1088" width="0" style="290" hidden="1" customWidth="1"/>
    <col min="1089" max="1280" width="13.5" style="290"/>
    <col min="1281" max="1281" width="4.33203125" style="290" customWidth="1"/>
    <col min="1282" max="1282" width="8.83203125" style="290" customWidth="1"/>
    <col min="1283" max="1283" width="16.6640625" style="290" customWidth="1"/>
    <col min="1284" max="1284" width="1.6640625" style="290" customWidth="1"/>
    <col min="1285" max="1285" width="54.5" style="290" customWidth="1"/>
    <col min="1286" max="1286" width="5" style="290" customWidth="1"/>
    <col min="1287" max="1287" width="15" style="290" customWidth="1"/>
    <col min="1288" max="1288" width="14" style="290" customWidth="1"/>
    <col min="1289" max="1291" width="16.6640625" style="290" customWidth="1"/>
    <col min="1292" max="1294" width="13.6640625" style="290" customWidth="1"/>
    <col min="1295" max="1304" width="13.5" style="290"/>
    <col min="1305" max="1344" width="0" style="290" hidden="1" customWidth="1"/>
    <col min="1345" max="1536" width="13.5" style="290"/>
    <col min="1537" max="1537" width="4.33203125" style="290" customWidth="1"/>
    <col min="1538" max="1538" width="8.83203125" style="290" customWidth="1"/>
    <col min="1539" max="1539" width="16.6640625" style="290" customWidth="1"/>
    <col min="1540" max="1540" width="1.6640625" style="290" customWidth="1"/>
    <col min="1541" max="1541" width="54.5" style="290" customWidth="1"/>
    <col min="1542" max="1542" width="5" style="290" customWidth="1"/>
    <col min="1543" max="1543" width="15" style="290" customWidth="1"/>
    <col min="1544" max="1544" width="14" style="290" customWidth="1"/>
    <col min="1545" max="1547" width="16.6640625" style="290" customWidth="1"/>
    <col min="1548" max="1550" width="13.6640625" style="290" customWidth="1"/>
    <col min="1551" max="1560" width="13.5" style="290"/>
    <col min="1561" max="1600" width="0" style="290" hidden="1" customWidth="1"/>
    <col min="1601" max="1792" width="13.5" style="290"/>
    <col min="1793" max="1793" width="4.33203125" style="290" customWidth="1"/>
    <col min="1794" max="1794" width="8.83203125" style="290" customWidth="1"/>
    <col min="1795" max="1795" width="16.6640625" style="290" customWidth="1"/>
    <col min="1796" max="1796" width="1.6640625" style="290" customWidth="1"/>
    <col min="1797" max="1797" width="54.5" style="290" customWidth="1"/>
    <col min="1798" max="1798" width="5" style="290" customWidth="1"/>
    <col min="1799" max="1799" width="15" style="290" customWidth="1"/>
    <col min="1800" max="1800" width="14" style="290" customWidth="1"/>
    <col min="1801" max="1803" width="16.6640625" style="290" customWidth="1"/>
    <col min="1804" max="1806" width="13.6640625" style="290" customWidth="1"/>
    <col min="1807" max="1816" width="13.5" style="290"/>
    <col min="1817" max="1856" width="0" style="290" hidden="1" customWidth="1"/>
    <col min="1857" max="2048" width="13.5" style="290"/>
    <col min="2049" max="2049" width="4.33203125" style="290" customWidth="1"/>
    <col min="2050" max="2050" width="8.83203125" style="290" customWidth="1"/>
    <col min="2051" max="2051" width="16.6640625" style="290" customWidth="1"/>
    <col min="2052" max="2052" width="1.6640625" style="290" customWidth="1"/>
    <col min="2053" max="2053" width="54.5" style="290" customWidth="1"/>
    <col min="2054" max="2054" width="5" style="290" customWidth="1"/>
    <col min="2055" max="2055" width="15" style="290" customWidth="1"/>
    <col min="2056" max="2056" width="14" style="290" customWidth="1"/>
    <col min="2057" max="2059" width="16.6640625" style="290" customWidth="1"/>
    <col min="2060" max="2062" width="13.6640625" style="290" customWidth="1"/>
    <col min="2063" max="2072" width="13.5" style="290"/>
    <col min="2073" max="2112" width="0" style="290" hidden="1" customWidth="1"/>
    <col min="2113" max="2304" width="13.5" style="290"/>
    <col min="2305" max="2305" width="4.33203125" style="290" customWidth="1"/>
    <col min="2306" max="2306" width="8.83203125" style="290" customWidth="1"/>
    <col min="2307" max="2307" width="16.6640625" style="290" customWidth="1"/>
    <col min="2308" max="2308" width="1.6640625" style="290" customWidth="1"/>
    <col min="2309" max="2309" width="54.5" style="290" customWidth="1"/>
    <col min="2310" max="2310" width="5" style="290" customWidth="1"/>
    <col min="2311" max="2311" width="15" style="290" customWidth="1"/>
    <col min="2312" max="2312" width="14" style="290" customWidth="1"/>
    <col min="2313" max="2315" width="16.6640625" style="290" customWidth="1"/>
    <col min="2316" max="2318" width="13.6640625" style="290" customWidth="1"/>
    <col min="2319" max="2328" width="13.5" style="290"/>
    <col min="2329" max="2368" width="0" style="290" hidden="1" customWidth="1"/>
    <col min="2369" max="2560" width="13.5" style="290"/>
    <col min="2561" max="2561" width="4.33203125" style="290" customWidth="1"/>
    <col min="2562" max="2562" width="8.83203125" style="290" customWidth="1"/>
    <col min="2563" max="2563" width="16.6640625" style="290" customWidth="1"/>
    <col min="2564" max="2564" width="1.6640625" style="290" customWidth="1"/>
    <col min="2565" max="2565" width="54.5" style="290" customWidth="1"/>
    <col min="2566" max="2566" width="5" style="290" customWidth="1"/>
    <col min="2567" max="2567" width="15" style="290" customWidth="1"/>
    <col min="2568" max="2568" width="14" style="290" customWidth="1"/>
    <col min="2569" max="2571" width="16.6640625" style="290" customWidth="1"/>
    <col min="2572" max="2574" width="13.6640625" style="290" customWidth="1"/>
    <col min="2575" max="2584" width="13.5" style="290"/>
    <col min="2585" max="2624" width="0" style="290" hidden="1" customWidth="1"/>
    <col min="2625" max="2816" width="13.5" style="290"/>
    <col min="2817" max="2817" width="4.33203125" style="290" customWidth="1"/>
    <col min="2818" max="2818" width="8.83203125" style="290" customWidth="1"/>
    <col min="2819" max="2819" width="16.6640625" style="290" customWidth="1"/>
    <col min="2820" max="2820" width="1.6640625" style="290" customWidth="1"/>
    <col min="2821" max="2821" width="54.5" style="290" customWidth="1"/>
    <col min="2822" max="2822" width="5" style="290" customWidth="1"/>
    <col min="2823" max="2823" width="15" style="290" customWidth="1"/>
    <col min="2824" max="2824" width="14" style="290" customWidth="1"/>
    <col min="2825" max="2827" width="16.6640625" style="290" customWidth="1"/>
    <col min="2828" max="2830" width="13.6640625" style="290" customWidth="1"/>
    <col min="2831" max="2840" width="13.5" style="290"/>
    <col min="2841" max="2880" width="0" style="290" hidden="1" customWidth="1"/>
    <col min="2881" max="3072" width="13.5" style="290"/>
    <col min="3073" max="3073" width="4.33203125" style="290" customWidth="1"/>
    <col min="3074" max="3074" width="8.83203125" style="290" customWidth="1"/>
    <col min="3075" max="3075" width="16.6640625" style="290" customWidth="1"/>
    <col min="3076" max="3076" width="1.6640625" style="290" customWidth="1"/>
    <col min="3077" max="3077" width="54.5" style="290" customWidth="1"/>
    <col min="3078" max="3078" width="5" style="290" customWidth="1"/>
    <col min="3079" max="3079" width="15" style="290" customWidth="1"/>
    <col min="3080" max="3080" width="14" style="290" customWidth="1"/>
    <col min="3081" max="3083" width="16.6640625" style="290" customWidth="1"/>
    <col min="3084" max="3086" width="13.6640625" style="290" customWidth="1"/>
    <col min="3087" max="3096" width="13.5" style="290"/>
    <col min="3097" max="3136" width="0" style="290" hidden="1" customWidth="1"/>
    <col min="3137" max="3328" width="13.5" style="290"/>
    <col min="3329" max="3329" width="4.33203125" style="290" customWidth="1"/>
    <col min="3330" max="3330" width="8.83203125" style="290" customWidth="1"/>
    <col min="3331" max="3331" width="16.6640625" style="290" customWidth="1"/>
    <col min="3332" max="3332" width="1.6640625" style="290" customWidth="1"/>
    <col min="3333" max="3333" width="54.5" style="290" customWidth="1"/>
    <col min="3334" max="3334" width="5" style="290" customWidth="1"/>
    <col min="3335" max="3335" width="15" style="290" customWidth="1"/>
    <col min="3336" max="3336" width="14" style="290" customWidth="1"/>
    <col min="3337" max="3339" width="16.6640625" style="290" customWidth="1"/>
    <col min="3340" max="3342" width="13.6640625" style="290" customWidth="1"/>
    <col min="3343" max="3352" width="13.5" style="290"/>
    <col min="3353" max="3392" width="0" style="290" hidden="1" customWidth="1"/>
    <col min="3393" max="3584" width="13.5" style="290"/>
    <col min="3585" max="3585" width="4.33203125" style="290" customWidth="1"/>
    <col min="3586" max="3586" width="8.83203125" style="290" customWidth="1"/>
    <col min="3587" max="3587" width="16.6640625" style="290" customWidth="1"/>
    <col min="3588" max="3588" width="1.6640625" style="290" customWidth="1"/>
    <col min="3589" max="3589" width="54.5" style="290" customWidth="1"/>
    <col min="3590" max="3590" width="5" style="290" customWidth="1"/>
    <col min="3591" max="3591" width="15" style="290" customWidth="1"/>
    <col min="3592" max="3592" width="14" style="290" customWidth="1"/>
    <col min="3593" max="3595" width="16.6640625" style="290" customWidth="1"/>
    <col min="3596" max="3598" width="13.6640625" style="290" customWidth="1"/>
    <col min="3599" max="3608" width="13.5" style="290"/>
    <col min="3609" max="3648" width="0" style="290" hidden="1" customWidth="1"/>
    <col min="3649" max="3840" width="13.5" style="290"/>
    <col min="3841" max="3841" width="4.33203125" style="290" customWidth="1"/>
    <col min="3842" max="3842" width="8.83203125" style="290" customWidth="1"/>
    <col min="3843" max="3843" width="16.6640625" style="290" customWidth="1"/>
    <col min="3844" max="3844" width="1.6640625" style="290" customWidth="1"/>
    <col min="3845" max="3845" width="54.5" style="290" customWidth="1"/>
    <col min="3846" max="3846" width="5" style="290" customWidth="1"/>
    <col min="3847" max="3847" width="15" style="290" customWidth="1"/>
    <col min="3848" max="3848" width="14" style="290" customWidth="1"/>
    <col min="3849" max="3851" width="16.6640625" style="290" customWidth="1"/>
    <col min="3852" max="3854" width="13.6640625" style="290" customWidth="1"/>
    <col min="3855" max="3864" width="13.5" style="290"/>
    <col min="3865" max="3904" width="0" style="290" hidden="1" customWidth="1"/>
    <col min="3905" max="4096" width="13.5" style="290"/>
    <col min="4097" max="4097" width="4.33203125" style="290" customWidth="1"/>
    <col min="4098" max="4098" width="8.83203125" style="290" customWidth="1"/>
    <col min="4099" max="4099" width="16.6640625" style="290" customWidth="1"/>
    <col min="4100" max="4100" width="1.6640625" style="290" customWidth="1"/>
    <col min="4101" max="4101" width="54.5" style="290" customWidth="1"/>
    <col min="4102" max="4102" width="5" style="290" customWidth="1"/>
    <col min="4103" max="4103" width="15" style="290" customWidth="1"/>
    <col min="4104" max="4104" width="14" style="290" customWidth="1"/>
    <col min="4105" max="4107" width="16.6640625" style="290" customWidth="1"/>
    <col min="4108" max="4110" width="13.6640625" style="290" customWidth="1"/>
    <col min="4111" max="4120" width="13.5" style="290"/>
    <col min="4121" max="4160" width="0" style="290" hidden="1" customWidth="1"/>
    <col min="4161" max="4352" width="13.5" style="290"/>
    <col min="4353" max="4353" width="4.33203125" style="290" customWidth="1"/>
    <col min="4354" max="4354" width="8.83203125" style="290" customWidth="1"/>
    <col min="4355" max="4355" width="16.6640625" style="290" customWidth="1"/>
    <col min="4356" max="4356" width="1.6640625" style="290" customWidth="1"/>
    <col min="4357" max="4357" width="54.5" style="290" customWidth="1"/>
    <col min="4358" max="4358" width="5" style="290" customWidth="1"/>
    <col min="4359" max="4359" width="15" style="290" customWidth="1"/>
    <col min="4360" max="4360" width="14" style="290" customWidth="1"/>
    <col min="4361" max="4363" width="16.6640625" style="290" customWidth="1"/>
    <col min="4364" max="4366" width="13.6640625" style="290" customWidth="1"/>
    <col min="4367" max="4376" width="13.5" style="290"/>
    <col min="4377" max="4416" width="0" style="290" hidden="1" customWidth="1"/>
    <col min="4417" max="4608" width="13.5" style="290"/>
    <col min="4609" max="4609" width="4.33203125" style="290" customWidth="1"/>
    <col min="4610" max="4610" width="8.83203125" style="290" customWidth="1"/>
    <col min="4611" max="4611" width="16.6640625" style="290" customWidth="1"/>
    <col min="4612" max="4612" width="1.6640625" style="290" customWidth="1"/>
    <col min="4613" max="4613" width="54.5" style="290" customWidth="1"/>
    <col min="4614" max="4614" width="5" style="290" customWidth="1"/>
    <col min="4615" max="4615" width="15" style="290" customWidth="1"/>
    <col min="4616" max="4616" width="14" style="290" customWidth="1"/>
    <col min="4617" max="4619" width="16.6640625" style="290" customWidth="1"/>
    <col min="4620" max="4622" width="13.6640625" style="290" customWidth="1"/>
    <col min="4623" max="4632" width="13.5" style="290"/>
    <col min="4633" max="4672" width="0" style="290" hidden="1" customWidth="1"/>
    <col min="4673" max="4864" width="13.5" style="290"/>
    <col min="4865" max="4865" width="4.33203125" style="290" customWidth="1"/>
    <col min="4866" max="4866" width="8.83203125" style="290" customWidth="1"/>
    <col min="4867" max="4867" width="16.6640625" style="290" customWidth="1"/>
    <col min="4868" max="4868" width="1.6640625" style="290" customWidth="1"/>
    <col min="4869" max="4869" width="54.5" style="290" customWidth="1"/>
    <col min="4870" max="4870" width="5" style="290" customWidth="1"/>
    <col min="4871" max="4871" width="15" style="290" customWidth="1"/>
    <col min="4872" max="4872" width="14" style="290" customWidth="1"/>
    <col min="4873" max="4875" width="16.6640625" style="290" customWidth="1"/>
    <col min="4876" max="4878" width="13.6640625" style="290" customWidth="1"/>
    <col min="4879" max="4888" width="13.5" style="290"/>
    <col min="4889" max="4928" width="0" style="290" hidden="1" customWidth="1"/>
    <col min="4929" max="5120" width="13.5" style="290"/>
    <col min="5121" max="5121" width="4.33203125" style="290" customWidth="1"/>
    <col min="5122" max="5122" width="8.83203125" style="290" customWidth="1"/>
    <col min="5123" max="5123" width="16.6640625" style="290" customWidth="1"/>
    <col min="5124" max="5124" width="1.6640625" style="290" customWidth="1"/>
    <col min="5125" max="5125" width="54.5" style="290" customWidth="1"/>
    <col min="5126" max="5126" width="5" style="290" customWidth="1"/>
    <col min="5127" max="5127" width="15" style="290" customWidth="1"/>
    <col min="5128" max="5128" width="14" style="290" customWidth="1"/>
    <col min="5129" max="5131" width="16.6640625" style="290" customWidth="1"/>
    <col min="5132" max="5134" width="13.6640625" style="290" customWidth="1"/>
    <col min="5135" max="5144" width="13.5" style="290"/>
    <col min="5145" max="5184" width="0" style="290" hidden="1" customWidth="1"/>
    <col min="5185" max="5376" width="13.5" style="290"/>
    <col min="5377" max="5377" width="4.33203125" style="290" customWidth="1"/>
    <col min="5378" max="5378" width="8.83203125" style="290" customWidth="1"/>
    <col min="5379" max="5379" width="16.6640625" style="290" customWidth="1"/>
    <col min="5380" max="5380" width="1.6640625" style="290" customWidth="1"/>
    <col min="5381" max="5381" width="54.5" style="290" customWidth="1"/>
    <col min="5382" max="5382" width="5" style="290" customWidth="1"/>
    <col min="5383" max="5383" width="15" style="290" customWidth="1"/>
    <col min="5384" max="5384" width="14" style="290" customWidth="1"/>
    <col min="5385" max="5387" width="16.6640625" style="290" customWidth="1"/>
    <col min="5388" max="5390" width="13.6640625" style="290" customWidth="1"/>
    <col min="5391" max="5400" width="13.5" style="290"/>
    <col min="5401" max="5440" width="0" style="290" hidden="1" customWidth="1"/>
    <col min="5441" max="5632" width="13.5" style="290"/>
    <col min="5633" max="5633" width="4.33203125" style="290" customWidth="1"/>
    <col min="5634" max="5634" width="8.83203125" style="290" customWidth="1"/>
    <col min="5635" max="5635" width="16.6640625" style="290" customWidth="1"/>
    <col min="5636" max="5636" width="1.6640625" style="290" customWidth="1"/>
    <col min="5637" max="5637" width="54.5" style="290" customWidth="1"/>
    <col min="5638" max="5638" width="5" style="290" customWidth="1"/>
    <col min="5639" max="5639" width="15" style="290" customWidth="1"/>
    <col min="5640" max="5640" width="14" style="290" customWidth="1"/>
    <col min="5641" max="5643" width="16.6640625" style="290" customWidth="1"/>
    <col min="5644" max="5646" width="13.6640625" style="290" customWidth="1"/>
    <col min="5647" max="5656" width="13.5" style="290"/>
    <col min="5657" max="5696" width="0" style="290" hidden="1" customWidth="1"/>
    <col min="5697" max="5888" width="13.5" style="290"/>
    <col min="5889" max="5889" width="4.33203125" style="290" customWidth="1"/>
    <col min="5890" max="5890" width="8.83203125" style="290" customWidth="1"/>
    <col min="5891" max="5891" width="16.6640625" style="290" customWidth="1"/>
    <col min="5892" max="5892" width="1.6640625" style="290" customWidth="1"/>
    <col min="5893" max="5893" width="54.5" style="290" customWidth="1"/>
    <col min="5894" max="5894" width="5" style="290" customWidth="1"/>
    <col min="5895" max="5895" width="15" style="290" customWidth="1"/>
    <col min="5896" max="5896" width="14" style="290" customWidth="1"/>
    <col min="5897" max="5899" width="16.6640625" style="290" customWidth="1"/>
    <col min="5900" max="5902" width="13.6640625" style="290" customWidth="1"/>
    <col min="5903" max="5912" width="13.5" style="290"/>
    <col min="5913" max="5952" width="0" style="290" hidden="1" customWidth="1"/>
    <col min="5953" max="6144" width="13.5" style="290"/>
    <col min="6145" max="6145" width="4.33203125" style="290" customWidth="1"/>
    <col min="6146" max="6146" width="8.83203125" style="290" customWidth="1"/>
    <col min="6147" max="6147" width="16.6640625" style="290" customWidth="1"/>
    <col min="6148" max="6148" width="1.6640625" style="290" customWidth="1"/>
    <col min="6149" max="6149" width="54.5" style="290" customWidth="1"/>
    <col min="6150" max="6150" width="5" style="290" customWidth="1"/>
    <col min="6151" max="6151" width="15" style="290" customWidth="1"/>
    <col min="6152" max="6152" width="14" style="290" customWidth="1"/>
    <col min="6153" max="6155" width="16.6640625" style="290" customWidth="1"/>
    <col min="6156" max="6158" width="13.6640625" style="290" customWidth="1"/>
    <col min="6159" max="6168" width="13.5" style="290"/>
    <col min="6169" max="6208" width="0" style="290" hidden="1" customWidth="1"/>
    <col min="6209" max="6400" width="13.5" style="290"/>
    <col min="6401" max="6401" width="4.33203125" style="290" customWidth="1"/>
    <col min="6402" max="6402" width="8.83203125" style="290" customWidth="1"/>
    <col min="6403" max="6403" width="16.6640625" style="290" customWidth="1"/>
    <col min="6404" max="6404" width="1.6640625" style="290" customWidth="1"/>
    <col min="6405" max="6405" width="54.5" style="290" customWidth="1"/>
    <col min="6406" max="6406" width="5" style="290" customWidth="1"/>
    <col min="6407" max="6407" width="15" style="290" customWidth="1"/>
    <col min="6408" max="6408" width="14" style="290" customWidth="1"/>
    <col min="6409" max="6411" width="16.6640625" style="290" customWidth="1"/>
    <col min="6412" max="6414" width="13.6640625" style="290" customWidth="1"/>
    <col min="6415" max="6424" width="13.5" style="290"/>
    <col min="6425" max="6464" width="0" style="290" hidden="1" customWidth="1"/>
    <col min="6465" max="6656" width="13.5" style="290"/>
    <col min="6657" max="6657" width="4.33203125" style="290" customWidth="1"/>
    <col min="6658" max="6658" width="8.83203125" style="290" customWidth="1"/>
    <col min="6659" max="6659" width="16.6640625" style="290" customWidth="1"/>
    <col min="6660" max="6660" width="1.6640625" style="290" customWidth="1"/>
    <col min="6661" max="6661" width="54.5" style="290" customWidth="1"/>
    <col min="6662" max="6662" width="5" style="290" customWidth="1"/>
    <col min="6663" max="6663" width="15" style="290" customWidth="1"/>
    <col min="6664" max="6664" width="14" style="290" customWidth="1"/>
    <col min="6665" max="6667" width="16.6640625" style="290" customWidth="1"/>
    <col min="6668" max="6670" width="13.6640625" style="290" customWidth="1"/>
    <col min="6671" max="6680" width="13.5" style="290"/>
    <col min="6681" max="6720" width="0" style="290" hidden="1" customWidth="1"/>
    <col min="6721" max="6912" width="13.5" style="290"/>
    <col min="6913" max="6913" width="4.33203125" style="290" customWidth="1"/>
    <col min="6914" max="6914" width="8.83203125" style="290" customWidth="1"/>
    <col min="6915" max="6915" width="16.6640625" style="290" customWidth="1"/>
    <col min="6916" max="6916" width="1.6640625" style="290" customWidth="1"/>
    <col min="6917" max="6917" width="54.5" style="290" customWidth="1"/>
    <col min="6918" max="6918" width="5" style="290" customWidth="1"/>
    <col min="6919" max="6919" width="15" style="290" customWidth="1"/>
    <col min="6920" max="6920" width="14" style="290" customWidth="1"/>
    <col min="6921" max="6923" width="16.6640625" style="290" customWidth="1"/>
    <col min="6924" max="6926" width="13.6640625" style="290" customWidth="1"/>
    <col min="6927" max="6936" width="13.5" style="290"/>
    <col min="6937" max="6976" width="0" style="290" hidden="1" customWidth="1"/>
    <col min="6977" max="7168" width="13.5" style="290"/>
    <col min="7169" max="7169" width="4.33203125" style="290" customWidth="1"/>
    <col min="7170" max="7170" width="8.83203125" style="290" customWidth="1"/>
    <col min="7171" max="7171" width="16.6640625" style="290" customWidth="1"/>
    <col min="7172" max="7172" width="1.6640625" style="290" customWidth="1"/>
    <col min="7173" max="7173" width="54.5" style="290" customWidth="1"/>
    <col min="7174" max="7174" width="5" style="290" customWidth="1"/>
    <col min="7175" max="7175" width="15" style="290" customWidth="1"/>
    <col min="7176" max="7176" width="14" style="290" customWidth="1"/>
    <col min="7177" max="7179" width="16.6640625" style="290" customWidth="1"/>
    <col min="7180" max="7182" width="13.6640625" style="290" customWidth="1"/>
    <col min="7183" max="7192" width="13.5" style="290"/>
    <col min="7193" max="7232" width="0" style="290" hidden="1" customWidth="1"/>
    <col min="7233" max="7424" width="13.5" style="290"/>
    <col min="7425" max="7425" width="4.33203125" style="290" customWidth="1"/>
    <col min="7426" max="7426" width="8.83203125" style="290" customWidth="1"/>
    <col min="7427" max="7427" width="16.6640625" style="290" customWidth="1"/>
    <col min="7428" max="7428" width="1.6640625" style="290" customWidth="1"/>
    <col min="7429" max="7429" width="54.5" style="290" customWidth="1"/>
    <col min="7430" max="7430" width="5" style="290" customWidth="1"/>
    <col min="7431" max="7431" width="15" style="290" customWidth="1"/>
    <col min="7432" max="7432" width="14" style="290" customWidth="1"/>
    <col min="7433" max="7435" width="16.6640625" style="290" customWidth="1"/>
    <col min="7436" max="7438" width="13.6640625" style="290" customWidth="1"/>
    <col min="7439" max="7448" width="13.5" style="290"/>
    <col min="7449" max="7488" width="0" style="290" hidden="1" customWidth="1"/>
    <col min="7489" max="7680" width="13.5" style="290"/>
    <col min="7681" max="7681" width="4.33203125" style="290" customWidth="1"/>
    <col min="7682" max="7682" width="8.83203125" style="290" customWidth="1"/>
    <col min="7683" max="7683" width="16.6640625" style="290" customWidth="1"/>
    <col min="7684" max="7684" width="1.6640625" style="290" customWidth="1"/>
    <col min="7685" max="7685" width="54.5" style="290" customWidth="1"/>
    <col min="7686" max="7686" width="5" style="290" customWidth="1"/>
    <col min="7687" max="7687" width="15" style="290" customWidth="1"/>
    <col min="7688" max="7688" width="14" style="290" customWidth="1"/>
    <col min="7689" max="7691" width="16.6640625" style="290" customWidth="1"/>
    <col min="7692" max="7694" width="13.6640625" style="290" customWidth="1"/>
    <col min="7695" max="7704" width="13.5" style="290"/>
    <col min="7705" max="7744" width="0" style="290" hidden="1" customWidth="1"/>
    <col min="7745" max="7936" width="13.5" style="290"/>
    <col min="7937" max="7937" width="4.33203125" style="290" customWidth="1"/>
    <col min="7938" max="7938" width="8.83203125" style="290" customWidth="1"/>
    <col min="7939" max="7939" width="16.6640625" style="290" customWidth="1"/>
    <col min="7940" max="7940" width="1.6640625" style="290" customWidth="1"/>
    <col min="7941" max="7941" width="54.5" style="290" customWidth="1"/>
    <col min="7942" max="7942" width="5" style="290" customWidth="1"/>
    <col min="7943" max="7943" width="15" style="290" customWidth="1"/>
    <col min="7944" max="7944" width="14" style="290" customWidth="1"/>
    <col min="7945" max="7947" width="16.6640625" style="290" customWidth="1"/>
    <col min="7948" max="7950" width="13.6640625" style="290" customWidth="1"/>
    <col min="7951" max="7960" width="13.5" style="290"/>
    <col min="7961" max="8000" width="0" style="290" hidden="1" customWidth="1"/>
    <col min="8001" max="8192" width="13.5" style="290"/>
    <col min="8193" max="8193" width="4.33203125" style="290" customWidth="1"/>
    <col min="8194" max="8194" width="8.83203125" style="290" customWidth="1"/>
    <col min="8195" max="8195" width="16.6640625" style="290" customWidth="1"/>
    <col min="8196" max="8196" width="1.6640625" style="290" customWidth="1"/>
    <col min="8197" max="8197" width="54.5" style="290" customWidth="1"/>
    <col min="8198" max="8198" width="5" style="290" customWidth="1"/>
    <col min="8199" max="8199" width="15" style="290" customWidth="1"/>
    <col min="8200" max="8200" width="14" style="290" customWidth="1"/>
    <col min="8201" max="8203" width="16.6640625" style="290" customWidth="1"/>
    <col min="8204" max="8206" width="13.6640625" style="290" customWidth="1"/>
    <col min="8207" max="8216" width="13.5" style="290"/>
    <col min="8217" max="8256" width="0" style="290" hidden="1" customWidth="1"/>
    <col min="8257" max="8448" width="13.5" style="290"/>
    <col min="8449" max="8449" width="4.33203125" style="290" customWidth="1"/>
    <col min="8450" max="8450" width="8.83203125" style="290" customWidth="1"/>
    <col min="8451" max="8451" width="16.6640625" style="290" customWidth="1"/>
    <col min="8452" max="8452" width="1.6640625" style="290" customWidth="1"/>
    <col min="8453" max="8453" width="54.5" style="290" customWidth="1"/>
    <col min="8454" max="8454" width="5" style="290" customWidth="1"/>
    <col min="8455" max="8455" width="15" style="290" customWidth="1"/>
    <col min="8456" max="8456" width="14" style="290" customWidth="1"/>
    <col min="8457" max="8459" width="16.6640625" style="290" customWidth="1"/>
    <col min="8460" max="8462" width="13.6640625" style="290" customWidth="1"/>
    <col min="8463" max="8472" width="13.5" style="290"/>
    <col min="8473" max="8512" width="0" style="290" hidden="1" customWidth="1"/>
    <col min="8513" max="8704" width="13.5" style="290"/>
    <col min="8705" max="8705" width="4.33203125" style="290" customWidth="1"/>
    <col min="8706" max="8706" width="8.83203125" style="290" customWidth="1"/>
    <col min="8707" max="8707" width="16.6640625" style="290" customWidth="1"/>
    <col min="8708" max="8708" width="1.6640625" style="290" customWidth="1"/>
    <col min="8709" max="8709" width="54.5" style="290" customWidth="1"/>
    <col min="8710" max="8710" width="5" style="290" customWidth="1"/>
    <col min="8711" max="8711" width="15" style="290" customWidth="1"/>
    <col min="8712" max="8712" width="14" style="290" customWidth="1"/>
    <col min="8713" max="8715" width="16.6640625" style="290" customWidth="1"/>
    <col min="8716" max="8718" width="13.6640625" style="290" customWidth="1"/>
    <col min="8719" max="8728" width="13.5" style="290"/>
    <col min="8729" max="8768" width="0" style="290" hidden="1" customWidth="1"/>
    <col min="8769" max="8960" width="13.5" style="290"/>
    <col min="8961" max="8961" width="4.33203125" style="290" customWidth="1"/>
    <col min="8962" max="8962" width="8.83203125" style="290" customWidth="1"/>
    <col min="8963" max="8963" width="16.6640625" style="290" customWidth="1"/>
    <col min="8964" max="8964" width="1.6640625" style="290" customWidth="1"/>
    <col min="8965" max="8965" width="54.5" style="290" customWidth="1"/>
    <col min="8966" max="8966" width="5" style="290" customWidth="1"/>
    <col min="8967" max="8967" width="15" style="290" customWidth="1"/>
    <col min="8968" max="8968" width="14" style="290" customWidth="1"/>
    <col min="8969" max="8971" width="16.6640625" style="290" customWidth="1"/>
    <col min="8972" max="8974" width="13.6640625" style="290" customWidth="1"/>
    <col min="8975" max="8984" width="13.5" style="290"/>
    <col min="8985" max="9024" width="0" style="290" hidden="1" customWidth="1"/>
    <col min="9025" max="9216" width="13.5" style="290"/>
    <col min="9217" max="9217" width="4.33203125" style="290" customWidth="1"/>
    <col min="9218" max="9218" width="8.83203125" style="290" customWidth="1"/>
    <col min="9219" max="9219" width="16.6640625" style="290" customWidth="1"/>
    <col min="9220" max="9220" width="1.6640625" style="290" customWidth="1"/>
    <col min="9221" max="9221" width="54.5" style="290" customWidth="1"/>
    <col min="9222" max="9222" width="5" style="290" customWidth="1"/>
    <col min="9223" max="9223" width="15" style="290" customWidth="1"/>
    <col min="9224" max="9224" width="14" style="290" customWidth="1"/>
    <col min="9225" max="9227" width="16.6640625" style="290" customWidth="1"/>
    <col min="9228" max="9230" width="13.6640625" style="290" customWidth="1"/>
    <col min="9231" max="9240" width="13.5" style="290"/>
    <col min="9241" max="9280" width="0" style="290" hidden="1" customWidth="1"/>
    <col min="9281" max="9472" width="13.5" style="290"/>
    <col min="9473" max="9473" width="4.33203125" style="290" customWidth="1"/>
    <col min="9474" max="9474" width="8.83203125" style="290" customWidth="1"/>
    <col min="9475" max="9475" width="16.6640625" style="290" customWidth="1"/>
    <col min="9476" max="9476" width="1.6640625" style="290" customWidth="1"/>
    <col min="9477" max="9477" width="54.5" style="290" customWidth="1"/>
    <col min="9478" max="9478" width="5" style="290" customWidth="1"/>
    <col min="9479" max="9479" width="15" style="290" customWidth="1"/>
    <col min="9480" max="9480" width="14" style="290" customWidth="1"/>
    <col min="9481" max="9483" width="16.6640625" style="290" customWidth="1"/>
    <col min="9484" max="9486" width="13.6640625" style="290" customWidth="1"/>
    <col min="9487" max="9496" width="13.5" style="290"/>
    <col min="9497" max="9536" width="0" style="290" hidden="1" customWidth="1"/>
    <col min="9537" max="9728" width="13.5" style="290"/>
    <col min="9729" max="9729" width="4.33203125" style="290" customWidth="1"/>
    <col min="9730" max="9730" width="8.83203125" style="290" customWidth="1"/>
    <col min="9731" max="9731" width="16.6640625" style="290" customWidth="1"/>
    <col min="9732" max="9732" width="1.6640625" style="290" customWidth="1"/>
    <col min="9733" max="9733" width="54.5" style="290" customWidth="1"/>
    <col min="9734" max="9734" width="5" style="290" customWidth="1"/>
    <col min="9735" max="9735" width="15" style="290" customWidth="1"/>
    <col min="9736" max="9736" width="14" style="290" customWidth="1"/>
    <col min="9737" max="9739" width="16.6640625" style="290" customWidth="1"/>
    <col min="9740" max="9742" width="13.6640625" style="290" customWidth="1"/>
    <col min="9743" max="9752" width="13.5" style="290"/>
    <col min="9753" max="9792" width="0" style="290" hidden="1" customWidth="1"/>
    <col min="9793" max="9984" width="13.5" style="290"/>
    <col min="9985" max="9985" width="4.33203125" style="290" customWidth="1"/>
    <col min="9986" max="9986" width="8.83203125" style="290" customWidth="1"/>
    <col min="9987" max="9987" width="16.6640625" style="290" customWidth="1"/>
    <col min="9988" max="9988" width="1.6640625" style="290" customWidth="1"/>
    <col min="9989" max="9989" width="54.5" style="290" customWidth="1"/>
    <col min="9990" max="9990" width="5" style="290" customWidth="1"/>
    <col min="9991" max="9991" width="15" style="290" customWidth="1"/>
    <col min="9992" max="9992" width="14" style="290" customWidth="1"/>
    <col min="9993" max="9995" width="16.6640625" style="290" customWidth="1"/>
    <col min="9996" max="9998" width="13.6640625" style="290" customWidth="1"/>
    <col min="9999" max="10008" width="13.5" style="290"/>
    <col min="10009" max="10048" width="0" style="290" hidden="1" customWidth="1"/>
    <col min="10049" max="10240" width="13.5" style="290"/>
    <col min="10241" max="10241" width="4.33203125" style="290" customWidth="1"/>
    <col min="10242" max="10242" width="8.83203125" style="290" customWidth="1"/>
    <col min="10243" max="10243" width="16.6640625" style="290" customWidth="1"/>
    <col min="10244" max="10244" width="1.6640625" style="290" customWidth="1"/>
    <col min="10245" max="10245" width="54.5" style="290" customWidth="1"/>
    <col min="10246" max="10246" width="5" style="290" customWidth="1"/>
    <col min="10247" max="10247" width="15" style="290" customWidth="1"/>
    <col min="10248" max="10248" width="14" style="290" customWidth="1"/>
    <col min="10249" max="10251" width="16.6640625" style="290" customWidth="1"/>
    <col min="10252" max="10254" width="13.6640625" style="290" customWidth="1"/>
    <col min="10255" max="10264" width="13.5" style="290"/>
    <col min="10265" max="10304" width="0" style="290" hidden="1" customWidth="1"/>
    <col min="10305" max="10496" width="13.5" style="290"/>
    <col min="10497" max="10497" width="4.33203125" style="290" customWidth="1"/>
    <col min="10498" max="10498" width="8.83203125" style="290" customWidth="1"/>
    <col min="10499" max="10499" width="16.6640625" style="290" customWidth="1"/>
    <col min="10500" max="10500" width="1.6640625" style="290" customWidth="1"/>
    <col min="10501" max="10501" width="54.5" style="290" customWidth="1"/>
    <col min="10502" max="10502" width="5" style="290" customWidth="1"/>
    <col min="10503" max="10503" width="15" style="290" customWidth="1"/>
    <col min="10504" max="10504" width="14" style="290" customWidth="1"/>
    <col min="10505" max="10507" width="16.6640625" style="290" customWidth="1"/>
    <col min="10508" max="10510" width="13.6640625" style="290" customWidth="1"/>
    <col min="10511" max="10520" width="13.5" style="290"/>
    <col min="10521" max="10560" width="0" style="290" hidden="1" customWidth="1"/>
    <col min="10561" max="10752" width="13.5" style="290"/>
    <col min="10753" max="10753" width="4.33203125" style="290" customWidth="1"/>
    <col min="10754" max="10754" width="8.83203125" style="290" customWidth="1"/>
    <col min="10755" max="10755" width="16.6640625" style="290" customWidth="1"/>
    <col min="10756" max="10756" width="1.6640625" style="290" customWidth="1"/>
    <col min="10757" max="10757" width="54.5" style="290" customWidth="1"/>
    <col min="10758" max="10758" width="5" style="290" customWidth="1"/>
    <col min="10759" max="10759" width="15" style="290" customWidth="1"/>
    <col min="10760" max="10760" width="14" style="290" customWidth="1"/>
    <col min="10761" max="10763" width="16.6640625" style="290" customWidth="1"/>
    <col min="10764" max="10766" width="13.6640625" style="290" customWidth="1"/>
    <col min="10767" max="10776" width="13.5" style="290"/>
    <col min="10777" max="10816" width="0" style="290" hidden="1" customWidth="1"/>
    <col min="10817" max="11008" width="13.5" style="290"/>
    <col min="11009" max="11009" width="4.33203125" style="290" customWidth="1"/>
    <col min="11010" max="11010" width="8.83203125" style="290" customWidth="1"/>
    <col min="11011" max="11011" width="16.6640625" style="290" customWidth="1"/>
    <col min="11012" max="11012" width="1.6640625" style="290" customWidth="1"/>
    <col min="11013" max="11013" width="54.5" style="290" customWidth="1"/>
    <col min="11014" max="11014" width="5" style="290" customWidth="1"/>
    <col min="11015" max="11015" width="15" style="290" customWidth="1"/>
    <col min="11016" max="11016" width="14" style="290" customWidth="1"/>
    <col min="11017" max="11019" width="16.6640625" style="290" customWidth="1"/>
    <col min="11020" max="11022" width="13.6640625" style="290" customWidth="1"/>
    <col min="11023" max="11032" width="13.5" style="290"/>
    <col min="11033" max="11072" width="0" style="290" hidden="1" customWidth="1"/>
    <col min="11073" max="11264" width="13.5" style="290"/>
    <col min="11265" max="11265" width="4.33203125" style="290" customWidth="1"/>
    <col min="11266" max="11266" width="8.83203125" style="290" customWidth="1"/>
    <col min="11267" max="11267" width="16.6640625" style="290" customWidth="1"/>
    <col min="11268" max="11268" width="1.6640625" style="290" customWidth="1"/>
    <col min="11269" max="11269" width="54.5" style="290" customWidth="1"/>
    <col min="11270" max="11270" width="5" style="290" customWidth="1"/>
    <col min="11271" max="11271" width="15" style="290" customWidth="1"/>
    <col min="11272" max="11272" width="14" style="290" customWidth="1"/>
    <col min="11273" max="11275" width="16.6640625" style="290" customWidth="1"/>
    <col min="11276" max="11278" width="13.6640625" style="290" customWidth="1"/>
    <col min="11279" max="11288" width="13.5" style="290"/>
    <col min="11289" max="11328" width="0" style="290" hidden="1" customWidth="1"/>
    <col min="11329" max="11520" width="13.5" style="290"/>
    <col min="11521" max="11521" width="4.33203125" style="290" customWidth="1"/>
    <col min="11522" max="11522" width="8.83203125" style="290" customWidth="1"/>
    <col min="11523" max="11523" width="16.6640625" style="290" customWidth="1"/>
    <col min="11524" max="11524" width="1.6640625" style="290" customWidth="1"/>
    <col min="11525" max="11525" width="54.5" style="290" customWidth="1"/>
    <col min="11526" max="11526" width="5" style="290" customWidth="1"/>
    <col min="11527" max="11527" width="15" style="290" customWidth="1"/>
    <col min="11528" max="11528" width="14" style="290" customWidth="1"/>
    <col min="11529" max="11531" width="16.6640625" style="290" customWidth="1"/>
    <col min="11532" max="11534" width="13.6640625" style="290" customWidth="1"/>
    <col min="11535" max="11544" width="13.5" style="290"/>
    <col min="11545" max="11584" width="0" style="290" hidden="1" customWidth="1"/>
    <col min="11585" max="11776" width="13.5" style="290"/>
    <col min="11777" max="11777" width="4.33203125" style="290" customWidth="1"/>
    <col min="11778" max="11778" width="8.83203125" style="290" customWidth="1"/>
    <col min="11779" max="11779" width="16.6640625" style="290" customWidth="1"/>
    <col min="11780" max="11780" width="1.6640625" style="290" customWidth="1"/>
    <col min="11781" max="11781" width="54.5" style="290" customWidth="1"/>
    <col min="11782" max="11782" width="5" style="290" customWidth="1"/>
    <col min="11783" max="11783" width="15" style="290" customWidth="1"/>
    <col min="11784" max="11784" width="14" style="290" customWidth="1"/>
    <col min="11785" max="11787" width="16.6640625" style="290" customWidth="1"/>
    <col min="11788" max="11790" width="13.6640625" style="290" customWidth="1"/>
    <col min="11791" max="11800" width="13.5" style="290"/>
    <col min="11801" max="11840" width="0" style="290" hidden="1" customWidth="1"/>
    <col min="11841" max="12032" width="13.5" style="290"/>
    <col min="12033" max="12033" width="4.33203125" style="290" customWidth="1"/>
    <col min="12034" max="12034" width="8.83203125" style="290" customWidth="1"/>
    <col min="12035" max="12035" width="16.6640625" style="290" customWidth="1"/>
    <col min="12036" max="12036" width="1.6640625" style="290" customWidth="1"/>
    <col min="12037" max="12037" width="54.5" style="290" customWidth="1"/>
    <col min="12038" max="12038" width="5" style="290" customWidth="1"/>
    <col min="12039" max="12039" width="15" style="290" customWidth="1"/>
    <col min="12040" max="12040" width="14" style="290" customWidth="1"/>
    <col min="12041" max="12043" width="16.6640625" style="290" customWidth="1"/>
    <col min="12044" max="12046" width="13.6640625" style="290" customWidth="1"/>
    <col min="12047" max="12056" width="13.5" style="290"/>
    <col min="12057" max="12096" width="0" style="290" hidden="1" customWidth="1"/>
    <col min="12097" max="12288" width="13.5" style="290"/>
    <col min="12289" max="12289" width="4.33203125" style="290" customWidth="1"/>
    <col min="12290" max="12290" width="8.83203125" style="290" customWidth="1"/>
    <col min="12291" max="12291" width="16.6640625" style="290" customWidth="1"/>
    <col min="12292" max="12292" width="1.6640625" style="290" customWidth="1"/>
    <col min="12293" max="12293" width="54.5" style="290" customWidth="1"/>
    <col min="12294" max="12294" width="5" style="290" customWidth="1"/>
    <col min="12295" max="12295" width="15" style="290" customWidth="1"/>
    <col min="12296" max="12296" width="14" style="290" customWidth="1"/>
    <col min="12297" max="12299" width="16.6640625" style="290" customWidth="1"/>
    <col min="12300" max="12302" width="13.6640625" style="290" customWidth="1"/>
    <col min="12303" max="12312" width="13.5" style="290"/>
    <col min="12313" max="12352" width="0" style="290" hidden="1" customWidth="1"/>
    <col min="12353" max="12544" width="13.5" style="290"/>
    <col min="12545" max="12545" width="4.33203125" style="290" customWidth="1"/>
    <col min="12546" max="12546" width="8.83203125" style="290" customWidth="1"/>
    <col min="12547" max="12547" width="16.6640625" style="290" customWidth="1"/>
    <col min="12548" max="12548" width="1.6640625" style="290" customWidth="1"/>
    <col min="12549" max="12549" width="54.5" style="290" customWidth="1"/>
    <col min="12550" max="12550" width="5" style="290" customWidth="1"/>
    <col min="12551" max="12551" width="15" style="290" customWidth="1"/>
    <col min="12552" max="12552" width="14" style="290" customWidth="1"/>
    <col min="12553" max="12555" width="16.6640625" style="290" customWidth="1"/>
    <col min="12556" max="12558" width="13.6640625" style="290" customWidth="1"/>
    <col min="12559" max="12568" width="13.5" style="290"/>
    <col min="12569" max="12608" width="0" style="290" hidden="1" customWidth="1"/>
    <col min="12609" max="12800" width="13.5" style="290"/>
    <col min="12801" max="12801" width="4.33203125" style="290" customWidth="1"/>
    <col min="12802" max="12802" width="8.83203125" style="290" customWidth="1"/>
    <col min="12803" max="12803" width="16.6640625" style="290" customWidth="1"/>
    <col min="12804" max="12804" width="1.6640625" style="290" customWidth="1"/>
    <col min="12805" max="12805" width="54.5" style="290" customWidth="1"/>
    <col min="12806" max="12806" width="5" style="290" customWidth="1"/>
    <col min="12807" max="12807" width="15" style="290" customWidth="1"/>
    <col min="12808" max="12808" width="14" style="290" customWidth="1"/>
    <col min="12809" max="12811" width="16.6640625" style="290" customWidth="1"/>
    <col min="12812" max="12814" width="13.6640625" style="290" customWidth="1"/>
    <col min="12815" max="12824" width="13.5" style="290"/>
    <col min="12825" max="12864" width="0" style="290" hidden="1" customWidth="1"/>
    <col min="12865" max="13056" width="13.5" style="290"/>
    <col min="13057" max="13057" width="4.33203125" style="290" customWidth="1"/>
    <col min="13058" max="13058" width="8.83203125" style="290" customWidth="1"/>
    <col min="13059" max="13059" width="16.6640625" style="290" customWidth="1"/>
    <col min="13060" max="13060" width="1.6640625" style="290" customWidth="1"/>
    <col min="13061" max="13061" width="54.5" style="290" customWidth="1"/>
    <col min="13062" max="13062" width="5" style="290" customWidth="1"/>
    <col min="13063" max="13063" width="15" style="290" customWidth="1"/>
    <col min="13064" max="13064" width="14" style="290" customWidth="1"/>
    <col min="13065" max="13067" width="16.6640625" style="290" customWidth="1"/>
    <col min="13068" max="13070" width="13.6640625" style="290" customWidth="1"/>
    <col min="13071" max="13080" width="13.5" style="290"/>
    <col min="13081" max="13120" width="0" style="290" hidden="1" customWidth="1"/>
    <col min="13121" max="13312" width="13.5" style="290"/>
    <col min="13313" max="13313" width="4.33203125" style="290" customWidth="1"/>
    <col min="13314" max="13314" width="8.83203125" style="290" customWidth="1"/>
    <col min="13315" max="13315" width="16.6640625" style="290" customWidth="1"/>
    <col min="13316" max="13316" width="1.6640625" style="290" customWidth="1"/>
    <col min="13317" max="13317" width="54.5" style="290" customWidth="1"/>
    <col min="13318" max="13318" width="5" style="290" customWidth="1"/>
    <col min="13319" max="13319" width="15" style="290" customWidth="1"/>
    <col min="13320" max="13320" width="14" style="290" customWidth="1"/>
    <col min="13321" max="13323" width="16.6640625" style="290" customWidth="1"/>
    <col min="13324" max="13326" width="13.6640625" style="290" customWidth="1"/>
    <col min="13327" max="13336" width="13.5" style="290"/>
    <col min="13337" max="13376" width="0" style="290" hidden="1" customWidth="1"/>
    <col min="13377" max="13568" width="13.5" style="290"/>
    <col min="13569" max="13569" width="4.33203125" style="290" customWidth="1"/>
    <col min="13570" max="13570" width="8.83203125" style="290" customWidth="1"/>
    <col min="13571" max="13571" width="16.6640625" style="290" customWidth="1"/>
    <col min="13572" max="13572" width="1.6640625" style="290" customWidth="1"/>
    <col min="13573" max="13573" width="54.5" style="290" customWidth="1"/>
    <col min="13574" max="13574" width="5" style="290" customWidth="1"/>
    <col min="13575" max="13575" width="15" style="290" customWidth="1"/>
    <col min="13576" max="13576" width="14" style="290" customWidth="1"/>
    <col min="13577" max="13579" width="16.6640625" style="290" customWidth="1"/>
    <col min="13580" max="13582" width="13.6640625" style="290" customWidth="1"/>
    <col min="13583" max="13592" width="13.5" style="290"/>
    <col min="13593" max="13632" width="0" style="290" hidden="1" customWidth="1"/>
    <col min="13633" max="13824" width="13.5" style="290"/>
    <col min="13825" max="13825" width="4.33203125" style="290" customWidth="1"/>
    <col min="13826" max="13826" width="8.83203125" style="290" customWidth="1"/>
    <col min="13827" max="13827" width="16.6640625" style="290" customWidth="1"/>
    <col min="13828" max="13828" width="1.6640625" style="290" customWidth="1"/>
    <col min="13829" max="13829" width="54.5" style="290" customWidth="1"/>
    <col min="13830" max="13830" width="5" style="290" customWidth="1"/>
    <col min="13831" max="13831" width="15" style="290" customWidth="1"/>
    <col min="13832" max="13832" width="14" style="290" customWidth="1"/>
    <col min="13833" max="13835" width="16.6640625" style="290" customWidth="1"/>
    <col min="13836" max="13838" width="13.6640625" style="290" customWidth="1"/>
    <col min="13839" max="13848" width="13.5" style="290"/>
    <col min="13849" max="13888" width="0" style="290" hidden="1" customWidth="1"/>
    <col min="13889" max="14080" width="13.5" style="290"/>
    <col min="14081" max="14081" width="4.33203125" style="290" customWidth="1"/>
    <col min="14082" max="14082" width="8.83203125" style="290" customWidth="1"/>
    <col min="14083" max="14083" width="16.6640625" style="290" customWidth="1"/>
    <col min="14084" max="14084" width="1.6640625" style="290" customWidth="1"/>
    <col min="14085" max="14085" width="54.5" style="290" customWidth="1"/>
    <col min="14086" max="14086" width="5" style="290" customWidth="1"/>
    <col min="14087" max="14087" width="15" style="290" customWidth="1"/>
    <col min="14088" max="14088" width="14" style="290" customWidth="1"/>
    <col min="14089" max="14091" width="16.6640625" style="290" customWidth="1"/>
    <col min="14092" max="14094" width="13.6640625" style="290" customWidth="1"/>
    <col min="14095" max="14104" width="13.5" style="290"/>
    <col min="14105" max="14144" width="0" style="290" hidden="1" customWidth="1"/>
    <col min="14145" max="14336" width="13.5" style="290"/>
    <col min="14337" max="14337" width="4.33203125" style="290" customWidth="1"/>
    <col min="14338" max="14338" width="8.83203125" style="290" customWidth="1"/>
    <col min="14339" max="14339" width="16.6640625" style="290" customWidth="1"/>
    <col min="14340" max="14340" width="1.6640625" style="290" customWidth="1"/>
    <col min="14341" max="14341" width="54.5" style="290" customWidth="1"/>
    <col min="14342" max="14342" width="5" style="290" customWidth="1"/>
    <col min="14343" max="14343" width="15" style="290" customWidth="1"/>
    <col min="14344" max="14344" width="14" style="290" customWidth="1"/>
    <col min="14345" max="14347" width="16.6640625" style="290" customWidth="1"/>
    <col min="14348" max="14350" width="13.6640625" style="290" customWidth="1"/>
    <col min="14351" max="14360" width="13.5" style="290"/>
    <col min="14361" max="14400" width="0" style="290" hidden="1" customWidth="1"/>
    <col min="14401" max="14592" width="13.5" style="290"/>
    <col min="14593" max="14593" width="4.33203125" style="290" customWidth="1"/>
    <col min="14594" max="14594" width="8.83203125" style="290" customWidth="1"/>
    <col min="14595" max="14595" width="16.6640625" style="290" customWidth="1"/>
    <col min="14596" max="14596" width="1.6640625" style="290" customWidth="1"/>
    <col min="14597" max="14597" width="54.5" style="290" customWidth="1"/>
    <col min="14598" max="14598" width="5" style="290" customWidth="1"/>
    <col min="14599" max="14599" width="15" style="290" customWidth="1"/>
    <col min="14600" max="14600" width="14" style="290" customWidth="1"/>
    <col min="14601" max="14603" width="16.6640625" style="290" customWidth="1"/>
    <col min="14604" max="14606" width="13.6640625" style="290" customWidth="1"/>
    <col min="14607" max="14616" width="13.5" style="290"/>
    <col min="14617" max="14656" width="0" style="290" hidden="1" customWidth="1"/>
    <col min="14657" max="14848" width="13.5" style="290"/>
    <col min="14849" max="14849" width="4.33203125" style="290" customWidth="1"/>
    <col min="14850" max="14850" width="8.83203125" style="290" customWidth="1"/>
    <col min="14851" max="14851" width="16.6640625" style="290" customWidth="1"/>
    <col min="14852" max="14852" width="1.6640625" style="290" customWidth="1"/>
    <col min="14853" max="14853" width="54.5" style="290" customWidth="1"/>
    <col min="14854" max="14854" width="5" style="290" customWidth="1"/>
    <col min="14855" max="14855" width="15" style="290" customWidth="1"/>
    <col min="14856" max="14856" width="14" style="290" customWidth="1"/>
    <col min="14857" max="14859" width="16.6640625" style="290" customWidth="1"/>
    <col min="14860" max="14862" width="13.6640625" style="290" customWidth="1"/>
    <col min="14863" max="14872" width="13.5" style="290"/>
    <col min="14873" max="14912" width="0" style="290" hidden="1" customWidth="1"/>
    <col min="14913" max="15104" width="13.5" style="290"/>
    <col min="15105" max="15105" width="4.33203125" style="290" customWidth="1"/>
    <col min="15106" max="15106" width="8.83203125" style="290" customWidth="1"/>
    <col min="15107" max="15107" width="16.6640625" style="290" customWidth="1"/>
    <col min="15108" max="15108" width="1.6640625" style="290" customWidth="1"/>
    <col min="15109" max="15109" width="54.5" style="290" customWidth="1"/>
    <col min="15110" max="15110" width="5" style="290" customWidth="1"/>
    <col min="15111" max="15111" width="15" style="290" customWidth="1"/>
    <col min="15112" max="15112" width="14" style="290" customWidth="1"/>
    <col min="15113" max="15115" width="16.6640625" style="290" customWidth="1"/>
    <col min="15116" max="15118" width="13.6640625" style="290" customWidth="1"/>
    <col min="15119" max="15128" width="13.5" style="290"/>
    <col min="15129" max="15168" width="0" style="290" hidden="1" customWidth="1"/>
    <col min="15169" max="15360" width="13.5" style="290"/>
    <col min="15361" max="15361" width="4.33203125" style="290" customWidth="1"/>
    <col min="15362" max="15362" width="8.83203125" style="290" customWidth="1"/>
    <col min="15363" max="15363" width="16.6640625" style="290" customWidth="1"/>
    <col min="15364" max="15364" width="1.6640625" style="290" customWidth="1"/>
    <col min="15365" max="15365" width="54.5" style="290" customWidth="1"/>
    <col min="15366" max="15366" width="5" style="290" customWidth="1"/>
    <col min="15367" max="15367" width="15" style="290" customWidth="1"/>
    <col min="15368" max="15368" width="14" style="290" customWidth="1"/>
    <col min="15369" max="15371" width="16.6640625" style="290" customWidth="1"/>
    <col min="15372" max="15374" width="13.6640625" style="290" customWidth="1"/>
    <col min="15375" max="15384" width="13.5" style="290"/>
    <col min="15385" max="15424" width="0" style="290" hidden="1" customWidth="1"/>
    <col min="15425" max="15616" width="13.5" style="290"/>
    <col min="15617" max="15617" width="4.33203125" style="290" customWidth="1"/>
    <col min="15618" max="15618" width="8.83203125" style="290" customWidth="1"/>
    <col min="15619" max="15619" width="16.6640625" style="290" customWidth="1"/>
    <col min="15620" max="15620" width="1.6640625" style="290" customWidth="1"/>
    <col min="15621" max="15621" width="54.5" style="290" customWidth="1"/>
    <col min="15622" max="15622" width="5" style="290" customWidth="1"/>
    <col min="15623" max="15623" width="15" style="290" customWidth="1"/>
    <col min="15624" max="15624" width="14" style="290" customWidth="1"/>
    <col min="15625" max="15627" width="16.6640625" style="290" customWidth="1"/>
    <col min="15628" max="15630" width="13.6640625" style="290" customWidth="1"/>
    <col min="15631" max="15640" width="13.5" style="290"/>
    <col min="15641" max="15680" width="0" style="290" hidden="1" customWidth="1"/>
    <col min="15681" max="15872" width="13.5" style="290"/>
    <col min="15873" max="15873" width="4.33203125" style="290" customWidth="1"/>
    <col min="15874" max="15874" width="8.83203125" style="290" customWidth="1"/>
    <col min="15875" max="15875" width="16.6640625" style="290" customWidth="1"/>
    <col min="15876" max="15876" width="1.6640625" style="290" customWidth="1"/>
    <col min="15877" max="15877" width="54.5" style="290" customWidth="1"/>
    <col min="15878" max="15878" width="5" style="290" customWidth="1"/>
    <col min="15879" max="15879" width="15" style="290" customWidth="1"/>
    <col min="15880" max="15880" width="14" style="290" customWidth="1"/>
    <col min="15881" max="15883" width="16.6640625" style="290" customWidth="1"/>
    <col min="15884" max="15886" width="13.6640625" style="290" customWidth="1"/>
    <col min="15887" max="15896" width="13.5" style="290"/>
    <col min="15897" max="15936" width="0" style="290" hidden="1" customWidth="1"/>
    <col min="15937" max="16128" width="13.5" style="290"/>
    <col min="16129" max="16129" width="4.33203125" style="290" customWidth="1"/>
    <col min="16130" max="16130" width="8.83203125" style="290" customWidth="1"/>
    <col min="16131" max="16131" width="16.6640625" style="290" customWidth="1"/>
    <col min="16132" max="16132" width="1.6640625" style="290" customWidth="1"/>
    <col min="16133" max="16133" width="54.5" style="290" customWidth="1"/>
    <col min="16134" max="16134" width="5" style="290" customWidth="1"/>
    <col min="16135" max="16135" width="15" style="290" customWidth="1"/>
    <col min="16136" max="16136" width="14" style="290" customWidth="1"/>
    <col min="16137" max="16139" width="16.6640625" style="290" customWidth="1"/>
    <col min="16140" max="16142" width="13.6640625" style="290" customWidth="1"/>
    <col min="16143" max="16152" width="13.5" style="290"/>
    <col min="16153" max="16192" width="0" style="290" hidden="1" customWidth="1"/>
    <col min="16193" max="16384" width="13.5" style="290"/>
  </cols>
  <sheetData>
    <row r="1" spans="1:64" ht="72.95" customHeight="1">
      <c r="A1" s="468" t="s">
        <v>4498</v>
      </c>
      <c r="B1" s="469"/>
      <c r="C1" s="469"/>
      <c r="D1" s="469"/>
      <c r="E1" s="469"/>
      <c r="F1" s="469"/>
      <c r="G1" s="469"/>
      <c r="H1" s="469"/>
      <c r="I1" s="469"/>
      <c r="J1" s="469"/>
      <c r="K1" s="469"/>
      <c r="L1" s="469"/>
      <c r="M1" s="469"/>
      <c r="N1" s="469"/>
    </row>
    <row r="2" spans="1:64">
      <c r="A2" s="470" t="s">
        <v>4499</v>
      </c>
      <c r="B2" s="471"/>
      <c r="C2" s="471"/>
      <c r="D2" s="473" t="s">
        <v>4500</v>
      </c>
      <c r="E2" s="452"/>
      <c r="F2" s="475" t="s">
        <v>4501</v>
      </c>
      <c r="G2" s="471"/>
      <c r="H2" s="475" t="s">
        <v>4502</v>
      </c>
      <c r="I2" s="476" t="s">
        <v>4503</v>
      </c>
      <c r="J2" s="476" t="s">
        <v>4504</v>
      </c>
      <c r="K2" s="471"/>
      <c r="L2" s="471"/>
      <c r="M2" s="471"/>
      <c r="N2" s="477"/>
      <c r="O2" s="291"/>
    </row>
    <row r="3" spans="1:64">
      <c r="A3" s="472"/>
      <c r="B3" s="440"/>
      <c r="C3" s="440"/>
      <c r="D3" s="474"/>
      <c r="E3" s="474"/>
      <c r="F3" s="440"/>
      <c r="G3" s="440"/>
      <c r="H3" s="440"/>
      <c r="I3" s="440"/>
      <c r="J3" s="440"/>
      <c r="K3" s="440"/>
      <c r="L3" s="440"/>
      <c r="M3" s="440"/>
      <c r="N3" s="466"/>
      <c r="O3" s="291"/>
    </row>
    <row r="4" spans="1:64">
      <c r="A4" s="462" t="s">
        <v>4505</v>
      </c>
      <c r="B4" s="440"/>
      <c r="C4" s="440"/>
      <c r="D4" s="439" t="s">
        <v>4506</v>
      </c>
      <c r="E4" s="440"/>
      <c r="F4" s="465" t="s">
        <v>4507</v>
      </c>
      <c r="G4" s="440"/>
      <c r="H4" s="465" t="s">
        <v>4502</v>
      </c>
      <c r="I4" s="439" t="s">
        <v>32</v>
      </c>
      <c r="J4" s="439" t="s">
        <v>4508</v>
      </c>
      <c r="K4" s="440"/>
      <c r="L4" s="440"/>
      <c r="M4" s="440"/>
      <c r="N4" s="466"/>
      <c r="O4" s="291"/>
    </row>
    <row r="5" spans="1:64">
      <c r="A5" s="472"/>
      <c r="B5" s="440"/>
      <c r="C5" s="440"/>
      <c r="D5" s="440"/>
      <c r="E5" s="440"/>
      <c r="F5" s="440"/>
      <c r="G5" s="440"/>
      <c r="H5" s="440"/>
      <c r="I5" s="440"/>
      <c r="J5" s="440"/>
      <c r="K5" s="440"/>
      <c r="L5" s="440"/>
      <c r="M5" s="440"/>
      <c r="N5" s="466"/>
      <c r="O5" s="291"/>
    </row>
    <row r="6" spans="1:64">
      <c r="A6" s="462" t="s">
        <v>4509</v>
      </c>
      <c r="B6" s="440"/>
      <c r="C6" s="440"/>
      <c r="D6" s="439" t="s">
        <v>4510</v>
      </c>
      <c r="E6" s="440"/>
      <c r="F6" s="465" t="s">
        <v>4511</v>
      </c>
      <c r="G6" s="440"/>
      <c r="H6" s="465" t="s">
        <v>4502</v>
      </c>
      <c r="I6" s="439" t="s">
        <v>4512</v>
      </c>
      <c r="J6" s="465" t="s">
        <v>4513</v>
      </c>
      <c r="K6" s="440"/>
      <c r="L6" s="440"/>
      <c r="M6" s="440"/>
      <c r="N6" s="466"/>
      <c r="O6" s="291"/>
    </row>
    <row r="7" spans="1:64">
      <c r="A7" s="472"/>
      <c r="B7" s="440"/>
      <c r="C7" s="440"/>
      <c r="D7" s="440"/>
      <c r="E7" s="440"/>
      <c r="F7" s="440"/>
      <c r="G7" s="440"/>
      <c r="H7" s="440"/>
      <c r="I7" s="440"/>
      <c r="J7" s="440"/>
      <c r="K7" s="440"/>
      <c r="L7" s="440"/>
      <c r="M7" s="440"/>
      <c r="N7" s="466"/>
      <c r="O7" s="291"/>
    </row>
    <row r="8" spans="1:64">
      <c r="A8" s="462" t="s">
        <v>4514</v>
      </c>
      <c r="B8" s="440"/>
      <c r="C8" s="440"/>
      <c r="D8" s="439">
        <v>8013249</v>
      </c>
      <c r="E8" s="440"/>
      <c r="F8" s="465" t="s">
        <v>4515</v>
      </c>
      <c r="G8" s="440"/>
      <c r="H8" s="465" t="s">
        <v>4516</v>
      </c>
      <c r="I8" s="439" t="s">
        <v>4517</v>
      </c>
      <c r="J8" s="439" t="s">
        <v>4508</v>
      </c>
      <c r="K8" s="440"/>
      <c r="L8" s="440"/>
      <c r="M8" s="440"/>
      <c r="N8" s="466"/>
      <c r="O8" s="291"/>
    </row>
    <row r="9" spans="1:64" ht="13.5" thickBot="1">
      <c r="A9" s="463"/>
      <c r="B9" s="464"/>
      <c r="C9" s="464"/>
      <c r="D9" s="464"/>
      <c r="E9" s="464"/>
      <c r="F9" s="464"/>
      <c r="G9" s="464"/>
      <c r="H9" s="464"/>
      <c r="I9" s="464"/>
      <c r="J9" s="464"/>
      <c r="K9" s="464"/>
      <c r="L9" s="464"/>
      <c r="M9" s="464"/>
      <c r="N9" s="467"/>
      <c r="O9" s="291"/>
    </row>
    <row r="10" spans="1:64">
      <c r="A10" s="292" t="s">
        <v>4518</v>
      </c>
      <c r="B10" s="293" t="s">
        <v>4433</v>
      </c>
      <c r="C10" s="293" t="s">
        <v>58</v>
      </c>
      <c r="D10" s="453" t="s">
        <v>4519</v>
      </c>
      <c r="E10" s="454"/>
      <c r="F10" s="293" t="s">
        <v>164</v>
      </c>
      <c r="G10" s="294" t="s">
        <v>165</v>
      </c>
      <c r="H10" s="295" t="s">
        <v>4520</v>
      </c>
      <c r="I10" s="455" t="s">
        <v>4521</v>
      </c>
      <c r="J10" s="456"/>
      <c r="K10" s="457"/>
      <c r="L10" s="455" t="s">
        <v>4522</v>
      </c>
      <c r="M10" s="457"/>
      <c r="N10" s="296" t="s">
        <v>4523</v>
      </c>
      <c r="O10" s="297"/>
      <c r="BK10" s="298" t="s">
        <v>4524</v>
      </c>
      <c r="BL10" s="299" t="s">
        <v>4525</v>
      </c>
    </row>
    <row r="11" spans="1:64" ht="13.5" thickBot="1">
      <c r="A11" s="300" t="s">
        <v>4502</v>
      </c>
      <c r="B11" s="301" t="s">
        <v>4502</v>
      </c>
      <c r="C11" s="301" t="s">
        <v>4502</v>
      </c>
      <c r="D11" s="458" t="s">
        <v>4526</v>
      </c>
      <c r="E11" s="459"/>
      <c r="F11" s="301" t="s">
        <v>4502</v>
      </c>
      <c r="G11" s="301" t="s">
        <v>4502</v>
      </c>
      <c r="H11" s="302" t="s">
        <v>4527</v>
      </c>
      <c r="I11" s="303" t="s">
        <v>4528</v>
      </c>
      <c r="J11" s="304" t="s">
        <v>4529</v>
      </c>
      <c r="K11" s="305" t="s">
        <v>4530</v>
      </c>
      <c r="L11" s="303" t="s">
        <v>4531</v>
      </c>
      <c r="M11" s="305" t="s">
        <v>4530</v>
      </c>
      <c r="N11" s="306" t="s">
        <v>4532</v>
      </c>
      <c r="O11" s="297"/>
      <c r="Z11" s="298" t="s">
        <v>4533</v>
      </c>
      <c r="AA11" s="298" t="s">
        <v>4534</v>
      </c>
      <c r="AB11" s="298" t="s">
        <v>4535</v>
      </c>
      <c r="AC11" s="298" t="s">
        <v>4536</v>
      </c>
      <c r="AD11" s="298" t="s">
        <v>4537</v>
      </c>
      <c r="AE11" s="298" t="s">
        <v>4538</v>
      </c>
      <c r="AF11" s="298" t="s">
        <v>4539</v>
      </c>
      <c r="AG11" s="298" t="s">
        <v>4540</v>
      </c>
      <c r="AH11" s="298" t="s">
        <v>4541</v>
      </c>
      <c r="BH11" s="298" t="s">
        <v>4542</v>
      </c>
      <c r="BI11" s="298" t="s">
        <v>4543</v>
      </c>
      <c r="BJ11" s="298" t="s">
        <v>4544</v>
      </c>
    </row>
    <row r="12" spans="1:64">
      <c r="A12" s="307"/>
      <c r="B12" s="308"/>
      <c r="C12" s="308" t="s">
        <v>246</v>
      </c>
      <c r="D12" s="460" t="s">
        <v>4545</v>
      </c>
      <c r="E12" s="461"/>
      <c r="F12" s="309" t="s">
        <v>4502</v>
      </c>
      <c r="G12" s="309" t="s">
        <v>4502</v>
      </c>
      <c r="H12" s="309" t="s">
        <v>4502</v>
      </c>
      <c r="I12" s="310">
        <f>SUM(I13:I27)</f>
        <v>0</v>
      </c>
      <c r="J12" s="310">
        <f>SUM(J13:J27)</f>
        <v>0</v>
      </c>
      <c r="K12" s="310">
        <f>SUM(K13:K27)</f>
        <v>0</v>
      </c>
      <c r="L12" s="311"/>
      <c r="M12" s="310">
        <f>SUM(M13:M27)</f>
        <v>1.4580000000000001E-2</v>
      </c>
      <c r="N12" s="312"/>
      <c r="O12" s="291"/>
      <c r="AI12" s="298"/>
      <c r="AS12" s="313">
        <f>SUM(AJ13:AJ27)</f>
        <v>0</v>
      </c>
      <c r="AT12" s="313">
        <f>SUM(AK13:AK27)</f>
        <v>0</v>
      </c>
      <c r="AU12" s="313">
        <f>SUM(AL13:AL27)</f>
        <v>0</v>
      </c>
    </row>
    <row r="13" spans="1:64">
      <c r="A13" s="314" t="s">
        <v>85</v>
      </c>
      <c r="B13" s="315"/>
      <c r="C13" s="315" t="s">
        <v>4546</v>
      </c>
      <c r="D13" s="443" t="s">
        <v>4547</v>
      </c>
      <c r="E13" s="444"/>
      <c r="F13" s="315" t="s">
        <v>476</v>
      </c>
      <c r="G13" s="316">
        <v>15</v>
      </c>
      <c r="H13" s="316"/>
      <c r="I13" s="316">
        <f>G13*AO13</f>
        <v>0</v>
      </c>
      <c r="J13" s="316">
        <f>G13*AP13</f>
        <v>0</v>
      </c>
      <c r="K13" s="316">
        <f>G13*H13</f>
        <v>0</v>
      </c>
      <c r="L13" s="316">
        <v>2.0000000000000002E-5</v>
      </c>
      <c r="M13" s="316">
        <f>G13*L13</f>
        <v>3.0000000000000003E-4</v>
      </c>
      <c r="N13" s="317" t="s">
        <v>4548</v>
      </c>
      <c r="O13" s="291"/>
      <c r="Z13" s="318">
        <f>IF(AQ13="5",BJ13,0)</f>
        <v>0</v>
      </c>
      <c r="AB13" s="318">
        <f>IF(AQ13="1",BH13,0)</f>
        <v>0</v>
      </c>
      <c r="AC13" s="318">
        <f>IF(AQ13="1",BI13,0)</f>
        <v>0</v>
      </c>
      <c r="AD13" s="318">
        <f>IF(AQ13="7",BH13,0)</f>
        <v>0</v>
      </c>
      <c r="AE13" s="318">
        <f>IF(AQ13="7",BI13,0)</f>
        <v>0</v>
      </c>
      <c r="AF13" s="318">
        <f>IF(AQ13="2",BH13,0)</f>
        <v>0</v>
      </c>
      <c r="AG13" s="318">
        <f>IF(AQ13="2",BI13,0)</f>
        <v>0</v>
      </c>
      <c r="AH13" s="318">
        <f>IF(AQ13="0",BJ13,0)</f>
        <v>0</v>
      </c>
      <c r="AI13" s="298"/>
      <c r="AJ13" s="316">
        <f>IF(AN13=0,K13,0)</f>
        <v>0</v>
      </c>
      <c r="AK13" s="316">
        <f>IF(AN13=15,K13,0)</f>
        <v>0</v>
      </c>
      <c r="AL13" s="316">
        <f>IF(AN13=21,K13,0)</f>
        <v>0</v>
      </c>
      <c r="AN13" s="318">
        <v>21</v>
      </c>
      <c r="AO13" s="318">
        <f>H13*0.59203821656051</f>
        <v>0</v>
      </c>
      <c r="AP13" s="318">
        <f>H13*(1-0.59203821656051)</f>
        <v>0</v>
      </c>
      <c r="AQ13" s="319" t="s">
        <v>241</v>
      </c>
      <c r="AV13" s="318">
        <f>AW13+AX13</f>
        <v>0</v>
      </c>
      <c r="AW13" s="318">
        <f>G13*AO13</f>
        <v>0</v>
      </c>
      <c r="AX13" s="318">
        <f>G13*AP13</f>
        <v>0</v>
      </c>
      <c r="AY13" s="320" t="s">
        <v>4549</v>
      </c>
      <c r="AZ13" s="320" t="s">
        <v>4550</v>
      </c>
      <c r="BA13" s="298" t="s">
        <v>4551</v>
      </c>
      <c r="BC13" s="318">
        <f>AW13+AX13</f>
        <v>0</v>
      </c>
      <c r="BD13" s="318">
        <f>H13/(100-BE13)*100</f>
        <v>0</v>
      </c>
      <c r="BE13" s="318">
        <v>0</v>
      </c>
      <c r="BF13" s="318">
        <f>M13</f>
        <v>3.0000000000000003E-4</v>
      </c>
      <c r="BH13" s="316">
        <f>G13*AO13</f>
        <v>0</v>
      </c>
      <c r="BI13" s="316">
        <f>G13*AP13</f>
        <v>0</v>
      </c>
      <c r="BJ13" s="316">
        <f>G13*H13</f>
        <v>0</v>
      </c>
      <c r="BK13" s="316" t="s">
        <v>815</v>
      </c>
      <c r="BL13" s="318">
        <v>722</v>
      </c>
    </row>
    <row r="14" spans="1:64">
      <c r="A14" s="291"/>
      <c r="C14" s="321" t="s">
        <v>4552</v>
      </c>
      <c r="D14" s="445" t="s">
        <v>4553</v>
      </c>
      <c r="E14" s="446"/>
      <c r="F14" s="446"/>
      <c r="G14" s="446"/>
      <c r="H14" s="446"/>
      <c r="I14" s="446"/>
      <c r="J14" s="446"/>
      <c r="K14" s="446"/>
      <c r="L14" s="446"/>
      <c r="M14" s="446"/>
      <c r="N14" s="447"/>
      <c r="O14" s="291"/>
    </row>
    <row r="15" spans="1:64">
      <c r="A15" s="314" t="s">
        <v>87</v>
      </c>
      <c r="B15" s="315"/>
      <c r="C15" s="315" t="s">
        <v>4554</v>
      </c>
      <c r="D15" s="443" t="s">
        <v>4555</v>
      </c>
      <c r="E15" s="444"/>
      <c r="F15" s="315" t="s">
        <v>476</v>
      </c>
      <c r="G15" s="316">
        <v>50</v>
      </c>
      <c r="H15" s="316"/>
      <c r="I15" s="316">
        <f>G15*AO15</f>
        <v>0</v>
      </c>
      <c r="J15" s="316">
        <f>G15*AP15</f>
        <v>0</v>
      </c>
      <c r="K15" s="316">
        <f>G15*H15</f>
        <v>0</v>
      </c>
      <c r="L15" s="316">
        <v>2.0000000000000002E-5</v>
      </c>
      <c r="M15" s="316">
        <f>G15*L15</f>
        <v>1E-3</v>
      </c>
      <c r="N15" s="317" t="s">
        <v>4548</v>
      </c>
      <c r="O15" s="291"/>
      <c r="Z15" s="318">
        <f>IF(AQ15="5",BJ15,0)</f>
        <v>0</v>
      </c>
      <c r="AB15" s="318">
        <f>IF(AQ15="1",BH15,0)</f>
        <v>0</v>
      </c>
      <c r="AC15" s="318">
        <f>IF(AQ15="1",BI15,0)</f>
        <v>0</v>
      </c>
      <c r="AD15" s="318">
        <f>IF(AQ15="7",BH15,0)</f>
        <v>0</v>
      </c>
      <c r="AE15" s="318">
        <f>IF(AQ15="7",BI15,0)</f>
        <v>0</v>
      </c>
      <c r="AF15" s="318">
        <f>IF(AQ15="2",BH15,0)</f>
        <v>0</v>
      </c>
      <c r="AG15" s="318">
        <f>IF(AQ15="2",BI15,0)</f>
        <v>0</v>
      </c>
      <c r="AH15" s="318">
        <f>IF(AQ15="0",BJ15,0)</f>
        <v>0</v>
      </c>
      <c r="AI15" s="298"/>
      <c r="AJ15" s="316">
        <f>IF(AN15=0,K15,0)</f>
        <v>0</v>
      </c>
      <c r="AK15" s="316">
        <f>IF(AN15=15,K15,0)</f>
        <v>0</v>
      </c>
      <c r="AL15" s="316">
        <f>IF(AN15=21,K15,0)</f>
        <v>0</v>
      </c>
      <c r="AN15" s="318">
        <v>21</v>
      </c>
      <c r="AO15" s="318">
        <f>H15*0.614156626506024</f>
        <v>0</v>
      </c>
      <c r="AP15" s="318">
        <f>H15*(1-0.614156626506024)</f>
        <v>0</v>
      </c>
      <c r="AQ15" s="319" t="s">
        <v>241</v>
      </c>
      <c r="AV15" s="318">
        <f>AW15+AX15</f>
        <v>0</v>
      </c>
      <c r="AW15" s="318">
        <f>G15*AO15</f>
        <v>0</v>
      </c>
      <c r="AX15" s="318">
        <f>G15*AP15</f>
        <v>0</v>
      </c>
      <c r="AY15" s="320" t="s">
        <v>4549</v>
      </c>
      <c r="AZ15" s="320" t="s">
        <v>4550</v>
      </c>
      <c r="BA15" s="298" t="s">
        <v>4551</v>
      </c>
      <c r="BC15" s="318">
        <f>AW15+AX15</f>
        <v>0</v>
      </c>
      <c r="BD15" s="318">
        <f>H15/(100-BE15)*100</f>
        <v>0</v>
      </c>
      <c r="BE15" s="318">
        <v>0</v>
      </c>
      <c r="BF15" s="318">
        <f>M15</f>
        <v>1E-3</v>
      </c>
      <c r="BH15" s="316">
        <f>G15*AO15</f>
        <v>0</v>
      </c>
      <c r="BI15" s="316">
        <f>G15*AP15</f>
        <v>0</v>
      </c>
      <c r="BJ15" s="316">
        <f>G15*H15</f>
        <v>0</v>
      </c>
      <c r="BK15" s="316" t="s">
        <v>815</v>
      </c>
      <c r="BL15" s="318">
        <v>722</v>
      </c>
    </row>
    <row r="16" spans="1:64">
      <c r="A16" s="291"/>
      <c r="C16" s="321" t="s">
        <v>4552</v>
      </c>
      <c r="D16" s="445" t="s">
        <v>4556</v>
      </c>
      <c r="E16" s="446"/>
      <c r="F16" s="446"/>
      <c r="G16" s="446"/>
      <c r="H16" s="446"/>
      <c r="I16" s="446"/>
      <c r="J16" s="446"/>
      <c r="K16" s="446"/>
      <c r="L16" s="446"/>
      <c r="M16" s="446"/>
      <c r="N16" s="447"/>
      <c r="O16" s="291"/>
    </row>
    <row r="17" spans="1:64">
      <c r="A17" s="314" t="s">
        <v>198</v>
      </c>
      <c r="B17" s="315"/>
      <c r="C17" s="315" t="s">
        <v>4557</v>
      </c>
      <c r="D17" s="443" t="s">
        <v>4558</v>
      </c>
      <c r="E17" s="444"/>
      <c r="F17" s="315" t="s">
        <v>476</v>
      </c>
      <c r="G17" s="316">
        <v>10</v>
      </c>
      <c r="H17" s="316"/>
      <c r="I17" s="316">
        <f>G17*AO17</f>
        <v>0</v>
      </c>
      <c r="J17" s="316">
        <f>G17*AP17</f>
        <v>0</v>
      </c>
      <c r="K17" s="316">
        <f>G17*H17</f>
        <v>0</v>
      </c>
      <c r="L17" s="316">
        <v>3.0000000000000001E-5</v>
      </c>
      <c r="M17" s="316">
        <f>G17*L17</f>
        <v>3.0000000000000003E-4</v>
      </c>
      <c r="N17" s="317" t="s">
        <v>4548</v>
      </c>
      <c r="O17" s="291"/>
      <c r="Z17" s="318">
        <f>IF(AQ17="5",BJ17,0)</f>
        <v>0</v>
      </c>
      <c r="AB17" s="318">
        <f>IF(AQ17="1",BH17,0)</f>
        <v>0</v>
      </c>
      <c r="AC17" s="318">
        <f>IF(AQ17="1",BI17,0)</f>
        <v>0</v>
      </c>
      <c r="AD17" s="318">
        <f>IF(AQ17="7",BH17,0)</f>
        <v>0</v>
      </c>
      <c r="AE17" s="318">
        <f>IF(AQ17="7",BI17,0)</f>
        <v>0</v>
      </c>
      <c r="AF17" s="318">
        <f>IF(AQ17="2",BH17,0)</f>
        <v>0</v>
      </c>
      <c r="AG17" s="318">
        <f>IF(AQ17="2",BI17,0)</f>
        <v>0</v>
      </c>
      <c r="AH17" s="318">
        <f>IF(AQ17="0",BJ17,0)</f>
        <v>0</v>
      </c>
      <c r="AI17" s="298"/>
      <c r="AJ17" s="316">
        <f>IF(AN17=0,K17,0)</f>
        <v>0</v>
      </c>
      <c r="AK17" s="316">
        <f>IF(AN17=15,K17,0)</f>
        <v>0</v>
      </c>
      <c r="AL17" s="316">
        <f>IF(AN17=21,K17,0)</f>
        <v>0</v>
      </c>
      <c r="AN17" s="318">
        <v>21</v>
      </c>
      <c r="AO17" s="318">
        <f>H17*0.626768292682927</f>
        <v>0</v>
      </c>
      <c r="AP17" s="318">
        <f>H17*(1-0.626768292682927)</f>
        <v>0</v>
      </c>
      <c r="AQ17" s="319" t="s">
        <v>241</v>
      </c>
      <c r="AV17" s="318">
        <f>AW17+AX17</f>
        <v>0</v>
      </c>
      <c r="AW17" s="318">
        <f>G17*AO17</f>
        <v>0</v>
      </c>
      <c r="AX17" s="318">
        <f>G17*AP17</f>
        <v>0</v>
      </c>
      <c r="AY17" s="320" t="s">
        <v>4549</v>
      </c>
      <c r="AZ17" s="320" t="s">
        <v>4550</v>
      </c>
      <c r="BA17" s="298" t="s">
        <v>4551</v>
      </c>
      <c r="BC17" s="318">
        <f>AW17+AX17</f>
        <v>0</v>
      </c>
      <c r="BD17" s="318">
        <f>H17/(100-BE17)*100</f>
        <v>0</v>
      </c>
      <c r="BE17" s="318">
        <v>0</v>
      </c>
      <c r="BF17" s="318">
        <f>M17</f>
        <v>3.0000000000000003E-4</v>
      </c>
      <c r="BH17" s="316">
        <f>G17*AO17</f>
        <v>0</v>
      </c>
      <c r="BI17" s="316">
        <f>G17*AP17</f>
        <v>0</v>
      </c>
      <c r="BJ17" s="316">
        <f>G17*H17</f>
        <v>0</v>
      </c>
      <c r="BK17" s="316" t="s">
        <v>815</v>
      </c>
      <c r="BL17" s="318">
        <v>722</v>
      </c>
    </row>
    <row r="18" spans="1:64">
      <c r="A18" s="291"/>
      <c r="C18" s="321" t="s">
        <v>4552</v>
      </c>
      <c r="D18" s="445" t="s">
        <v>4559</v>
      </c>
      <c r="E18" s="446"/>
      <c r="F18" s="446"/>
      <c r="G18" s="446"/>
      <c r="H18" s="446"/>
      <c r="I18" s="446"/>
      <c r="J18" s="446"/>
      <c r="K18" s="446"/>
      <c r="L18" s="446"/>
      <c r="M18" s="446"/>
      <c r="N18" s="447"/>
      <c r="O18" s="291"/>
    </row>
    <row r="19" spans="1:64">
      <c r="A19" s="314" t="s">
        <v>185</v>
      </c>
      <c r="B19" s="315"/>
      <c r="C19" s="315" t="s">
        <v>4560</v>
      </c>
      <c r="D19" s="443" t="s">
        <v>4561</v>
      </c>
      <c r="E19" s="444"/>
      <c r="F19" s="315" t="s">
        <v>476</v>
      </c>
      <c r="G19" s="316">
        <v>45</v>
      </c>
      <c r="H19" s="316"/>
      <c r="I19" s="316">
        <f>G19*AO19</f>
        <v>0</v>
      </c>
      <c r="J19" s="316">
        <f>G19*AP19</f>
        <v>0</v>
      </c>
      <c r="K19" s="316">
        <f>G19*H19</f>
        <v>0</v>
      </c>
      <c r="L19" s="316">
        <v>4.0000000000000003E-5</v>
      </c>
      <c r="M19" s="316">
        <f>G19*L19</f>
        <v>1.8000000000000002E-3</v>
      </c>
      <c r="N19" s="317" t="s">
        <v>4548</v>
      </c>
      <c r="O19" s="291"/>
      <c r="Z19" s="318">
        <f>IF(AQ19="5",BJ19,0)</f>
        <v>0</v>
      </c>
      <c r="AB19" s="318">
        <f>IF(AQ19="1",BH19,0)</f>
        <v>0</v>
      </c>
      <c r="AC19" s="318">
        <f>IF(AQ19="1",BI19,0)</f>
        <v>0</v>
      </c>
      <c r="AD19" s="318">
        <f>IF(AQ19="7",BH19,0)</f>
        <v>0</v>
      </c>
      <c r="AE19" s="318">
        <f>IF(AQ19="7",BI19,0)</f>
        <v>0</v>
      </c>
      <c r="AF19" s="318">
        <f>IF(AQ19="2",BH19,0)</f>
        <v>0</v>
      </c>
      <c r="AG19" s="318">
        <f>IF(AQ19="2",BI19,0)</f>
        <v>0</v>
      </c>
      <c r="AH19" s="318">
        <f>IF(AQ19="0",BJ19,0)</f>
        <v>0</v>
      </c>
      <c r="AI19" s="298"/>
      <c r="AJ19" s="316">
        <f>IF(AN19=0,K19,0)</f>
        <v>0</v>
      </c>
      <c r="AK19" s="316">
        <f>IF(AN19=15,K19,0)</f>
        <v>0</v>
      </c>
      <c r="AL19" s="316">
        <f>IF(AN19=21,K19,0)</f>
        <v>0</v>
      </c>
      <c r="AN19" s="318">
        <v>21</v>
      </c>
      <c r="AO19" s="318">
        <f>H19*0.667336956521739</f>
        <v>0</v>
      </c>
      <c r="AP19" s="318">
        <f>H19*(1-0.667336956521739)</f>
        <v>0</v>
      </c>
      <c r="AQ19" s="319" t="s">
        <v>241</v>
      </c>
      <c r="AV19" s="318">
        <f>AW19+AX19</f>
        <v>0</v>
      </c>
      <c r="AW19" s="318">
        <f>G19*AO19</f>
        <v>0</v>
      </c>
      <c r="AX19" s="318">
        <f>G19*AP19</f>
        <v>0</v>
      </c>
      <c r="AY19" s="320" t="s">
        <v>4549</v>
      </c>
      <c r="AZ19" s="320" t="s">
        <v>4550</v>
      </c>
      <c r="BA19" s="298" t="s">
        <v>4551</v>
      </c>
      <c r="BC19" s="318">
        <f>AW19+AX19</f>
        <v>0</v>
      </c>
      <c r="BD19" s="318">
        <f>H19/(100-BE19)*100</f>
        <v>0</v>
      </c>
      <c r="BE19" s="318">
        <v>0</v>
      </c>
      <c r="BF19" s="318">
        <f>M19</f>
        <v>1.8000000000000002E-3</v>
      </c>
      <c r="BH19" s="316">
        <f>G19*AO19</f>
        <v>0</v>
      </c>
      <c r="BI19" s="316">
        <f>G19*AP19</f>
        <v>0</v>
      </c>
      <c r="BJ19" s="316">
        <f>G19*H19</f>
        <v>0</v>
      </c>
      <c r="BK19" s="316" t="s">
        <v>815</v>
      </c>
      <c r="BL19" s="318">
        <v>722</v>
      </c>
    </row>
    <row r="20" spans="1:64">
      <c r="A20" s="291"/>
      <c r="C20" s="321" t="s">
        <v>4552</v>
      </c>
      <c r="D20" s="445" t="s">
        <v>4562</v>
      </c>
      <c r="E20" s="446"/>
      <c r="F20" s="446"/>
      <c r="G20" s="446"/>
      <c r="H20" s="446"/>
      <c r="I20" s="446"/>
      <c r="J20" s="446"/>
      <c r="K20" s="446"/>
      <c r="L20" s="446"/>
      <c r="M20" s="446"/>
      <c r="N20" s="447"/>
      <c r="O20" s="291"/>
    </row>
    <row r="21" spans="1:64">
      <c r="A21" s="314" t="s">
        <v>200</v>
      </c>
      <c r="B21" s="315"/>
      <c r="C21" s="315" t="s">
        <v>4563</v>
      </c>
      <c r="D21" s="443" t="s">
        <v>4564</v>
      </c>
      <c r="E21" s="444"/>
      <c r="F21" s="315" t="s">
        <v>476</v>
      </c>
      <c r="G21" s="316">
        <v>50</v>
      </c>
      <c r="H21" s="316"/>
      <c r="I21" s="316">
        <f>G21*AO21</f>
        <v>0</v>
      </c>
      <c r="J21" s="316">
        <f>G21*AP21</f>
        <v>0</v>
      </c>
      <c r="K21" s="316">
        <f>G21*H21</f>
        <v>0</v>
      </c>
      <c r="L21" s="316">
        <v>5.0000000000000002E-5</v>
      </c>
      <c r="M21" s="316">
        <f>G21*L21</f>
        <v>2.5000000000000001E-3</v>
      </c>
      <c r="N21" s="317" t="s">
        <v>4548</v>
      </c>
      <c r="O21" s="291"/>
      <c r="Z21" s="318">
        <f>IF(AQ21="5",BJ21,0)</f>
        <v>0</v>
      </c>
      <c r="AB21" s="318">
        <f>IF(AQ21="1",BH21,0)</f>
        <v>0</v>
      </c>
      <c r="AC21" s="318">
        <f>IF(AQ21="1",BI21,0)</f>
        <v>0</v>
      </c>
      <c r="AD21" s="318">
        <f>IF(AQ21="7",BH21,0)</f>
        <v>0</v>
      </c>
      <c r="AE21" s="318">
        <f>IF(AQ21="7",BI21,0)</f>
        <v>0</v>
      </c>
      <c r="AF21" s="318">
        <f>IF(AQ21="2",BH21,0)</f>
        <v>0</v>
      </c>
      <c r="AG21" s="318">
        <f>IF(AQ21="2",BI21,0)</f>
        <v>0</v>
      </c>
      <c r="AH21" s="318">
        <f>IF(AQ21="0",BJ21,0)</f>
        <v>0</v>
      </c>
      <c r="AI21" s="298"/>
      <c r="AJ21" s="316">
        <f>IF(AN21=0,K21,0)</f>
        <v>0</v>
      </c>
      <c r="AK21" s="316">
        <f>IF(AN21=15,K21,0)</f>
        <v>0</v>
      </c>
      <c r="AL21" s="316">
        <f>IF(AN21=21,K21,0)</f>
        <v>0</v>
      </c>
      <c r="AN21" s="318">
        <v>21</v>
      </c>
      <c r="AO21" s="318">
        <f>H21*0.705764192139738</f>
        <v>0</v>
      </c>
      <c r="AP21" s="318">
        <f>H21*(1-0.705764192139738)</f>
        <v>0</v>
      </c>
      <c r="AQ21" s="319" t="s">
        <v>241</v>
      </c>
      <c r="AV21" s="318">
        <f>AW21+AX21</f>
        <v>0</v>
      </c>
      <c r="AW21" s="318">
        <f>G21*AO21</f>
        <v>0</v>
      </c>
      <c r="AX21" s="318">
        <f>G21*AP21</f>
        <v>0</v>
      </c>
      <c r="AY21" s="320" t="s">
        <v>4549</v>
      </c>
      <c r="AZ21" s="320" t="s">
        <v>4550</v>
      </c>
      <c r="BA21" s="298" t="s">
        <v>4551</v>
      </c>
      <c r="BC21" s="318">
        <f>AW21+AX21</f>
        <v>0</v>
      </c>
      <c r="BD21" s="318">
        <f>H21/(100-BE21)*100</f>
        <v>0</v>
      </c>
      <c r="BE21" s="318">
        <v>0</v>
      </c>
      <c r="BF21" s="318">
        <f>M21</f>
        <v>2.5000000000000001E-3</v>
      </c>
      <c r="BH21" s="316">
        <f>G21*AO21</f>
        <v>0</v>
      </c>
      <c r="BI21" s="316">
        <f>G21*AP21</f>
        <v>0</v>
      </c>
      <c r="BJ21" s="316">
        <f>G21*H21</f>
        <v>0</v>
      </c>
      <c r="BK21" s="316" t="s">
        <v>815</v>
      </c>
      <c r="BL21" s="318">
        <v>722</v>
      </c>
    </row>
    <row r="22" spans="1:64">
      <c r="A22" s="291"/>
      <c r="C22" s="321" t="s">
        <v>4552</v>
      </c>
      <c r="D22" s="445" t="s">
        <v>4565</v>
      </c>
      <c r="E22" s="446"/>
      <c r="F22" s="446"/>
      <c r="G22" s="446"/>
      <c r="H22" s="446"/>
      <c r="I22" s="446"/>
      <c r="J22" s="446"/>
      <c r="K22" s="446"/>
      <c r="L22" s="446"/>
      <c r="M22" s="446"/>
      <c r="N22" s="447"/>
      <c r="O22" s="291"/>
    </row>
    <row r="23" spans="1:64">
      <c r="A23" s="314" t="s">
        <v>233</v>
      </c>
      <c r="B23" s="315"/>
      <c r="C23" s="315" t="s">
        <v>4566</v>
      </c>
      <c r="D23" s="443" t="s">
        <v>4567</v>
      </c>
      <c r="E23" s="444"/>
      <c r="F23" s="315" t="s">
        <v>476</v>
      </c>
      <c r="G23" s="316">
        <v>56</v>
      </c>
      <c r="H23" s="316"/>
      <c r="I23" s="316">
        <f>G23*AO23</f>
        <v>0</v>
      </c>
      <c r="J23" s="316">
        <f>G23*AP23</f>
        <v>0</v>
      </c>
      <c r="K23" s="316">
        <f>G23*H23</f>
        <v>0</v>
      </c>
      <c r="L23" s="316">
        <v>1.2999999999999999E-4</v>
      </c>
      <c r="M23" s="316">
        <f>G23*L23</f>
        <v>7.2799999999999991E-3</v>
      </c>
      <c r="N23" s="317" t="s">
        <v>4548</v>
      </c>
      <c r="O23" s="291"/>
      <c r="Z23" s="318">
        <f>IF(AQ23="5",BJ23,0)</f>
        <v>0</v>
      </c>
      <c r="AB23" s="318">
        <f>IF(AQ23="1",BH23,0)</f>
        <v>0</v>
      </c>
      <c r="AC23" s="318">
        <f>IF(AQ23="1",BI23,0)</f>
        <v>0</v>
      </c>
      <c r="AD23" s="318">
        <f>IF(AQ23="7",BH23,0)</f>
        <v>0</v>
      </c>
      <c r="AE23" s="318">
        <f>IF(AQ23="7",BI23,0)</f>
        <v>0</v>
      </c>
      <c r="AF23" s="318">
        <f>IF(AQ23="2",BH23,0)</f>
        <v>0</v>
      </c>
      <c r="AG23" s="318">
        <f>IF(AQ23="2",BI23,0)</f>
        <v>0</v>
      </c>
      <c r="AH23" s="318">
        <f>IF(AQ23="0",BJ23,0)</f>
        <v>0</v>
      </c>
      <c r="AI23" s="298"/>
      <c r="AJ23" s="316">
        <f>IF(AN23=0,K23,0)</f>
        <v>0</v>
      </c>
      <c r="AK23" s="316">
        <f>IF(AN23=15,K23,0)</f>
        <v>0</v>
      </c>
      <c r="AL23" s="316">
        <f>IF(AN23=21,K23,0)</f>
        <v>0</v>
      </c>
      <c r="AN23" s="318">
        <v>21</v>
      </c>
      <c r="AO23" s="318">
        <f>H23*0.70777926736476</f>
        <v>0</v>
      </c>
      <c r="AP23" s="318">
        <f>H23*(1-0.70777926736476)</f>
        <v>0</v>
      </c>
      <c r="AQ23" s="319" t="s">
        <v>241</v>
      </c>
      <c r="AV23" s="318">
        <f>AW23+AX23</f>
        <v>0</v>
      </c>
      <c r="AW23" s="318">
        <f>G23*AO23</f>
        <v>0</v>
      </c>
      <c r="AX23" s="318">
        <f>G23*AP23</f>
        <v>0</v>
      </c>
      <c r="AY23" s="320" t="s">
        <v>4549</v>
      </c>
      <c r="AZ23" s="320" t="s">
        <v>4550</v>
      </c>
      <c r="BA23" s="298" t="s">
        <v>4551</v>
      </c>
      <c r="BC23" s="318">
        <f>AW23+AX23</f>
        <v>0</v>
      </c>
      <c r="BD23" s="318">
        <f>H23/(100-BE23)*100</f>
        <v>0</v>
      </c>
      <c r="BE23" s="318">
        <v>0</v>
      </c>
      <c r="BF23" s="318">
        <f>M23</f>
        <v>7.2799999999999991E-3</v>
      </c>
      <c r="BH23" s="316">
        <f>G23*AO23</f>
        <v>0</v>
      </c>
      <c r="BI23" s="316">
        <f>G23*AP23</f>
        <v>0</v>
      </c>
      <c r="BJ23" s="316">
        <f>G23*H23</f>
        <v>0</v>
      </c>
      <c r="BK23" s="316" t="s">
        <v>815</v>
      </c>
      <c r="BL23" s="318">
        <v>722</v>
      </c>
    </row>
    <row r="24" spans="1:64">
      <c r="A24" s="291"/>
      <c r="C24" s="321" t="s">
        <v>4552</v>
      </c>
      <c r="D24" s="445" t="s">
        <v>4568</v>
      </c>
      <c r="E24" s="446"/>
      <c r="F24" s="446"/>
      <c r="G24" s="446"/>
      <c r="H24" s="446"/>
      <c r="I24" s="446"/>
      <c r="J24" s="446"/>
      <c r="K24" s="446"/>
      <c r="L24" s="446"/>
      <c r="M24" s="446"/>
      <c r="N24" s="447"/>
      <c r="O24" s="291"/>
    </row>
    <row r="25" spans="1:64">
      <c r="A25" s="314" t="s">
        <v>241</v>
      </c>
      <c r="B25" s="315"/>
      <c r="C25" s="315" t="s">
        <v>4569</v>
      </c>
      <c r="D25" s="443" t="s">
        <v>4570</v>
      </c>
      <c r="E25" s="444"/>
      <c r="F25" s="315" t="s">
        <v>476</v>
      </c>
      <c r="G25" s="316">
        <v>10</v>
      </c>
      <c r="H25" s="316"/>
      <c r="I25" s="316">
        <f>G25*AO25</f>
        <v>0</v>
      </c>
      <c r="J25" s="316">
        <f>G25*AP25</f>
        <v>0</v>
      </c>
      <c r="K25" s="316">
        <f>G25*H25</f>
        <v>0</v>
      </c>
      <c r="L25" s="316">
        <v>1.3999999999999999E-4</v>
      </c>
      <c r="M25" s="316">
        <f>G25*L25</f>
        <v>1.3999999999999998E-3</v>
      </c>
      <c r="N25" s="317" t="s">
        <v>4548</v>
      </c>
      <c r="O25" s="291"/>
      <c r="Z25" s="318">
        <f>IF(AQ25="5",BJ25,0)</f>
        <v>0</v>
      </c>
      <c r="AB25" s="318">
        <f>IF(AQ25="1",BH25,0)</f>
        <v>0</v>
      </c>
      <c r="AC25" s="318">
        <f>IF(AQ25="1",BI25,0)</f>
        <v>0</v>
      </c>
      <c r="AD25" s="318">
        <f>IF(AQ25="7",BH25,0)</f>
        <v>0</v>
      </c>
      <c r="AE25" s="318">
        <f>IF(AQ25="7",BI25,0)</f>
        <v>0</v>
      </c>
      <c r="AF25" s="318">
        <f>IF(AQ25="2",BH25,0)</f>
        <v>0</v>
      </c>
      <c r="AG25" s="318">
        <f>IF(AQ25="2",BI25,0)</f>
        <v>0</v>
      </c>
      <c r="AH25" s="318">
        <f>IF(AQ25="0",BJ25,0)</f>
        <v>0</v>
      </c>
      <c r="AI25" s="298"/>
      <c r="AJ25" s="316">
        <f>IF(AN25=0,K25,0)</f>
        <v>0</v>
      </c>
      <c r="AK25" s="316">
        <f>IF(AN25=15,K25,0)</f>
        <v>0</v>
      </c>
      <c r="AL25" s="316">
        <f>IF(AN25=21,K25,0)</f>
        <v>0</v>
      </c>
      <c r="AN25" s="318">
        <v>21</v>
      </c>
      <c r="AO25" s="318">
        <f>H25*0.751338488994646</f>
        <v>0</v>
      </c>
      <c r="AP25" s="318">
        <f>H25*(1-0.751338488994646)</f>
        <v>0</v>
      </c>
      <c r="AQ25" s="319" t="s">
        <v>241</v>
      </c>
      <c r="AV25" s="318">
        <f>AW25+AX25</f>
        <v>0</v>
      </c>
      <c r="AW25" s="318">
        <f>G25*AO25</f>
        <v>0</v>
      </c>
      <c r="AX25" s="318">
        <f>G25*AP25</f>
        <v>0</v>
      </c>
      <c r="AY25" s="320" t="s">
        <v>4549</v>
      </c>
      <c r="AZ25" s="320" t="s">
        <v>4550</v>
      </c>
      <c r="BA25" s="298" t="s">
        <v>4551</v>
      </c>
      <c r="BC25" s="318">
        <f>AW25+AX25</f>
        <v>0</v>
      </c>
      <c r="BD25" s="318">
        <f>H25/(100-BE25)*100</f>
        <v>0</v>
      </c>
      <c r="BE25" s="318">
        <v>0</v>
      </c>
      <c r="BF25" s="318">
        <f>M25</f>
        <v>1.3999999999999998E-3</v>
      </c>
      <c r="BH25" s="316">
        <f>G25*AO25</f>
        <v>0</v>
      </c>
      <c r="BI25" s="316">
        <f>G25*AP25</f>
        <v>0</v>
      </c>
      <c r="BJ25" s="316">
        <f>G25*H25</f>
        <v>0</v>
      </c>
      <c r="BK25" s="316" t="s">
        <v>815</v>
      </c>
      <c r="BL25" s="318">
        <v>722</v>
      </c>
    </row>
    <row r="26" spans="1:64">
      <c r="A26" s="291"/>
      <c r="C26" s="321" t="s">
        <v>4552</v>
      </c>
      <c r="D26" s="445" t="s">
        <v>4571</v>
      </c>
      <c r="E26" s="446"/>
      <c r="F26" s="446"/>
      <c r="G26" s="446"/>
      <c r="H26" s="446"/>
      <c r="I26" s="446"/>
      <c r="J26" s="446"/>
      <c r="K26" s="446"/>
      <c r="L26" s="446"/>
      <c r="M26" s="446"/>
      <c r="N26" s="447"/>
      <c r="O26" s="291"/>
    </row>
    <row r="27" spans="1:64">
      <c r="A27" s="314" t="s">
        <v>248</v>
      </c>
      <c r="B27" s="315"/>
      <c r="C27" s="315" t="s">
        <v>4572</v>
      </c>
      <c r="D27" s="443" t="s">
        <v>4573</v>
      </c>
      <c r="E27" s="444"/>
      <c r="F27" s="315" t="s">
        <v>183</v>
      </c>
      <c r="G27" s="316">
        <v>1.4579999999999999E-2</v>
      </c>
      <c r="H27" s="316"/>
      <c r="I27" s="316">
        <f>G27*AO27</f>
        <v>0</v>
      </c>
      <c r="J27" s="316">
        <f>G27*AP27</f>
        <v>0</v>
      </c>
      <c r="K27" s="316">
        <f>G27*H27</f>
        <v>0</v>
      </c>
      <c r="L27" s="316">
        <v>0</v>
      </c>
      <c r="M27" s="316">
        <f>G27*L27</f>
        <v>0</v>
      </c>
      <c r="N27" s="317" t="s">
        <v>4548</v>
      </c>
      <c r="O27" s="291"/>
      <c r="Z27" s="318">
        <f>IF(AQ27="5",BJ27,0)</f>
        <v>0</v>
      </c>
      <c r="AB27" s="318">
        <f>IF(AQ27="1",BH27,0)</f>
        <v>0</v>
      </c>
      <c r="AC27" s="318">
        <f>IF(AQ27="1",BI27,0)</f>
        <v>0</v>
      </c>
      <c r="AD27" s="318">
        <f>IF(AQ27="7",BH27,0)</f>
        <v>0</v>
      </c>
      <c r="AE27" s="318">
        <f>IF(AQ27="7",BI27,0)</f>
        <v>0</v>
      </c>
      <c r="AF27" s="318">
        <f>IF(AQ27="2",BH27,0)</f>
        <v>0</v>
      </c>
      <c r="AG27" s="318">
        <f>IF(AQ27="2",BI27,0)</f>
        <v>0</v>
      </c>
      <c r="AH27" s="318">
        <f>IF(AQ27="0",BJ27,0)</f>
        <v>0</v>
      </c>
      <c r="AI27" s="298"/>
      <c r="AJ27" s="316">
        <f>IF(AN27=0,K27,0)</f>
        <v>0</v>
      </c>
      <c r="AK27" s="316">
        <f>IF(AN27=15,K27,0)</f>
        <v>0</v>
      </c>
      <c r="AL27" s="316">
        <f>IF(AN27=21,K27,0)</f>
        <v>0</v>
      </c>
      <c r="AN27" s="318">
        <v>21</v>
      </c>
      <c r="AO27" s="318">
        <f>H27*0</f>
        <v>0</v>
      </c>
      <c r="AP27" s="318">
        <f>H27*(1-0)</f>
        <v>0</v>
      </c>
      <c r="AQ27" s="319" t="s">
        <v>200</v>
      </c>
      <c r="AV27" s="318">
        <f>AW27+AX27</f>
        <v>0</v>
      </c>
      <c r="AW27" s="318">
        <f>G27*AO27</f>
        <v>0</v>
      </c>
      <c r="AX27" s="318">
        <f>G27*AP27</f>
        <v>0</v>
      </c>
      <c r="AY27" s="320" t="s">
        <v>4549</v>
      </c>
      <c r="AZ27" s="320" t="s">
        <v>4550</v>
      </c>
      <c r="BA27" s="298" t="s">
        <v>4551</v>
      </c>
      <c r="BC27" s="318">
        <f>AW27+AX27</f>
        <v>0</v>
      </c>
      <c r="BD27" s="318">
        <f>H27/(100-BE27)*100</f>
        <v>0</v>
      </c>
      <c r="BE27" s="318">
        <v>0</v>
      </c>
      <c r="BF27" s="318">
        <f>M27</f>
        <v>0</v>
      </c>
      <c r="BH27" s="316">
        <f>G27*AO27</f>
        <v>0</v>
      </c>
      <c r="BI27" s="316">
        <f>G27*AP27</f>
        <v>0</v>
      </c>
      <c r="BJ27" s="316">
        <f>G27*H27</f>
        <v>0</v>
      </c>
      <c r="BK27" s="316" t="s">
        <v>815</v>
      </c>
      <c r="BL27" s="318">
        <v>722</v>
      </c>
    </row>
    <row r="28" spans="1:64">
      <c r="A28" s="322"/>
      <c r="B28" s="323"/>
      <c r="C28" s="323" t="s">
        <v>4574</v>
      </c>
      <c r="D28" s="441" t="s">
        <v>4575</v>
      </c>
      <c r="E28" s="442"/>
      <c r="F28" s="324" t="s">
        <v>4502</v>
      </c>
      <c r="G28" s="324" t="s">
        <v>4502</v>
      </c>
      <c r="H28" s="324" t="s">
        <v>4502</v>
      </c>
      <c r="I28" s="313">
        <f>SUM(I29:I41)</f>
        <v>0</v>
      </c>
      <c r="J28" s="313">
        <f>SUM(J29:J41)</f>
        <v>0</v>
      </c>
      <c r="K28" s="313">
        <f>SUM(K29:K41)</f>
        <v>0</v>
      </c>
      <c r="L28" s="298"/>
      <c r="M28" s="313">
        <f>SUM(M29:M41)</f>
        <v>3.4871500000000006</v>
      </c>
      <c r="N28" s="325"/>
      <c r="O28" s="291"/>
      <c r="AI28" s="298"/>
      <c r="AS28" s="313">
        <f>SUM(AJ29:AJ41)</f>
        <v>0</v>
      </c>
      <c r="AT28" s="313">
        <f>SUM(AK29:AK41)</f>
        <v>0</v>
      </c>
      <c r="AU28" s="313">
        <f>SUM(AL29:AL41)</f>
        <v>0</v>
      </c>
    </row>
    <row r="29" spans="1:64">
      <c r="A29" s="314" t="s">
        <v>252</v>
      </c>
      <c r="B29" s="315"/>
      <c r="C29" s="315" t="s">
        <v>4576</v>
      </c>
      <c r="D29" s="443" t="s">
        <v>4577</v>
      </c>
      <c r="E29" s="444"/>
      <c r="F29" s="315" t="s">
        <v>332</v>
      </c>
      <c r="G29" s="316">
        <v>80</v>
      </c>
      <c r="H29" s="316"/>
      <c r="I29" s="316">
        <f t="shared" ref="I29:I41" si="0">G29*AO29</f>
        <v>0</v>
      </c>
      <c r="J29" s="316">
        <f t="shared" ref="J29:J41" si="1">G29*AP29</f>
        <v>0</v>
      </c>
      <c r="K29" s="316">
        <f t="shared" ref="K29:K41" si="2">G29*H29</f>
        <v>0</v>
      </c>
      <c r="L29" s="316">
        <v>2.0999999999999999E-3</v>
      </c>
      <c r="M29" s="316">
        <f t="shared" ref="M29:M41" si="3">G29*L29</f>
        <v>0.16799999999999998</v>
      </c>
      <c r="N29" s="317" t="s">
        <v>4548</v>
      </c>
      <c r="O29" s="291"/>
      <c r="Z29" s="318">
        <f t="shared" ref="Z29:Z41" si="4">IF(AQ29="5",BJ29,0)</f>
        <v>0</v>
      </c>
      <c r="AB29" s="318">
        <f t="shared" ref="AB29:AB41" si="5">IF(AQ29="1",BH29,0)</f>
        <v>0</v>
      </c>
      <c r="AC29" s="318">
        <f t="shared" ref="AC29:AC41" si="6">IF(AQ29="1",BI29,0)</f>
        <v>0</v>
      </c>
      <c r="AD29" s="318">
        <f t="shared" ref="AD29:AD41" si="7">IF(AQ29="7",BH29,0)</f>
        <v>0</v>
      </c>
      <c r="AE29" s="318">
        <f t="shared" ref="AE29:AE41" si="8">IF(AQ29="7",BI29,0)</f>
        <v>0</v>
      </c>
      <c r="AF29" s="318">
        <f t="shared" ref="AF29:AF41" si="9">IF(AQ29="2",BH29,0)</f>
        <v>0</v>
      </c>
      <c r="AG29" s="318">
        <f t="shared" ref="AG29:AG41" si="10">IF(AQ29="2",BI29,0)</f>
        <v>0</v>
      </c>
      <c r="AH29" s="318">
        <f t="shared" ref="AH29:AH41" si="11">IF(AQ29="0",BJ29,0)</f>
        <v>0</v>
      </c>
      <c r="AI29" s="298"/>
      <c r="AJ29" s="316">
        <f t="shared" ref="AJ29:AJ41" si="12">IF(AN29=0,K29,0)</f>
        <v>0</v>
      </c>
      <c r="AK29" s="316">
        <f t="shared" ref="AK29:AK41" si="13">IF(AN29=15,K29,0)</f>
        <v>0</v>
      </c>
      <c r="AL29" s="316">
        <f t="shared" ref="AL29:AL41" si="14">IF(AN29=21,K29,0)</f>
        <v>0</v>
      </c>
      <c r="AN29" s="318">
        <v>21</v>
      </c>
      <c r="AO29" s="318">
        <f>H29*0</f>
        <v>0</v>
      </c>
      <c r="AP29" s="318">
        <f>H29*(1-0)</f>
        <v>0</v>
      </c>
      <c r="AQ29" s="319" t="s">
        <v>241</v>
      </c>
      <c r="AV29" s="318">
        <f t="shared" ref="AV29:AV41" si="15">AW29+AX29</f>
        <v>0</v>
      </c>
      <c r="AW29" s="318">
        <f t="shared" ref="AW29:AW41" si="16">G29*AO29</f>
        <v>0</v>
      </c>
      <c r="AX29" s="318">
        <f t="shared" ref="AX29:AX41" si="17">G29*AP29</f>
        <v>0</v>
      </c>
      <c r="AY29" s="320" t="s">
        <v>4578</v>
      </c>
      <c r="AZ29" s="320" t="s">
        <v>4579</v>
      </c>
      <c r="BA29" s="298" t="s">
        <v>4551</v>
      </c>
      <c r="BC29" s="318">
        <f t="shared" ref="BC29:BC41" si="18">AW29+AX29</f>
        <v>0</v>
      </c>
      <c r="BD29" s="318">
        <f t="shared" ref="BD29:BD41" si="19">H29/(100-BE29)*100</f>
        <v>0</v>
      </c>
      <c r="BE29" s="318">
        <v>0</v>
      </c>
      <c r="BF29" s="318">
        <f t="shared" ref="BF29:BF41" si="20">M29</f>
        <v>0.16799999999999998</v>
      </c>
      <c r="BH29" s="316">
        <f t="shared" ref="BH29:BH41" si="21">G29*AO29</f>
        <v>0</v>
      </c>
      <c r="BI29" s="316">
        <f t="shared" ref="BI29:BI41" si="22">G29*AP29</f>
        <v>0</v>
      </c>
      <c r="BJ29" s="316">
        <f t="shared" ref="BJ29:BJ41" si="23">G29*H29</f>
        <v>0</v>
      </c>
      <c r="BK29" s="316" t="s">
        <v>815</v>
      </c>
      <c r="BL29" s="318">
        <v>730</v>
      </c>
    </row>
    <row r="30" spans="1:64">
      <c r="A30" s="314" t="s">
        <v>258</v>
      </c>
      <c r="B30" s="315"/>
      <c r="C30" s="315" t="s">
        <v>4580</v>
      </c>
      <c r="D30" s="443" t="s">
        <v>4581</v>
      </c>
      <c r="E30" s="444"/>
      <c r="F30" s="315" t="s">
        <v>476</v>
      </c>
      <c r="G30" s="316">
        <v>300</v>
      </c>
      <c r="H30" s="316"/>
      <c r="I30" s="316">
        <f t="shared" si="0"/>
        <v>0</v>
      </c>
      <c r="J30" s="316">
        <f t="shared" si="1"/>
        <v>0</v>
      </c>
      <c r="K30" s="316">
        <f t="shared" si="2"/>
        <v>0</v>
      </c>
      <c r="L30" s="316">
        <v>3.2200000000000002E-3</v>
      </c>
      <c r="M30" s="316">
        <f t="shared" si="3"/>
        <v>0.96600000000000008</v>
      </c>
      <c r="N30" s="317" t="s">
        <v>4548</v>
      </c>
      <c r="O30" s="291"/>
      <c r="Z30" s="318">
        <f t="shared" si="4"/>
        <v>0</v>
      </c>
      <c r="AB30" s="318">
        <f t="shared" si="5"/>
        <v>0</v>
      </c>
      <c r="AC30" s="318">
        <f t="shared" si="6"/>
        <v>0</v>
      </c>
      <c r="AD30" s="318">
        <f t="shared" si="7"/>
        <v>0</v>
      </c>
      <c r="AE30" s="318">
        <f t="shared" si="8"/>
        <v>0</v>
      </c>
      <c r="AF30" s="318">
        <f t="shared" si="9"/>
        <v>0</v>
      </c>
      <c r="AG30" s="318">
        <f t="shared" si="10"/>
        <v>0</v>
      </c>
      <c r="AH30" s="318">
        <f t="shared" si="11"/>
        <v>0</v>
      </c>
      <c r="AI30" s="298"/>
      <c r="AJ30" s="316">
        <f t="shared" si="12"/>
        <v>0</v>
      </c>
      <c r="AK30" s="316">
        <f t="shared" si="13"/>
        <v>0</v>
      </c>
      <c r="AL30" s="316">
        <f t="shared" si="14"/>
        <v>0</v>
      </c>
      <c r="AN30" s="318">
        <v>21</v>
      </c>
      <c r="AO30" s="318">
        <f>H30*0.156040268456376</f>
        <v>0</v>
      </c>
      <c r="AP30" s="318">
        <f>H30*(1-0.156040268456376)</f>
        <v>0</v>
      </c>
      <c r="AQ30" s="319" t="s">
        <v>241</v>
      </c>
      <c r="AV30" s="318">
        <f t="shared" si="15"/>
        <v>0</v>
      </c>
      <c r="AW30" s="318">
        <f t="shared" si="16"/>
        <v>0</v>
      </c>
      <c r="AX30" s="318">
        <f t="shared" si="17"/>
        <v>0</v>
      </c>
      <c r="AY30" s="320" t="s">
        <v>4578</v>
      </c>
      <c r="AZ30" s="320" t="s">
        <v>4579</v>
      </c>
      <c r="BA30" s="298" t="s">
        <v>4551</v>
      </c>
      <c r="BC30" s="318">
        <f t="shared" si="18"/>
        <v>0</v>
      </c>
      <c r="BD30" s="318">
        <f t="shared" si="19"/>
        <v>0</v>
      </c>
      <c r="BE30" s="318">
        <v>0</v>
      </c>
      <c r="BF30" s="318">
        <f t="shared" si="20"/>
        <v>0.96600000000000008</v>
      </c>
      <c r="BH30" s="316">
        <f t="shared" si="21"/>
        <v>0</v>
      </c>
      <c r="BI30" s="316">
        <f t="shared" si="22"/>
        <v>0</v>
      </c>
      <c r="BJ30" s="316">
        <f t="shared" si="23"/>
        <v>0</v>
      </c>
      <c r="BK30" s="316" t="s">
        <v>815</v>
      </c>
      <c r="BL30" s="318">
        <v>730</v>
      </c>
    </row>
    <row r="31" spans="1:64">
      <c r="A31" s="314" t="s">
        <v>265</v>
      </c>
      <c r="B31" s="315"/>
      <c r="C31" s="315" t="s">
        <v>4582</v>
      </c>
      <c r="D31" s="443" t="s">
        <v>4583</v>
      </c>
      <c r="E31" s="444"/>
      <c r="F31" s="315" t="s">
        <v>476</v>
      </c>
      <c r="G31" s="316">
        <v>150</v>
      </c>
      <c r="H31" s="316"/>
      <c r="I31" s="316">
        <f t="shared" si="0"/>
        <v>0</v>
      </c>
      <c r="J31" s="316">
        <f t="shared" si="1"/>
        <v>0</v>
      </c>
      <c r="K31" s="316">
        <f t="shared" si="2"/>
        <v>0</v>
      </c>
      <c r="L31" s="316">
        <v>5.3699999999999998E-3</v>
      </c>
      <c r="M31" s="316">
        <f t="shared" si="3"/>
        <v>0.80549999999999999</v>
      </c>
      <c r="N31" s="317" t="s">
        <v>4548</v>
      </c>
      <c r="O31" s="291"/>
      <c r="Z31" s="318">
        <f t="shared" si="4"/>
        <v>0</v>
      </c>
      <c r="AB31" s="318">
        <f t="shared" si="5"/>
        <v>0</v>
      </c>
      <c r="AC31" s="318">
        <f t="shared" si="6"/>
        <v>0</v>
      </c>
      <c r="AD31" s="318">
        <f t="shared" si="7"/>
        <v>0</v>
      </c>
      <c r="AE31" s="318">
        <f t="shared" si="8"/>
        <v>0</v>
      </c>
      <c r="AF31" s="318">
        <f t="shared" si="9"/>
        <v>0</v>
      </c>
      <c r="AG31" s="318">
        <f t="shared" si="10"/>
        <v>0</v>
      </c>
      <c r="AH31" s="318">
        <f t="shared" si="11"/>
        <v>0</v>
      </c>
      <c r="AI31" s="298"/>
      <c r="AJ31" s="316">
        <f t="shared" si="12"/>
        <v>0</v>
      </c>
      <c r="AK31" s="316">
        <f t="shared" si="13"/>
        <v>0</v>
      </c>
      <c r="AL31" s="316">
        <f t="shared" si="14"/>
        <v>0</v>
      </c>
      <c r="AN31" s="318">
        <v>21</v>
      </c>
      <c r="AO31" s="318">
        <f>H31*0.20520325203252</f>
        <v>0</v>
      </c>
      <c r="AP31" s="318">
        <f>H31*(1-0.20520325203252)</f>
        <v>0</v>
      </c>
      <c r="AQ31" s="319" t="s">
        <v>241</v>
      </c>
      <c r="AV31" s="318">
        <f t="shared" si="15"/>
        <v>0</v>
      </c>
      <c r="AW31" s="318">
        <f t="shared" si="16"/>
        <v>0</v>
      </c>
      <c r="AX31" s="318">
        <f t="shared" si="17"/>
        <v>0</v>
      </c>
      <c r="AY31" s="320" t="s">
        <v>4578</v>
      </c>
      <c r="AZ31" s="320" t="s">
        <v>4579</v>
      </c>
      <c r="BA31" s="298" t="s">
        <v>4551</v>
      </c>
      <c r="BC31" s="318">
        <f t="shared" si="18"/>
        <v>0</v>
      </c>
      <c r="BD31" s="318">
        <f t="shared" si="19"/>
        <v>0</v>
      </c>
      <c r="BE31" s="318">
        <v>0</v>
      </c>
      <c r="BF31" s="318">
        <f t="shared" si="20"/>
        <v>0.80549999999999999</v>
      </c>
      <c r="BH31" s="316">
        <f t="shared" si="21"/>
        <v>0</v>
      </c>
      <c r="BI31" s="316">
        <f t="shared" si="22"/>
        <v>0</v>
      </c>
      <c r="BJ31" s="316">
        <f t="shared" si="23"/>
        <v>0</v>
      </c>
      <c r="BK31" s="316" t="s">
        <v>815</v>
      </c>
      <c r="BL31" s="318">
        <v>730</v>
      </c>
    </row>
    <row r="32" spans="1:64">
      <c r="A32" s="314" t="s">
        <v>271</v>
      </c>
      <c r="B32" s="315"/>
      <c r="C32" s="315" t="s">
        <v>4584</v>
      </c>
      <c r="D32" s="443" t="s">
        <v>4585</v>
      </c>
      <c r="E32" s="444"/>
      <c r="F32" s="315" t="s">
        <v>183</v>
      </c>
      <c r="G32" s="316">
        <v>1.7715000000000001</v>
      </c>
      <c r="H32" s="316"/>
      <c r="I32" s="316">
        <f t="shared" si="0"/>
        <v>0</v>
      </c>
      <c r="J32" s="316">
        <f t="shared" si="1"/>
        <v>0</v>
      </c>
      <c r="K32" s="316">
        <f t="shared" si="2"/>
        <v>0</v>
      </c>
      <c r="L32" s="316">
        <v>0</v>
      </c>
      <c r="M32" s="316">
        <f t="shared" si="3"/>
        <v>0</v>
      </c>
      <c r="N32" s="317" t="s">
        <v>4548</v>
      </c>
      <c r="O32" s="291"/>
      <c r="Z32" s="318">
        <f t="shared" si="4"/>
        <v>0</v>
      </c>
      <c r="AB32" s="318">
        <f t="shared" si="5"/>
        <v>0</v>
      </c>
      <c r="AC32" s="318">
        <f t="shared" si="6"/>
        <v>0</v>
      </c>
      <c r="AD32" s="318">
        <f t="shared" si="7"/>
        <v>0</v>
      </c>
      <c r="AE32" s="318">
        <f t="shared" si="8"/>
        <v>0</v>
      </c>
      <c r="AF32" s="318">
        <f t="shared" si="9"/>
        <v>0</v>
      </c>
      <c r="AG32" s="318">
        <f t="shared" si="10"/>
        <v>0</v>
      </c>
      <c r="AH32" s="318">
        <f t="shared" si="11"/>
        <v>0</v>
      </c>
      <c r="AI32" s="298"/>
      <c r="AJ32" s="316">
        <f t="shared" si="12"/>
        <v>0</v>
      </c>
      <c r="AK32" s="316">
        <f t="shared" si="13"/>
        <v>0</v>
      </c>
      <c r="AL32" s="316">
        <f t="shared" si="14"/>
        <v>0</v>
      </c>
      <c r="AN32" s="318">
        <v>21</v>
      </c>
      <c r="AO32" s="318">
        <f>H32*0</f>
        <v>0</v>
      </c>
      <c r="AP32" s="318">
        <f>H32*(1-0)</f>
        <v>0</v>
      </c>
      <c r="AQ32" s="319" t="s">
        <v>241</v>
      </c>
      <c r="AV32" s="318">
        <f t="shared" si="15"/>
        <v>0</v>
      </c>
      <c r="AW32" s="318">
        <f t="shared" si="16"/>
        <v>0</v>
      </c>
      <c r="AX32" s="318">
        <f t="shared" si="17"/>
        <v>0</v>
      </c>
      <c r="AY32" s="320" t="s">
        <v>4578</v>
      </c>
      <c r="AZ32" s="320" t="s">
        <v>4579</v>
      </c>
      <c r="BA32" s="298" t="s">
        <v>4551</v>
      </c>
      <c r="BC32" s="318">
        <f t="shared" si="18"/>
        <v>0</v>
      </c>
      <c r="BD32" s="318">
        <f t="shared" si="19"/>
        <v>0</v>
      </c>
      <c r="BE32" s="318">
        <v>0</v>
      </c>
      <c r="BF32" s="318">
        <f t="shared" si="20"/>
        <v>0</v>
      </c>
      <c r="BH32" s="316">
        <f t="shared" si="21"/>
        <v>0</v>
      </c>
      <c r="BI32" s="316">
        <f t="shared" si="22"/>
        <v>0</v>
      </c>
      <c r="BJ32" s="316">
        <f t="shared" si="23"/>
        <v>0</v>
      </c>
      <c r="BK32" s="316" t="s">
        <v>815</v>
      </c>
      <c r="BL32" s="318">
        <v>730</v>
      </c>
    </row>
    <row r="33" spans="1:64">
      <c r="A33" s="314" t="s">
        <v>277</v>
      </c>
      <c r="B33" s="315"/>
      <c r="C33" s="315" t="s">
        <v>4586</v>
      </c>
      <c r="D33" s="443" t="s">
        <v>4587</v>
      </c>
      <c r="E33" s="444"/>
      <c r="F33" s="315" t="s">
        <v>332</v>
      </c>
      <c r="G33" s="316">
        <v>63.75</v>
      </c>
      <c r="H33" s="316"/>
      <c r="I33" s="316">
        <f t="shared" si="0"/>
        <v>0</v>
      </c>
      <c r="J33" s="316">
        <f t="shared" si="1"/>
        <v>0</v>
      </c>
      <c r="K33" s="316">
        <f t="shared" si="2"/>
        <v>0</v>
      </c>
      <c r="L33" s="316">
        <v>2.3800000000000002E-2</v>
      </c>
      <c r="M33" s="316">
        <f t="shared" si="3"/>
        <v>1.5172500000000002</v>
      </c>
      <c r="N33" s="317" t="s">
        <v>4548</v>
      </c>
      <c r="O33" s="291"/>
      <c r="Z33" s="318">
        <f t="shared" si="4"/>
        <v>0</v>
      </c>
      <c r="AB33" s="318">
        <f t="shared" si="5"/>
        <v>0</v>
      </c>
      <c r="AC33" s="318">
        <f t="shared" si="6"/>
        <v>0</v>
      </c>
      <c r="AD33" s="318">
        <f t="shared" si="7"/>
        <v>0</v>
      </c>
      <c r="AE33" s="318">
        <f t="shared" si="8"/>
        <v>0</v>
      </c>
      <c r="AF33" s="318">
        <f t="shared" si="9"/>
        <v>0</v>
      </c>
      <c r="AG33" s="318">
        <f t="shared" si="10"/>
        <v>0</v>
      </c>
      <c r="AH33" s="318">
        <f t="shared" si="11"/>
        <v>0</v>
      </c>
      <c r="AI33" s="298"/>
      <c r="AJ33" s="316">
        <f t="shared" si="12"/>
        <v>0</v>
      </c>
      <c r="AK33" s="316">
        <f t="shared" si="13"/>
        <v>0</v>
      </c>
      <c r="AL33" s="316">
        <f t="shared" si="14"/>
        <v>0</v>
      </c>
      <c r="AN33" s="318">
        <v>21</v>
      </c>
      <c r="AO33" s="318">
        <f>H33*0</f>
        <v>0</v>
      </c>
      <c r="AP33" s="318">
        <f>H33*(1-0)</f>
        <v>0</v>
      </c>
      <c r="AQ33" s="319" t="s">
        <v>241</v>
      </c>
      <c r="AV33" s="318">
        <f t="shared" si="15"/>
        <v>0</v>
      </c>
      <c r="AW33" s="318">
        <f t="shared" si="16"/>
        <v>0</v>
      </c>
      <c r="AX33" s="318">
        <f t="shared" si="17"/>
        <v>0</v>
      </c>
      <c r="AY33" s="320" t="s">
        <v>4578</v>
      </c>
      <c r="AZ33" s="320" t="s">
        <v>4579</v>
      </c>
      <c r="BA33" s="298" t="s">
        <v>4551</v>
      </c>
      <c r="BC33" s="318">
        <f t="shared" si="18"/>
        <v>0</v>
      </c>
      <c r="BD33" s="318">
        <f t="shared" si="19"/>
        <v>0</v>
      </c>
      <c r="BE33" s="318">
        <v>0</v>
      </c>
      <c r="BF33" s="318">
        <f t="shared" si="20"/>
        <v>1.5172500000000002</v>
      </c>
      <c r="BH33" s="316">
        <f t="shared" si="21"/>
        <v>0</v>
      </c>
      <c r="BI33" s="316">
        <f t="shared" si="22"/>
        <v>0</v>
      </c>
      <c r="BJ33" s="316">
        <f t="shared" si="23"/>
        <v>0</v>
      </c>
      <c r="BK33" s="316" t="s">
        <v>815</v>
      </c>
      <c r="BL33" s="318">
        <v>730</v>
      </c>
    </row>
    <row r="34" spans="1:64">
      <c r="A34" s="314" t="s">
        <v>283</v>
      </c>
      <c r="B34" s="315"/>
      <c r="C34" s="315" t="s">
        <v>4588</v>
      </c>
      <c r="D34" s="443" t="s">
        <v>4589</v>
      </c>
      <c r="E34" s="444"/>
      <c r="F34" s="315" t="s">
        <v>236</v>
      </c>
      <c r="G34" s="316">
        <v>40</v>
      </c>
      <c r="H34" s="316"/>
      <c r="I34" s="316">
        <f t="shared" si="0"/>
        <v>0</v>
      </c>
      <c r="J34" s="316">
        <f t="shared" si="1"/>
        <v>0</v>
      </c>
      <c r="K34" s="316">
        <f t="shared" si="2"/>
        <v>0</v>
      </c>
      <c r="L34" s="316">
        <v>7.6000000000000004E-4</v>
      </c>
      <c r="M34" s="316">
        <f t="shared" si="3"/>
        <v>3.0400000000000003E-2</v>
      </c>
      <c r="N34" s="317" t="s">
        <v>4548</v>
      </c>
      <c r="O34" s="291"/>
      <c r="Z34" s="318">
        <f t="shared" si="4"/>
        <v>0</v>
      </c>
      <c r="AB34" s="318">
        <f t="shared" si="5"/>
        <v>0</v>
      </c>
      <c r="AC34" s="318">
        <f t="shared" si="6"/>
        <v>0</v>
      </c>
      <c r="AD34" s="318">
        <f t="shared" si="7"/>
        <v>0</v>
      </c>
      <c r="AE34" s="318">
        <f t="shared" si="8"/>
        <v>0</v>
      </c>
      <c r="AF34" s="318">
        <f t="shared" si="9"/>
        <v>0</v>
      </c>
      <c r="AG34" s="318">
        <f t="shared" si="10"/>
        <v>0</v>
      </c>
      <c r="AH34" s="318">
        <f t="shared" si="11"/>
        <v>0</v>
      </c>
      <c r="AI34" s="298"/>
      <c r="AJ34" s="316">
        <f t="shared" si="12"/>
        <v>0</v>
      </c>
      <c r="AK34" s="316">
        <f t="shared" si="13"/>
        <v>0</v>
      </c>
      <c r="AL34" s="316">
        <f t="shared" si="14"/>
        <v>0</v>
      </c>
      <c r="AN34" s="318">
        <v>21</v>
      </c>
      <c r="AO34" s="318">
        <f>H34*0.0444444444444444</f>
        <v>0</v>
      </c>
      <c r="AP34" s="318">
        <f>H34*(1-0.0444444444444444)</f>
        <v>0</v>
      </c>
      <c r="AQ34" s="319" t="s">
        <v>241</v>
      </c>
      <c r="AV34" s="318">
        <f t="shared" si="15"/>
        <v>0</v>
      </c>
      <c r="AW34" s="318">
        <f t="shared" si="16"/>
        <v>0</v>
      </c>
      <c r="AX34" s="318">
        <f t="shared" si="17"/>
        <v>0</v>
      </c>
      <c r="AY34" s="320" t="s">
        <v>4578</v>
      </c>
      <c r="AZ34" s="320" t="s">
        <v>4579</v>
      </c>
      <c r="BA34" s="298" t="s">
        <v>4551</v>
      </c>
      <c r="BC34" s="318">
        <f t="shared" si="18"/>
        <v>0</v>
      </c>
      <c r="BD34" s="318">
        <f t="shared" si="19"/>
        <v>0</v>
      </c>
      <c r="BE34" s="318">
        <v>0</v>
      </c>
      <c r="BF34" s="318">
        <f t="shared" si="20"/>
        <v>3.0400000000000003E-2</v>
      </c>
      <c r="BH34" s="316">
        <f t="shared" si="21"/>
        <v>0</v>
      </c>
      <c r="BI34" s="316">
        <f t="shared" si="22"/>
        <v>0</v>
      </c>
      <c r="BJ34" s="316">
        <f t="shared" si="23"/>
        <v>0</v>
      </c>
      <c r="BK34" s="316" t="s">
        <v>815</v>
      </c>
      <c r="BL34" s="318">
        <v>730</v>
      </c>
    </row>
    <row r="35" spans="1:64">
      <c r="A35" s="314" t="s">
        <v>9</v>
      </c>
      <c r="B35" s="315"/>
      <c r="C35" s="315" t="s">
        <v>4590</v>
      </c>
      <c r="D35" s="443" t="s">
        <v>4591</v>
      </c>
      <c r="E35" s="444"/>
      <c r="F35" s="315" t="s">
        <v>183</v>
      </c>
      <c r="G35" s="316">
        <v>1.5477000000000001</v>
      </c>
      <c r="H35" s="316"/>
      <c r="I35" s="316">
        <f t="shared" si="0"/>
        <v>0</v>
      </c>
      <c r="J35" s="316">
        <f t="shared" si="1"/>
        <v>0</v>
      </c>
      <c r="K35" s="316">
        <f t="shared" si="2"/>
        <v>0</v>
      </c>
      <c r="L35" s="316">
        <v>0</v>
      </c>
      <c r="M35" s="316">
        <f t="shared" si="3"/>
        <v>0</v>
      </c>
      <c r="N35" s="317" t="s">
        <v>4548</v>
      </c>
      <c r="O35" s="291"/>
      <c r="Z35" s="318">
        <f t="shared" si="4"/>
        <v>0</v>
      </c>
      <c r="AB35" s="318">
        <f t="shared" si="5"/>
        <v>0</v>
      </c>
      <c r="AC35" s="318">
        <f t="shared" si="6"/>
        <v>0</v>
      </c>
      <c r="AD35" s="318">
        <f t="shared" si="7"/>
        <v>0</v>
      </c>
      <c r="AE35" s="318">
        <f t="shared" si="8"/>
        <v>0</v>
      </c>
      <c r="AF35" s="318">
        <f t="shared" si="9"/>
        <v>0</v>
      </c>
      <c r="AG35" s="318">
        <f t="shared" si="10"/>
        <v>0</v>
      </c>
      <c r="AH35" s="318">
        <f t="shared" si="11"/>
        <v>0</v>
      </c>
      <c r="AI35" s="298"/>
      <c r="AJ35" s="316">
        <f t="shared" si="12"/>
        <v>0</v>
      </c>
      <c r="AK35" s="316">
        <f t="shared" si="13"/>
        <v>0</v>
      </c>
      <c r="AL35" s="316">
        <f t="shared" si="14"/>
        <v>0</v>
      </c>
      <c r="AN35" s="318">
        <v>21</v>
      </c>
      <c r="AO35" s="318">
        <f t="shared" ref="AO35:AO41" si="24">H35*0</f>
        <v>0</v>
      </c>
      <c r="AP35" s="318">
        <f t="shared" ref="AP35:AP41" si="25">H35*(1-0)</f>
        <v>0</v>
      </c>
      <c r="AQ35" s="319" t="s">
        <v>241</v>
      </c>
      <c r="AV35" s="318">
        <f t="shared" si="15"/>
        <v>0</v>
      </c>
      <c r="AW35" s="318">
        <f t="shared" si="16"/>
        <v>0</v>
      </c>
      <c r="AX35" s="318">
        <f t="shared" si="17"/>
        <v>0</v>
      </c>
      <c r="AY35" s="320" t="s">
        <v>4578</v>
      </c>
      <c r="AZ35" s="320" t="s">
        <v>4579</v>
      </c>
      <c r="BA35" s="298" t="s">
        <v>4551</v>
      </c>
      <c r="BC35" s="318">
        <f t="shared" si="18"/>
        <v>0</v>
      </c>
      <c r="BD35" s="318">
        <f t="shared" si="19"/>
        <v>0</v>
      </c>
      <c r="BE35" s="318">
        <v>0</v>
      </c>
      <c r="BF35" s="318">
        <f t="shared" si="20"/>
        <v>0</v>
      </c>
      <c r="BH35" s="316">
        <f t="shared" si="21"/>
        <v>0</v>
      </c>
      <c r="BI35" s="316">
        <f t="shared" si="22"/>
        <v>0</v>
      </c>
      <c r="BJ35" s="316">
        <f t="shared" si="23"/>
        <v>0</v>
      </c>
      <c r="BK35" s="316" t="s">
        <v>815</v>
      </c>
      <c r="BL35" s="318">
        <v>730</v>
      </c>
    </row>
    <row r="36" spans="1:64">
      <c r="A36" s="314" t="s">
        <v>237</v>
      </c>
      <c r="B36" s="315"/>
      <c r="C36" s="315" t="s">
        <v>4592</v>
      </c>
      <c r="D36" s="443" t="s">
        <v>4593</v>
      </c>
      <c r="E36" s="444"/>
      <c r="F36" s="315" t="s">
        <v>183</v>
      </c>
      <c r="G36" s="316">
        <v>0.16800000000000001</v>
      </c>
      <c r="H36" s="316"/>
      <c r="I36" s="316">
        <f t="shared" si="0"/>
        <v>0</v>
      </c>
      <c r="J36" s="316">
        <f t="shared" si="1"/>
        <v>0</v>
      </c>
      <c r="K36" s="316">
        <f t="shared" si="2"/>
        <v>0</v>
      </c>
      <c r="L36" s="316">
        <v>0</v>
      </c>
      <c r="M36" s="316">
        <f t="shared" si="3"/>
        <v>0</v>
      </c>
      <c r="N36" s="317" t="s">
        <v>4548</v>
      </c>
      <c r="O36" s="291"/>
      <c r="Z36" s="318">
        <f t="shared" si="4"/>
        <v>0</v>
      </c>
      <c r="AB36" s="318">
        <f t="shared" si="5"/>
        <v>0</v>
      </c>
      <c r="AC36" s="318">
        <f t="shared" si="6"/>
        <v>0</v>
      </c>
      <c r="AD36" s="318">
        <f t="shared" si="7"/>
        <v>0</v>
      </c>
      <c r="AE36" s="318">
        <f t="shared" si="8"/>
        <v>0</v>
      </c>
      <c r="AF36" s="318">
        <f t="shared" si="9"/>
        <v>0</v>
      </c>
      <c r="AG36" s="318">
        <f t="shared" si="10"/>
        <v>0</v>
      </c>
      <c r="AH36" s="318">
        <f t="shared" si="11"/>
        <v>0</v>
      </c>
      <c r="AI36" s="298"/>
      <c r="AJ36" s="316">
        <f t="shared" si="12"/>
        <v>0</v>
      </c>
      <c r="AK36" s="316">
        <f t="shared" si="13"/>
        <v>0</v>
      </c>
      <c r="AL36" s="316">
        <f t="shared" si="14"/>
        <v>0</v>
      </c>
      <c r="AN36" s="318">
        <v>21</v>
      </c>
      <c r="AO36" s="318">
        <f t="shared" si="24"/>
        <v>0</v>
      </c>
      <c r="AP36" s="318">
        <f t="shared" si="25"/>
        <v>0</v>
      </c>
      <c r="AQ36" s="319" t="s">
        <v>241</v>
      </c>
      <c r="AV36" s="318">
        <f t="shared" si="15"/>
        <v>0</v>
      </c>
      <c r="AW36" s="318">
        <f t="shared" si="16"/>
        <v>0</v>
      </c>
      <c r="AX36" s="318">
        <f t="shared" si="17"/>
        <v>0</v>
      </c>
      <c r="AY36" s="320" t="s">
        <v>4578</v>
      </c>
      <c r="AZ36" s="320" t="s">
        <v>4579</v>
      </c>
      <c r="BA36" s="298" t="s">
        <v>4551</v>
      </c>
      <c r="BC36" s="318">
        <f t="shared" si="18"/>
        <v>0</v>
      </c>
      <c r="BD36" s="318">
        <f t="shared" si="19"/>
        <v>0</v>
      </c>
      <c r="BE36" s="318">
        <v>0</v>
      </c>
      <c r="BF36" s="318">
        <f t="shared" si="20"/>
        <v>0</v>
      </c>
      <c r="BH36" s="316">
        <f t="shared" si="21"/>
        <v>0</v>
      </c>
      <c r="BI36" s="316">
        <f t="shared" si="22"/>
        <v>0</v>
      </c>
      <c r="BJ36" s="316">
        <f t="shared" si="23"/>
        <v>0</v>
      </c>
      <c r="BK36" s="316" t="s">
        <v>815</v>
      </c>
      <c r="BL36" s="318">
        <v>730</v>
      </c>
    </row>
    <row r="37" spans="1:64">
      <c r="A37" s="314" t="s">
        <v>302</v>
      </c>
      <c r="B37" s="315"/>
      <c r="C37" s="315" t="s">
        <v>4594</v>
      </c>
      <c r="D37" s="443" t="s">
        <v>4595</v>
      </c>
      <c r="E37" s="444"/>
      <c r="F37" s="315" t="s">
        <v>183</v>
      </c>
      <c r="G37" s="316">
        <v>3.4872000000000001</v>
      </c>
      <c r="H37" s="316"/>
      <c r="I37" s="316">
        <f t="shared" si="0"/>
        <v>0</v>
      </c>
      <c r="J37" s="316">
        <f t="shared" si="1"/>
        <v>0</v>
      </c>
      <c r="K37" s="316">
        <f t="shared" si="2"/>
        <v>0</v>
      </c>
      <c r="L37" s="316">
        <v>0</v>
      </c>
      <c r="M37" s="316">
        <f t="shared" si="3"/>
        <v>0</v>
      </c>
      <c r="N37" s="317" t="s">
        <v>4548</v>
      </c>
      <c r="O37" s="291"/>
      <c r="Z37" s="318">
        <f t="shared" si="4"/>
        <v>0</v>
      </c>
      <c r="AB37" s="318">
        <f t="shared" si="5"/>
        <v>0</v>
      </c>
      <c r="AC37" s="318">
        <f t="shared" si="6"/>
        <v>0</v>
      </c>
      <c r="AD37" s="318">
        <f t="shared" si="7"/>
        <v>0</v>
      </c>
      <c r="AE37" s="318">
        <f t="shared" si="8"/>
        <v>0</v>
      </c>
      <c r="AF37" s="318">
        <f t="shared" si="9"/>
        <v>0</v>
      </c>
      <c r="AG37" s="318">
        <f t="shared" si="10"/>
        <v>0</v>
      </c>
      <c r="AH37" s="318">
        <f t="shared" si="11"/>
        <v>0</v>
      </c>
      <c r="AI37" s="298"/>
      <c r="AJ37" s="316">
        <f t="shared" si="12"/>
        <v>0</v>
      </c>
      <c r="AK37" s="316">
        <f t="shared" si="13"/>
        <v>0</v>
      </c>
      <c r="AL37" s="316">
        <f t="shared" si="14"/>
        <v>0</v>
      </c>
      <c r="AN37" s="318">
        <v>21</v>
      </c>
      <c r="AO37" s="318">
        <f t="shared" si="24"/>
        <v>0</v>
      </c>
      <c r="AP37" s="318">
        <f t="shared" si="25"/>
        <v>0</v>
      </c>
      <c r="AQ37" s="319" t="s">
        <v>200</v>
      </c>
      <c r="AV37" s="318">
        <f t="shared" si="15"/>
        <v>0</v>
      </c>
      <c r="AW37" s="318">
        <f t="shared" si="16"/>
        <v>0</v>
      </c>
      <c r="AX37" s="318">
        <f t="shared" si="17"/>
        <v>0</v>
      </c>
      <c r="AY37" s="320" t="s">
        <v>4578</v>
      </c>
      <c r="AZ37" s="320" t="s">
        <v>4579</v>
      </c>
      <c r="BA37" s="298" t="s">
        <v>4551</v>
      </c>
      <c r="BC37" s="318">
        <f t="shared" si="18"/>
        <v>0</v>
      </c>
      <c r="BD37" s="318">
        <f t="shared" si="19"/>
        <v>0</v>
      </c>
      <c r="BE37" s="318">
        <v>0</v>
      </c>
      <c r="BF37" s="318">
        <f t="shared" si="20"/>
        <v>0</v>
      </c>
      <c r="BH37" s="316">
        <f t="shared" si="21"/>
        <v>0</v>
      </c>
      <c r="BI37" s="316">
        <f t="shared" si="22"/>
        <v>0</v>
      </c>
      <c r="BJ37" s="316">
        <f t="shared" si="23"/>
        <v>0</v>
      </c>
      <c r="BK37" s="316" t="s">
        <v>815</v>
      </c>
      <c r="BL37" s="318">
        <v>730</v>
      </c>
    </row>
    <row r="38" spans="1:64">
      <c r="A38" s="314" t="s">
        <v>315</v>
      </c>
      <c r="B38" s="315"/>
      <c r="C38" s="315" t="s">
        <v>4596</v>
      </c>
      <c r="D38" s="443" t="s">
        <v>4597</v>
      </c>
      <c r="E38" s="444"/>
      <c r="F38" s="315" t="s">
        <v>183</v>
      </c>
      <c r="G38" s="316">
        <v>3.4872000000000001</v>
      </c>
      <c r="H38" s="316"/>
      <c r="I38" s="316">
        <f t="shared" si="0"/>
        <v>0</v>
      </c>
      <c r="J38" s="316">
        <f t="shared" si="1"/>
        <v>0</v>
      </c>
      <c r="K38" s="316">
        <f t="shared" si="2"/>
        <v>0</v>
      </c>
      <c r="L38" s="316">
        <v>0</v>
      </c>
      <c r="M38" s="316">
        <f t="shared" si="3"/>
        <v>0</v>
      </c>
      <c r="N38" s="317" t="s">
        <v>4548</v>
      </c>
      <c r="O38" s="291"/>
      <c r="Z38" s="318">
        <f t="shared" si="4"/>
        <v>0</v>
      </c>
      <c r="AB38" s="318">
        <f t="shared" si="5"/>
        <v>0</v>
      </c>
      <c r="AC38" s="318">
        <f t="shared" si="6"/>
        <v>0</v>
      </c>
      <c r="AD38" s="318">
        <f t="shared" si="7"/>
        <v>0</v>
      </c>
      <c r="AE38" s="318">
        <f t="shared" si="8"/>
        <v>0</v>
      </c>
      <c r="AF38" s="318">
        <f t="shared" si="9"/>
        <v>0</v>
      </c>
      <c r="AG38" s="318">
        <f t="shared" si="10"/>
        <v>0</v>
      </c>
      <c r="AH38" s="318">
        <f t="shared" si="11"/>
        <v>0</v>
      </c>
      <c r="AI38" s="298"/>
      <c r="AJ38" s="316">
        <f t="shared" si="12"/>
        <v>0</v>
      </c>
      <c r="AK38" s="316">
        <f t="shared" si="13"/>
        <v>0</v>
      </c>
      <c r="AL38" s="316">
        <f t="shared" si="14"/>
        <v>0</v>
      </c>
      <c r="AN38" s="318">
        <v>21</v>
      </c>
      <c r="AO38" s="318">
        <f t="shared" si="24"/>
        <v>0</v>
      </c>
      <c r="AP38" s="318">
        <f t="shared" si="25"/>
        <v>0</v>
      </c>
      <c r="AQ38" s="319" t="s">
        <v>200</v>
      </c>
      <c r="AV38" s="318">
        <f t="shared" si="15"/>
        <v>0</v>
      </c>
      <c r="AW38" s="318">
        <f t="shared" si="16"/>
        <v>0</v>
      </c>
      <c r="AX38" s="318">
        <f t="shared" si="17"/>
        <v>0</v>
      </c>
      <c r="AY38" s="320" t="s">
        <v>4578</v>
      </c>
      <c r="AZ38" s="320" t="s">
        <v>4579</v>
      </c>
      <c r="BA38" s="298" t="s">
        <v>4551</v>
      </c>
      <c r="BC38" s="318">
        <f t="shared" si="18"/>
        <v>0</v>
      </c>
      <c r="BD38" s="318">
        <f t="shared" si="19"/>
        <v>0</v>
      </c>
      <c r="BE38" s="318">
        <v>0</v>
      </c>
      <c r="BF38" s="318">
        <f t="shared" si="20"/>
        <v>0</v>
      </c>
      <c r="BH38" s="316">
        <f t="shared" si="21"/>
        <v>0</v>
      </c>
      <c r="BI38" s="316">
        <f t="shared" si="22"/>
        <v>0</v>
      </c>
      <c r="BJ38" s="316">
        <f t="shared" si="23"/>
        <v>0</v>
      </c>
      <c r="BK38" s="316" t="s">
        <v>815</v>
      </c>
      <c r="BL38" s="318">
        <v>730</v>
      </c>
    </row>
    <row r="39" spans="1:64">
      <c r="A39" s="314" t="s">
        <v>461</v>
      </c>
      <c r="B39" s="315"/>
      <c r="C39" s="315" t="s">
        <v>4598</v>
      </c>
      <c r="D39" s="443" t="s">
        <v>4599</v>
      </c>
      <c r="E39" s="444"/>
      <c r="F39" s="315" t="s">
        <v>183</v>
      </c>
      <c r="G39" s="316">
        <v>69.744</v>
      </c>
      <c r="H39" s="316"/>
      <c r="I39" s="316">
        <f t="shared" si="0"/>
        <v>0</v>
      </c>
      <c r="J39" s="316">
        <f t="shared" si="1"/>
        <v>0</v>
      </c>
      <c r="K39" s="316">
        <f t="shared" si="2"/>
        <v>0</v>
      </c>
      <c r="L39" s="316">
        <v>0</v>
      </c>
      <c r="M39" s="316">
        <f t="shared" si="3"/>
        <v>0</v>
      </c>
      <c r="N39" s="317" t="s">
        <v>4548</v>
      </c>
      <c r="O39" s="291"/>
      <c r="Z39" s="318">
        <f t="shared" si="4"/>
        <v>0</v>
      </c>
      <c r="AB39" s="318">
        <f t="shared" si="5"/>
        <v>0</v>
      </c>
      <c r="AC39" s="318">
        <f t="shared" si="6"/>
        <v>0</v>
      </c>
      <c r="AD39" s="318">
        <f t="shared" si="7"/>
        <v>0</v>
      </c>
      <c r="AE39" s="318">
        <f t="shared" si="8"/>
        <v>0</v>
      </c>
      <c r="AF39" s="318">
        <f t="shared" si="9"/>
        <v>0</v>
      </c>
      <c r="AG39" s="318">
        <f t="shared" si="10"/>
        <v>0</v>
      </c>
      <c r="AH39" s="318">
        <f t="shared" si="11"/>
        <v>0</v>
      </c>
      <c r="AI39" s="298"/>
      <c r="AJ39" s="316">
        <f t="shared" si="12"/>
        <v>0</v>
      </c>
      <c r="AK39" s="316">
        <f t="shared" si="13"/>
        <v>0</v>
      </c>
      <c r="AL39" s="316">
        <f t="shared" si="14"/>
        <v>0</v>
      </c>
      <c r="AN39" s="318">
        <v>21</v>
      </c>
      <c r="AO39" s="318">
        <f t="shared" si="24"/>
        <v>0</v>
      </c>
      <c r="AP39" s="318">
        <f t="shared" si="25"/>
        <v>0</v>
      </c>
      <c r="AQ39" s="319" t="s">
        <v>200</v>
      </c>
      <c r="AV39" s="318">
        <f t="shared" si="15"/>
        <v>0</v>
      </c>
      <c r="AW39" s="318">
        <f t="shared" si="16"/>
        <v>0</v>
      </c>
      <c r="AX39" s="318">
        <f t="shared" si="17"/>
        <v>0</v>
      </c>
      <c r="AY39" s="320" t="s">
        <v>4578</v>
      </c>
      <c r="AZ39" s="320" t="s">
        <v>4579</v>
      </c>
      <c r="BA39" s="298" t="s">
        <v>4551</v>
      </c>
      <c r="BC39" s="318">
        <f t="shared" si="18"/>
        <v>0</v>
      </c>
      <c r="BD39" s="318">
        <f t="shared" si="19"/>
        <v>0</v>
      </c>
      <c r="BE39" s="318">
        <v>0</v>
      </c>
      <c r="BF39" s="318">
        <f t="shared" si="20"/>
        <v>0</v>
      </c>
      <c r="BH39" s="316">
        <f t="shared" si="21"/>
        <v>0</v>
      </c>
      <c r="BI39" s="316">
        <f t="shared" si="22"/>
        <v>0</v>
      </c>
      <c r="BJ39" s="316">
        <f t="shared" si="23"/>
        <v>0</v>
      </c>
      <c r="BK39" s="316" t="s">
        <v>815</v>
      </c>
      <c r="BL39" s="318">
        <v>730</v>
      </c>
    </row>
    <row r="40" spans="1:64">
      <c r="A40" s="314" t="s">
        <v>467</v>
      </c>
      <c r="B40" s="315"/>
      <c r="C40" s="315" t="s">
        <v>4600</v>
      </c>
      <c r="D40" s="443" t="s">
        <v>4601</v>
      </c>
      <c r="E40" s="444"/>
      <c r="F40" s="315" t="s">
        <v>183</v>
      </c>
      <c r="G40" s="316">
        <v>3.4872000000000001</v>
      </c>
      <c r="H40" s="316"/>
      <c r="I40" s="316">
        <f t="shared" si="0"/>
        <v>0</v>
      </c>
      <c r="J40" s="316">
        <f t="shared" si="1"/>
        <v>0</v>
      </c>
      <c r="K40" s="316">
        <f t="shared" si="2"/>
        <v>0</v>
      </c>
      <c r="L40" s="316">
        <v>0</v>
      </c>
      <c r="M40" s="316">
        <f t="shared" si="3"/>
        <v>0</v>
      </c>
      <c r="N40" s="317" t="s">
        <v>4548</v>
      </c>
      <c r="O40" s="291"/>
      <c r="Z40" s="318">
        <f t="shared" si="4"/>
        <v>0</v>
      </c>
      <c r="AB40" s="318">
        <f t="shared" si="5"/>
        <v>0</v>
      </c>
      <c r="AC40" s="318">
        <f t="shared" si="6"/>
        <v>0</v>
      </c>
      <c r="AD40" s="318">
        <f t="shared" si="7"/>
        <v>0</v>
      </c>
      <c r="AE40" s="318">
        <f t="shared" si="8"/>
        <v>0</v>
      </c>
      <c r="AF40" s="318">
        <f t="shared" si="9"/>
        <v>0</v>
      </c>
      <c r="AG40" s="318">
        <f t="shared" si="10"/>
        <v>0</v>
      </c>
      <c r="AH40" s="318">
        <f t="shared" si="11"/>
        <v>0</v>
      </c>
      <c r="AI40" s="298"/>
      <c r="AJ40" s="316">
        <f t="shared" si="12"/>
        <v>0</v>
      </c>
      <c r="AK40" s="316">
        <f t="shared" si="13"/>
        <v>0</v>
      </c>
      <c r="AL40" s="316">
        <f t="shared" si="14"/>
        <v>0</v>
      </c>
      <c r="AN40" s="318">
        <v>21</v>
      </c>
      <c r="AO40" s="318">
        <f t="shared" si="24"/>
        <v>0</v>
      </c>
      <c r="AP40" s="318">
        <f t="shared" si="25"/>
        <v>0</v>
      </c>
      <c r="AQ40" s="319" t="s">
        <v>200</v>
      </c>
      <c r="AV40" s="318">
        <f t="shared" si="15"/>
        <v>0</v>
      </c>
      <c r="AW40" s="318">
        <f t="shared" si="16"/>
        <v>0</v>
      </c>
      <c r="AX40" s="318">
        <f t="shared" si="17"/>
        <v>0</v>
      </c>
      <c r="AY40" s="320" t="s">
        <v>4578</v>
      </c>
      <c r="AZ40" s="320" t="s">
        <v>4579</v>
      </c>
      <c r="BA40" s="298" t="s">
        <v>4551</v>
      </c>
      <c r="BC40" s="318">
        <f t="shared" si="18"/>
        <v>0</v>
      </c>
      <c r="BD40" s="318">
        <f t="shared" si="19"/>
        <v>0</v>
      </c>
      <c r="BE40" s="318">
        <v>0</v>
      </c>
      <c r="BF40" s="318">
        <f t="shared" si="20"/>
        <v>0</v>
      </c>
      <c r="BH40" s="316">
        <f t="shared" si="21"/>
        <v>0</v>
      </c>
      <c r="BI40" s="316">
        <f t="shared" si="22"/>
        <v>0</v>
      </c>
      <c r="BJ40" s="316">
        <f t="shared" si="23"/>
        <v>0</v>
      </c>
      <c r="BK40" s="316" t="s">
        <v>815</v>
      </c>
      <c r="BL40" s="318">
        <v>730</v>
      </c>
    </row>
    <row r="41" spans="1:64">
      <c r="A41" s="314" t="s">
        <v>8</v>
      </c>
      <c r="B41" s="315"/>
      <c r="C41" s="315" t="s">
        <v>4602</v>
      </c>
      <c r="D41" s="443" t="s">
        <v>4603</v>
      </c>
      <c r="E41" s="444"/>
      <c r="F41" s="315" t="s">
        <v>183</v>
      </c>
      <c r="G41" s="316">
        <v>0.16800000000000001</v>
      </c>
      <c r="H41" s="316"/>
      <c r="I41" s="316">
        <f t="shared" si="0"/>
        <v>0</v>
      </c>
      <c r="J41" s="316">
        <f t="shared" si="1"/>
        <v>0</v>
      </c>
      <c r="K41" s="316">
        <f t="shared" si="2"/>
        <v>0</v>
      </c>
      <c r="L41" s="316">
        <v>0</v>
      </c>
      <c r="M41" s="316">
        <f t="shared" si="3"/>
        <v>0</v>
      </c>
      <c r="N41" s="317" t="s">
        <v>4548</v>
      </c>
      <c r="O41" s="291"/>
      <c r="Z41" s="318">
        <f t="shared" si="4"/>
        <v>0</v>
      </c>
      <c r="AB41" s="318">
        <f t="shared" si="5"/>
        <v>0</v>
      </c>
      <c r="AC41" s="318">
        <f t="shared" si="6"/>
        <v>0</v>
      </c>
      <c r="AD41" s="318">
        <f t="shared" si="7"/>
        <v>0</v>
      </c>
      <c r="AE41" s="318">
        <f t="shared" si="8"/>
        <v>0</v>
      </c>
      <c r="AF41" s="318">
        <f t="shared" si="9"/>
        <v>0</v>
      </c>
      <c r="AG41" s="318">
        <f t="shared" si="10"/>
        <v>0</v>
      </c>
      <c r="AH41" s="318">
        <f t="shared" si="11"/>
        <v>0</v>
      </c>
      <c r="AI41" s="298"/>
      <c r="AJ41" s="316">
        <f t="shared" si="12"/>
        <v>0</v>
      </c>
      <c r="AK41" s="316">
        <f t="shared" si="13"/>
        <v>0</v>
      </c>
      <c r="AL41" s="316">
        <f t="shared" si="14"/>
        <v>0</v>
      </c>
      <c r="AN41" s="318">
        <v>21</v>
      </c>
      <c r="AO41" s="318">
        <f t="shared" si="24"/>
        <v>0</v>
      </c>
      <c r="AP41" s="318">
        <f t="shared" si="25"/>
        <v>0</v>
      </c>
      <c r="AQ41" s="319" t="s">
        <v>200</v>
      </c>
      <c r="AV41" s="318">
        <f t="shared" si="15"/>
        <v>0</v>
      </c>
      <c r="AW41" s="318">
        <f t="shared" si="16"/>
        <v>0</v>
      </c>
      <c r="AX41" s="318">
        <f t="shared" si="17"/>
        <v>0</v>
      </c>
      <c r="AY41" s="320" t="s">
        <v>4578</v>
      </c>
      <c r="AZ41" s="320" t="s">
        <v>4579</v>
      </c>
      <c r="BA41" s="298" t="s">
        <v>4551</v>
      </c>
      <c r="BC41" s="318">
        <f t="shared" si="18"/>
        <v>0</v>
      </c>
      <c r="BD41" s="318">
        <f t="shared" si="19"/>
        <v>0</v>
      </c>
      <c r="BE41" s="318">
        <v>0</v>
      </c>
      <c r="BF41" s="318">
        <f t="shared" si="20"/>
        <v>0</v>
      </c>
      <c r="BH41" s="316">
        <f t="shared" si="21"/>
        <v>0</v>
      </c>
      <c r="BI41" s="316">
        <f t="shared" si="22"/>
        <v>0</v>
      </c>
      <c r="BJ41" s="316">
        <f t="shared" si="23"/>
        <v>0</v>
      </c>
      <c r="BK41" s="316" t="s">
        <v>815</v>
      </c>
      <c r="BL41" s="318">
        <v>730</v>
      </c>
    </row>
    <row r="42" spans="1:64">
      <c r="A42" s="322"/>
      <c r="B42" s="323"/>
      <c r="C42" s="323" t="s">
        <v>4604</v>
      </c>
      <c r="D42" s="441" t="s">
        <v>4605</v>
      </c>
      <c r="E42" s="442"/>
      <c r="F42" s="324" t="s">
        <v>4502</v>
      </c>
      <c r="G42" s="324" t="s">
        <v>4502</v>
      </c>
      <c r="H42" s="324" t="s">
        <v>4502</v>
      </c>
      <c r="I42" s="313">
        <f>SUM(I43:I55)</f>
        <v>0</v>
      </c>
      <c r="J42" s="313">
        <f>SUM(J43:J55)</f>
        <v>0</v>
      </c>
      <c r="K42" s="313">
        <f>SUM(K43:K55)</f>
        <v>0</v>
      </c>
      <c r="L42" s="298"/>
      <c r="M42" s="313">
        <f>SUM(M43:M55)</f>
        <v>0.61650000000000005</v>
      </c>
      <c r="N42" s="325"/>
      <c r="O42" s="291"/>
      <c r="AI42" s="298"/>
      <c r="AS42" s="313">
        <f>SUM(AJ43:AJ55)</f>
        <v>0</v>
      </c>
      <c r="AT42" s="313">
        <f>SUM(AK43:AK55)</f>
        <v>0</v>
      </c>
      <c r="AU42" s="313">
        <f>SUM(AL43:AL55)</f>
        <v>0</v>
      </c>
    </row>
    <row r="43" spans="1:64">
      <c r="A43" s="314" t="s">
        <v>483</v>
      </c>
      <c r="B43" s="315"/>
      <c r="C43" s="315" t="s">
        <v>4606</v>
      </c>
      <c r="D43" s="443" t="s">
        <v>4607</v>
      </c>
      <c r="E43" s="444"/>
      <c r="F43" s="315" t="s">
        <v>476</v>
      </c>
      <c r="G43" s="316">
        <v>150</v>
      </c>
      <c r="H43" s="316"/>
      <c r="I43" s="316">
        <f t="shared" ref="I43:I55" si="26">G43*AO43</f>
        <v>0</v>
      </c>
      <c r="J43" s="316">
        <f t="shared" ref="J43:J55" si="27">G43*AP43</f>
        <v>0</v>
      </c>
      <c r="K43" s="316">
        <f t="shared" ref="K43:K55" si="28">G43*H43</f>
        <v>0</v>
      </c>
      <c r="L43" s="316">
        <v>7.6000000000000004E-4</v>
      </c>
      <c r="M43" s="316">
        <f t="shared" ref="M43:M55" si="29">G43*L43</f>
        <v>0.114</v>
      </c>
      <c r="N43" s="317" t="s">
        <v>4548</v>
      </c>
      <c r="O43" s="291"/>
      <c r="Z43" s="318">
        <f t="shared" ref="Z43:Z55" si="30">IF(AQ43="5",BJ43,0)</f>
        <v>0</v>
      </c>
      <c r="AB43" s="318">
        <f t="shared" ref="AB43:AB55" si="31">IF(AQ43="1",BH43,0)</f>
        <v>0</v>
      </c>
      <c r="AC43" s="318">
        <f t="shared" ref="AC43:AC55" si="32">IF(AQ43="1",BI43,0)</f>
        <v>0</v>
      </c>
      <c r="AD43" s="318">
        <f t="shared" ref="AD43:AD55" si="33">IF(AQ43="7",BH43,0)</f>
        <v>0</v>
      </c>
      <c r="AE43" s="318">
        <f t="shared" ref="AE43:AE55" si="34">IF(AQ43="7",BI43,0)</f>
        <v>0</v>
      </c>
      <c r="AF43" s="318">
        <f t="shared" ref="AF43:AF55" si="35">IF(AQ43="2",BH43,0)</f>
        <v>0</v>
      </c>
      <c r="AG43" s="318">
        <f t="shared" ref="AG43:AG55" si="36">IF(AQ43="2",BI43,0)</f>
        <v>0</v>
      </c>
      <c r="AH43" s="318">
        <f t="shared" ref="AH43:AH55" si="37">IF(AQ43="0",BJ43,0)</f>
        <v>0</v>
      </c>
      <c r="AI43" s="298"/>
      <c r="AJ43" s="316">
        <f t="shared" ref="AJ43:AJ55" si="38">IF(AN43=0,K43,0)</f>
        <v>0</v>
      </c>
      <c r="AK43" s="316">
        <f t="shared" ref="AK43:AK55" si="39">IF(AN43=15,K43,0)</f>
        <v>0</v>
      </c>
      <c r="AL43" s="316">
        <f t="shared" ref="AL43:AL55" si="40">IF(AN43=21,K43,0)</f>
        <v>0</v>
      </c>
      <c r="AN43" s="318">
        <v>21</v>
      </c>
      <c r="AO43" s="318">
        <f>H43*0.588695652173913</f>
        <v>0</v>
      </c>
      <c r="AP43" s="318">
        <f>H43*(1-0.588695652173913)</f>
        <v>0</v>
      </c>
      <c r="AQ43" s="319" t="s">
        <v>241</v>
      </c>
      <c r="AV43" s="318">
        <f t="shared" ref="AV43:AV55" si="41">AW43+AX43</f>
        <v>0</v>
      </c>
      <c r="AW43" s="318">
        <f t="shared" ref="AW43:AW55" si="42">G43*AO43</f>
        <v>0</v>
      </c>
      <c r="AX43" s="318">
        <f t="shared" ref="AX43:AX55" si="43">G43*AP43</f>
        <v>0</v>
      </c>
      <c r="AY43" s="320" t="s">
        <v>4608</v>
      </c>
      <c r="AZ43" s="320" t="s">
        <v>4579</v>
      </c>
      <c r="BA43" s="298" t="s">
        <v>4551</v>
      </c>
      <c r="BC43" s="318">
        <f t="shared" ref="BC43:BC55" si="44">AW43+AX43</f>
        <v>0</v>
      </c>
      <c r="BD43" s="318">
        <f t="shared" ref="BD43:BD55" si="45">H43/(100-BE43)*100</f>
        <v>0</v>
      </c>
      <c r="BE43" s="318">
        <v>0</v>
      </c>
      <c r="BF43" s="318">
        <f t="shared" ref="BF43:BF55" si="46">M43</f>
        <v>0.114</v>
      </c>
      <c r="BH43" s="316">
        <f t="shared" ref="BH43:BH55" si="47">G43*AO43</f>
        <v>0</v>
      </c>
      <c r="BI43" s="316">
        <f t="shared" ref="BI43:BI55" si="48">G43*AP43</f>
        <v>0</v>
      </c>
      <c r="BJ43" s="316">
        <f t="shared" ref="BJ43:BJ55" si="49">G43*H43</f>
        <v>0</v>
      </c>
      <c r="BK43" s="316" t="s">
        <v>815</v>
      </c>
      <c r="BL43" s="318">
        <v>733</v>
      </c>
    </row>
    <row r="44" spans="1:64">
      <c r="A44" s="314" t="s">
        <v>490</v>
      </c>
      <c r="B44" s="315"/>
      <c r="C44" s="315" t="s">
        <v>4609</v>
      </c>
      <c r="D44" s="443" t="s">
        <v>4610</v>
      </c>
      <c r="E44" s="444"/>
      <c r="F44" s="315" t="s">
        <v>476</v>
      </c>
      <c r="G44" s="316">
        <v>110</v>
      </c>
      <c r="H44" s="316"/>
      <c r="I44" s="316">
        <f t="shared" si="26"/>
        <v>0</v>
      </c>
      <c r="J44" s="316">
        <f t="shared" si="27"/>
        <v>0</v>
      </c>
      <c r="K44" s="316">
        <f t="shared" si="28"/>
        <v>0</v>
      </c>
      <c r="L44" s="316">
        <v>8.8000000000000003E-4</v>
      </c>
      <c r="M44" s="316">
        <f t="shared" si="29"/>
        <v>9.6799999999999997E-2</v>
      </c>
      <c r="N44" s="317" t="s">
        <v>4548</v>
      </c>
      <c r="O44" s="291"/>
      <c r="Z44" s="318">
        <f t="shared" si="30"/>
        <v>0</v>
      </c>
      <c r="AB44" s="318">
        <f t="shared" si="31"/>
        <v>0</v>
      </c>
      <c r="AC44" s="318">
        <f t="shared" si="32"/>
        <v>0</v>
      </c>
      <c r="AD44" s="318">
        <f t="shared" si="33"/>
        <v>0</v>
      </c>
      <c r="AE44" s="318">
        <f t="shared" si="34"/>
        <v>0</v>
      </c>
      <c r="AF44" s="318">
        <f t="shared" si="35"/>
        <v>0</v>
      </c>
      <c r="AG44" s="318">
        <f t="shared" si="36"/>
        <v>0</v>
      </c>
      <c r="AH44" s="318">
        <f t="shared" si="37"/>
        <v>0</v>
      </c>
      <c r="AI44" s="298"/>
      <c r="AJ44" s="316">
        <f t="shared" si="38"/>
        <v>0</v>
      </c>
      <c r="AK44" s="316">
        <f t="shared" si="39"/>
        <v>0</v>
      </c>
      <c r="AL44" s="316">
        <f t="shared" si="40"/>
        <v>0</v>
      </c>
      <c r="AN44" s="318">
        <v>21</v>
      </c>
      <c r="AO44" s="318">
        <f>H44*0.641507853403141</f>
        <v>0</v>
      </c>
      <c r="AP44" s="318">
        <f>H44*(1-0.641507853403141)</f>
        <v>0</v>
      </c>
      <c r="AQ44" s="319" t="s">
        <v>241</v>
      </c>
      <c r="AV44" s="318">
        <f t="shared" si="41"/>
        <v>0</v>
      </c>
      <c r="AW44" s="318">
        <f t="shared" si="42"/>
        <v>0</v>
      </c>
      <c r="AX44" s="318">
        <f t="shared" si="43"/>
        <v>0</v>
      </c>
      <c r="AY44" s="320" t="s">
        <v>4608</v>
      </c>
      <c r="AZ44" s="320" t="s">
        <v>4579</v>
      </c>
      <c r="BA44" s="298" t="s">
        <v>4551</v>
      </c>
      <c r="BC44" s="318">
        <f t="shared" si="44"/>
        <v>0</v>
      </c>
      <c r="BD44" s="318">
        <f t="shared" si="45"/>
        <v>0</v>
      </c>
      <c r="BE44" s="318">
        <v>0</v>
      </c>
      <c r="BF44" s="318">
        <f t="shared" si="46"/>
        <v>9.6799999999999997E-2</v>
      </c>
      <c r="BH44" s="316">
        <f t="shared" si="47"/>
        <v>0</v>
      </c>
      <c r="BI44" s="316">
        <f t="shared" si="48"/>
        <v>0</v>
      </c>
      <c r="BJ44" s="316">
        <f t="shared" si="49"/>
        <v>0</v>
      </c>
      <c r="BK44" s="316" t="s">
        <v>815</v>
      </c>
      <c r="BL44" s="318">
        <v>733</v>
      </c>
    </row>
    <row r="45" spans="1:64">
      <c r="A45" s="314" t="s">
        <v>496</v>
      </c>
      <c r="B45" s="315"/>
      <c r="C45" s="315" t="s">
        <v>4611</v>
      </c>
      <c r="D45" s="443" t="s">
        <v>4612</v>
      </c>
      <c r="E45" s="444"/>
      <c r="F45" s="315" t="s">
        <v>476</v>
      </c>
      <c r="G45" s="316">
        <v>10</v>
      </c>
      <c r="H45" s="316"/>
      <c r="I45" s="316">
        <f t="shared" si="26"/>
        <v>0</v>
      </c>
      <c r="J45" s="316">
        <f t="shared" si="27"/>
        <v>0</v>
      </c>
      <c r="K45" s="316">
        <f t="shared" si="28"/>
        <v>0</v>
      </c>
      <c r="L45" s="316">
        <v>1.01E-3</v>
      </c>
      <c r="M45" s="316">
        <f t="shared" si="29"/>
        <v>1.0100000000000001E-2</v>
      </c>
      <c r="N45" s="317" t="s">
        <v>4548</v>
      </c>
      <c r="O45" s="291"/>
      <c r="Z45" s="318">
        <f t="shared" si="30"/>
        <v>0</v>
      </c>
      <c r="AB45" s="318">
        <f t="shared" si="31"/>
        <v>0</v>
      </c>
      <c r="AC45" s="318">
        <f t="shared" si="32"/>
        <v>0</v>
      </c>
      <c r="AD45" s="318">
        <f t="shared" si="33"/>
        <v>0</v>
      </c>
      <c r="AE45" s="318">
        <f t="shared" si="34"/>
        <v>0</v>
      </c>
      <c r="AF45" s="318">
        <f t="shared" si="35"/>
        <v>0</v>
      </c>
      <c r="AG45" s="318">
        <f t="shared" si="36"/>
        <v>0</v>
      </c>
      <c r="AH45" s="318">
        <f t="shared" si="37"/>
        <v>0</v>
      </c>
      <c r="AI45" s="298"/>
      <c r="AJ45" s="316">
        <f t="shared" si="38"/>
        <v>0</v>
      </c>
      <c r="AK45" s="316">
        <f t="shared" si="39"/>
        <v>0</v>
      </c>
      <c r="AL45" s="316">
        <f t="shared" si="40"/>
        <v>0</v>
      </c>
      <c r="AN45" s="318">
        <v>21</v>
      </c>
      <c r="AO45" s="318">
        <f>H45*0.681405405405405</f>
        <v>0</v>
      </c>
      <c r="AP45" s="318">
        <f>H45*(1-0.681405405405405)</f>
        <v>0</v>
      </c>
      <c r="AQ45" s="319" t="s">
        <v>241</v>
      </c>
      <c r="AV45" s="318">
        <f t="shared" si="41"/>
        <v>0</v>
      </c>
      <c r="AW45" s="318">
        <f t="shared" si="42"/>
        <v>0</v>
      </c>
      <c r="AX45" s="318">
        <f t="shared" si="43"/>
        <v>0</v>
      </c>
      <c r="AY45" s="320" t="s">
        <v>4608</v>
      </c>
      <c r="AZ45" s="320" t="s">
        <v>4579</v>
      </c>
      <c r="BA45" s="298" t="s">
        <v>4551</v>
      </c>
      <c r="BC45" s="318">
        <f t="shared" si="44"/>
        <v>0</v>
      </c>
      <c r="BD45" s="318">
        <f t="shared" si="45"/>
        <v>0</v>
      </c>
      <c r="BE45" s="318">
        <v>0</v>
      </c>
      <c r="BF45" s="318">
        <f t="shared" si="46"/>
        <v>1.0100000000000001E-2</v>
      </c>
      <c r="BH45" s="316">
        <f t="shared" si="47"/>
        <v>0</v>
      </c>
      <c r="BI45" s="316">
        <f t="shared" si="48"/>
        <v>0</v>
      </c>
      <c r="BJ45" s="316">
        <f t="shared" si="49"/>
        <v>0</v>
      </c>
      <c r="BK45" s="316" t="s">
        <v>815</v>
      </c>
      <c r="BL45" s="318">
        <v>733</v>
      </c>
    </row>
    <row r="46" spans="1:64">
      <c r="A46" s="314" t="s">
        <v>502</v>
      </c>
      <c r="B46" s="315"/>
      <c r="C46" s="315" t="s">
        <v>4613</v>
      </c>
      <c r="D46" s="443" t="s">
        <v>4614</v>
      </c>
      <c r="E46" s="444"/>
      <c r="F46" s="315" t="s">
        <v>476</v>
      </c>
      <c r="G46" s="316">
        <v>45</v>
      </c>
      <c r="H46" s="316"/>
      <c r="I46" s="316">
        <f t="shared" si="26"/>
        <v>0</v>
      </c>
      <c r="J46" s="316">
        <f t="shared" si="27"/>
        <v>0</v>
      </c>
      <c r="K46" s="316">
        <f t="shared" si="28"/>
        <v>0</v>
      </c>
      <c r="L46" s="316">
        <v>1.6000000000000001E-3</v>
      </c>
      <c r="M46" s="316">
        <f t="shared" si="29"/>
        <v>7.2000000000000008E-2</v>
      </c>
      <c r="N46" s="317" t="s">
        <v>4548</v>
      </c>
      <c r="O46" s="291"/>
      <c r="Z46" s="318">
        <f t="shared" si="30"/>
        <v>0</v>
      </c>
      <c r="AB46" s="318">
        <f t="shared" si="31"/>
        <v>0</v>
      </c>
      <c r="AC46" s="318">
        <f t="shared" si="32"/>
        <v>0</v>
      </c>
      <c r="AD46" s="318">
        <f t="shared" si="33"/>
        <v>0</v>
      </c>
      <c r="AE46" s="318">
        <f t="shared" si="34"/>
        <v>0</v>
      </c>
      <c r="AF46" s="318">
        <f t="shared" si="35"/>
        <v>0</v>
      </c>
      <c r="AG46" s="318">
        <f t="shared" si="36"/>
        <v>0</v>
      </c>
      <c r="AH46" s="318">
        <f t="shared" si="37"/>
        <v>0</v>
      </c>
      <c r="AI46" s="298"/>
      <c r="AJ46" s="316">
        <f t="shared" si="38"/>
        <v>0</v>
      </c>
      <c r="AK46" s="316">
        <f t="shared" si="39"/>
        <v>0</v>
      </c>
      <c r="AL46" s="316">
        <f t="shared" si="40"/>
        <v>0</v>
      </c>
      <c r="AN46" s="318">
        <v>21</v>
      </c>
      <c r="AO46" s="318">
        <f>H46*0.760567010309278</f>
        <v>0</v>
      </c>
      <c r="AP46" s="318">
        <f>H46*(1-0.760567010309278)</f>
        <v>0</v>
      </c>
      <c r="AQ46" s="319" t="s">
        <v>241</v>
      </c>
      <c r="AV46" s="318">
        <f t="shared" si="41"/>
        <v>0</v>
      </c>
      <c r="AW46" s="318">
        <f t="shared" si="42"/>
        <v>0</v>
      </c>
      <c r="AX46" s="318">
        <f t="shared" si="43"/>
        <v>0</v>
      </c>
      <c r="AY46" s="320" t="s">
        <v>4608</v>
      </c>
      <c r="AZ46" s="320" t="s">
        <v>4579</v>
      </c>
      <c r="BA46" s="298" t="s">
        <v>4551</v>
      </c>
      <c r="BC46" s="318">
        <f t="shared" si="44"/>
        <v>0</v>
      </c>
      <c r="BD46" s="318">
        <f t="shared" si="45"/>
        <v>0</v>
      </c>
      <c r="BE46" s="318">
        <v>0</v>
      </c>
      <c r="BF46" s="318">
        <f t="shared" si="46"/>
        <v>7.2000000000000008E-2</v>
      </c>
      <c r="BH46" s="316">
        <f t="shared" si="47"/>
        <v>0</v>
      </c>
      <c r="BI46" s="316">
        <f t="shared" si="48"/>
        <v>0</v>
      </c>
      <c r="BJ46" s="316">
        <f t="shared" si="49"/>
        <v>0</v>
      </c>
      <c r="BK46" s="316" t="s">
        <v>815</v>
      </c>
      <c r="BL46" s="318">
        <v>733</v>
      </c>
    </row>
    <row r="47" spans="1:64">
      <c r="A47" s="314" t="s">
        <v>504</v>
      </c>
      <c r="B47" s="315"/>
      <c r="C47" s="315" t="s">
        <v>4615</v>
      </c>
      <c r="D47" s="443" t="s">
        <v>4616</v>
      </c>
      <c r="E47" s="444"/>
      <c r="F47" s="315" t="s">
        <v>476</v>
      </c>
      <c r="G47" s="316">
        <v>50</v>
      </c>
      <c r="H47" s="316"/>
      <c r="I47" s="316">
        <f t="shared" si="26"/>
        <v>0</v>
      </c>
      <c r="J47" s="316">
        <f t="shared" si="27"/>
        <v>0</v>
      </c>
      <c r="K47" s="316">
        <f t="shared" si="28"/>
        <v>0</v>
      </c>
      <c r="L47" s="316">
        <v>1.9599999999999999E-3</v>
      </c>
      <c r="M47" s="316">
        <f t="shared" si="29"/>
        <v>9.8000000000000004E-2</v>
      </c>
      <c r="N47" s="317" t="s">
        <v>4548</v>
      </c>
      <c r="O47" s="291"/>
      <c r="Z47" s="318">
        <f t="shared" si="30"/>
        <v>0</v>
      </c>
      <c r="AB47" s="318">
        <f t="shared" si="31"/>
        <v>0</v>
      </c>
      <c r="AC47" s="318">
        <f t="shared" si="32"/>
        <v>0</v>
      </c>
      <c r="AD47" s="318">
        <f t="shared" si="33"/>
        <v>0</v>
      </c>
      <c r="AE47" s="318">
        <f t="shared" si="34"/>
        <v>0</v>
      </c>
      <c r="AF47" s="318">
        <f t="shared" si="35"/>
        <v>0</v>
      </c>
      <c r="AG47" s="318">
        <f t="shared" si="36"/>
        <v>0</v>
      </c>
      <c r="AH47" s="318">
        <f t="shared" si="37"/>
        <v>0</v>
      </c>
      <c r="AI47" s="298"/>
      <c r="AJ47" s="316">
        <f t="shared" si="38"/>
        <v>0</v>
      </c>
      <c r="AK47" s="316">
        <f t="shared" si="39"/>
        <v>0</v>
      </c>
      <c r="AL47" s="316">
        <f t="shared" si="40"/>
        <v>0</v>
      </c>
      <c r="AN47" s="318">
        <v>21</v>
      </c>
      <c r="AO47" s="318">
        <f>H47*0.805618305744888</f>
        <v>0</v>
      </c>
      <c r="AP47" s="318">
        <f>H47*(1-0.805618305744888)</f>
        <v>0</v>
      </c>
      <c r="AQ47" s="319" t="s">
        <v>241</v>
      </c>
      <c r="AV47" s="318">
        <f t="shared" si="41"/>
        <v>0</v>
      </c>
      <c r="AW47" s="318">
        <f t="shared" si="42"/>
        <v>0</v>
      </c>
      <c r="AX47" s="318">
        <f t="shared" si="43"/>
        <v>0</v>
      </c>
      <c r="AY47" s="320" t="s">
        <v>4608</v>
      </c>
      <c r="AZ47" s="320" t="s">
        <v>4579</v>
      </c>
      <c r="BA47" s="298" t="s">
        <v>4551</v>
      </c>
      <c r="BC47" s="318">
        <f t="shared" si="44"/>
        <v>0</v>
      </c>
      <c r="BD47" s="318">
        <f t="shared" si="45"/>
        <v>0</v>
      </c>
      <c r="BE47" s="318">
        <v>0</v>
      </c>
      <c r="BF47" s="318">
        <f t="shared" si="46"/>
        <v>9.8000000000000004E-2</v>
      </c>
      <c r="BH47" s="316">
        <f t="shared" si="47"/>
        <v>0</v>
      </c>
      <c r="BI47" s="316">
        <f t="shared" si="48"/>
        <v>0</v>
      </c>
      <c r="BJ47" s="316">
        <f t="shared" si="49"/>
        <v>0</v>
      </c>
      <c r="BK47" s="316" t="s">
        <v>815</v>
      </c>
      <c r="BL47" s="318">
        <v>733</v>
      </c>
    </row>
    <row r="48" spans="1:64">
      <c r="A48" s="314" t="s">
        <v>507</v>
      </c>
      <c r="B48" s="315"/>
      <c r="C48" s="315" t="s">
        <v>4617</v>
      </c>
      <c r="D48" s="443" t="s">
        <v>4618</v>
      </c>
      <c r="E48" s="444"/>
      <c r="F48" s="315" t="s">
        <v>476</v>
      </c>
      <c r="G48" s="316">
        <v>56</v>
      </c>
      <c r="H48" s="316"/>
      <c r="I48" s="316">
        <f t="shared" si="26"/>
        <v>0</v>
      </c>
      <c r="J48" s="316">
        <f t="shared" si="27"/>
        <v>0</v>
      </c>
      <c r="K48" s="316">
        <f t="shared" si="28"/>
        <v>0</v>
      </c>
      <c r="L48" s="316">
        <v>2.31E-3</v>
      </c>
      <c r="M48" s="316">
        <f t="shared" si="29"/>
        <v>0.12936</v>
      </c>
      <c r="N48" s="317" t="s">
        <v>4548</v>
      </c>
      <c r="O48" s="291"/>
      <c r="Z48" s="318">
        <f t="shared" si="30"/>
        <v>0</v>
      </c>
      <c r="AB48" s="318">
        <f t="shared" si="31"/>
        <v>0</v>
      </c>
      <c r="AC48" s="318">
        <f t="shared" si="32"/>
        <v>0</v>
      </c>
      <c r="AD48" s="318">
        <f t="shared" si="33"/>
        <v>0</v>
      </c>
      <c r="AE48" s="318">
        <f t="shared" si="34"/>
        <v>0</v>
      </c>
      <c r="AF48" s="318">
        <f t="shared" si="35"/>
        <v>0</v>
      </c>
      <c r="AG48" s="318">
        <f t="shared" si="36"/>
        <v>0</v>
      </c>
      <c r="AH48" s="318">
        <f t="shared" si="37"/>
        <v>0</v>
      </c>
      <c r="AI48" s="298"/>
      <c r="AJ48" s="316">
        <f t="shared" si="38"/>
        <v>0</v>
      </c>
      <c r="AK48" s="316">
        <f t="shared" si="39"/>
        <v>0</v>
      </c>
      <c r="AL48" s="316">
        <f t="shared" si="40"/>
        <v>0</v>
      </c>
      <c r="AN48" s="318">
        <v>21</v>
      </c>
      <c r="AO48" s="318">
        <f>H48*0.822740683229814</f>
        <v>0</v>
      </c>
      <c r="AP48" s="318">
        <f>H48*(1-0.822740683229814)</f>
        <v>0</v>
      </c>
      <c r="AQ48" s="319" t="s">
        <v>241</v>
      </c>
      <c r="AV48" s="318">
        <f t="shared" si="41"/>
        <v>0</v>
      </c>
      <c r="AW48" s="318">
        <f t="shared" si="42"/>
        <v>0</v>
      </c>
      <c r="AX48" s="318">
        <f t="shared" si="43"/>
        <v>0</v>
      </c>
      <c r="AY48" s="320" t="s">
        <v>4608</v>
      </c>
      <c r="AZ48" s="320" t="s">
        <v>4579</v>
      </c>
      <c r="BA48" s="298" t="s">
        <v>4551</v>
      </c>
      <c r="BC48" s="318">
        <f t="shared" si="44"/>
        <v>0</v>
      </c>
      <c r="BD48" s="318">
        <f t="shared" si="45"/>
        <v>0</v>
      </c>
      <c r="BE48" s="318">
        <v>0</v>
      </c>
      <c r="BF48" s="318">
        <f t="shared" si="46"/>
        <v>0.12936</v>
      </c>
      <c r="BH48" s="316">
        <f t="shared" si="47"/>
        <v>0</v>
      </c>
      <c r="BI48" s="316">
        <f t="shared" si="48"/>
        <v>0</v>
      </c>
      <c r="BJ48" s="316">
        <f t="shared" si="49"/>
        <v>0</v>
      </c>
      <c r="BK48" s="316" t="s">
        <v>815</v>
      </c>
      <c r="BL48" s="318">
        <v>733</v>
      </c>
    </row>
    <row r="49" spans="1:64">
      <c r="A49" s="314" t="s">
        <v>509</v>
      </c>
      <c r="B49" s="315"/>
      <c r="C49" s="315" t="s">
        <v>4619</v>
      </c>
      <c r="D49" s="443" t="s">
        <v>4620</v>
      </c>
      <c r="E49" s="444"/>
      <c r="F49" s="315" t="s">
        <v>476</v>
      </c>
      <c r="G49" s="316">
        <v>10</v>
      </c>
      <c r="H49" s="316"/>
      <c r="I49" s="316">
        <f t="shared" si="26"/>
        <v>0</v>
      </c>
      <c r="J49" s="316">
        <f t="shared" si="27"/>
        <v>0</v>
      </c>
      <c r="K49" s="316">
        <f t="shared" si="28"/>
        <v>0</v>
      </c>
      <c r="L49" s="316">
        <v>3.7399999999999998E-3</v>
      </c>
      <c r="M49" s="316">
        <f t="shared" si="29"/>
        <v>3.7399999999999996E-2</v>
      </c>
      <c r="N49" s="317" t="s">
        <v>4548</v>
      </c>
      <c r="O49" s="291"/>
      <c r="Z49" s="318">
        <f t="shared" si="30"/>
        <v>0</v>
      </c>
      <c r="AB49" s="318">
        <f t="shared" si="31"/>
        <v>0</v>
      </c>
      <c r="AC49" s="318">
        <f t="shared" si="32"/>
        <v>0</v>
      </c>
      <c r="AD49" s="318">
        <f t="shared" si="33"/>
        <v>0</v>
      </c>
      <c r="AE49" s="318">
        <f t="shared" si="34"/>
        <v>0</v>
      </c>
      <c r="AF49" s="318">
        <f t="shared" si="35"/>
        <v>0</v>
      </c>
      <c r="AG49" s="318">
        <f t="shared" si="36"/>
        <v>0</v>
      </c>
      <c r="AH49" s="318">
        <f t="shared" si="37"/>
        <v>0</v>
      </c>
      <c r="AI49" s="298"/>
      <c r="AJ49" s="316">
        <f t="shared" si="38"/>
        <v>0</v>
      </c>
      <c r="AK49" s="316">
        <f t="shared" si="39"/>
        <v>0</v>
      </c>
      <c r="AL49" s="316">
        <f t="shared" si="40"/>
        <v>0</v>
      </c>
      <c r="AN49" s="318">
        <v>21</v>
      </c>
      <c r="AO49" s="318">
        <f>H49*0.867997972630512</f>
        <v>0</v>
      </c>
      <c r="AP49" s="318">
        <f>H49*(1-0.867997972630512)</f>
        <v>0</v>
      </c>
      <c r="AQ49" s="319" t="s">
        <v>241</v>
      </c>
      <c r="AV49" s="318">
        <f t="shared" si="41"/>
        <v>0</v>
      </c>
      <c r="AW49" s="318">
        <f t="shared" si="42"/>
        <v>0</v>
      </c>
      <c r="AX49" s="318">
        <f t="shared" si="43"/>
        <v>0</v>
      </c>
      <c r="AY49" s="320" t="s">
        <v>4608</v>
      </c>
      <c r="AZ49" s="320" t="s">
        <v>4579</v>
      </c>
      <c r="BA49" s="298" t="s">
        <v>4551</v>
      </c>
      <c r="BC49" s="318">
        <f t="shared" si="44"/>
        <v>0</v>
      </c>
      <c r="BD49" s="318">
        <f t="shared" si="45"/>
        <v>0</v>
      </c>
      <c r="BE49" s="318">
        <v>0</v>
      </c>
      <c r="BF49" s="318">
        <f t="shared" si="46"/>
        <v>3.7399999999999996E-2</v>
      </c>
      <c r="BH49" s="316">
        <f t="shared" si="47"/>
        <v>0</v>
      </c>
      <c r="BI49" s="316">
        <f t="shared" si="48"/>
        <v>0</v>
      </c>
      <c r="BJ49" s="316">
        <f t="shared" si="49"/>
        <v>0</v>
      </c>
      <c r="BK49" s="316" t="s">
        <v>815</v>
      </c>
      <c r="BL49" s="318">
        <v>733</v>
      </c>
    </row>
    <row r="50" spans="1:64">
      <c r="A50" s="314" t="s">
        <v>512</v>
      </c>
      <c r="B50" s="315"/>
      <c r="C50" s="315" t="s">
        <v>4621</v>
      </c>
      <c r="D50" s="443" t="s">
        <v>4622</v>
      </c>
      <c r="E50" s="444"/>
      <c r="F50" s="315" t="s">
        <v>476</v>
      </c>
      <c r="G50" s="316">
        <v>365</v>
      </c>
      <c r="H50" s="316"/>
      <c r="I50" s="316">
        <f t="shared" si="26"/>
        <v>0</v>
      </c>
      <c r="J50" s="316">
        <f t="shared" si="27"/>
        <v>0</v>
      </c>
      <c r="K50" s="316">
        <f t="shared" si="28"/>
        <v>0</v>
      </c>
      <c r="L50" s="316">
        <v>0</v>
      </c>
      <c r="M50" s="316">
        <f t="shared" si="29"/>
        <v>0</v>
      </c>
      <c r="N50" s="317" t="s">
        <v>4548</v>
      </c>
      <c r="O50" s="291"/>
      <c r="Z50" s="318">
        <f t="shared" si="30"/>
        <v>0</v>
      </c>
      <c r="AB50" s="318">
        <f t="shared" si="31"/>
        <v>0</v>
      </c>
      <c r="AC50" s="318">
        <f t="shared" si="32"/>
        <v>0</v>
      </c>
      <c r="AD50" s="318">
        <f t="shared" si="33"/>
        <v>0</v>
      </c>
      <c r="AE50" s="318">
        <f t="shared" si="34"/>
        <v>0</v>
      </c>
      <c r="AF50" s="318">
        <f t="shared" si="35"/>
        <v>0</v>
      </c>
      <c r="AG50" s="318">
        <f t="shared" si="36"/>
        <v>0</v>
      </c>
      <c r="AH50" s="318">
        <f t="shared" si="37"/>
        <v>0</v>
      </c>
      <c r="AI50" s="298"/>
      <c r="AJ50" s="316">
        <f t="shared" si="38"/>
        <v>0</v>
      </c>
      <c r="AK50" s="316">
        <f t="shared" si="39"/>
        <v>0</v>
      </c>
      <c r="AL50" s="316">
        <f t="shared" si="40"/>
        <v>0</v>
      </c>
      <c r="AN50" s="318">
        <v>21</v>
      </c>
      <c r="AO50" s="318">
        <f>H50*0.0184210526315789</f>
        <v>0</v>
      </c>
      <c r="AP50" s="318">
        <f>H50*(1-0.0184210526315789)</f>
        <v>0</v>
      </c>
      <c r="AQ50" s="319" t="s">
        <v>241</v>
      </c>
      <c r="AV50" s="318">
        <f t="shared" si="41"/>
        <v>0</v>
      </c>
      <c r="AW50" s="318">
        <f t="shared" si="42"/>
        <v>0</v>
      </c>
      <c r="AX50" s="318">
        <f t="shared" si="43"/>
        <v>0</v>
      </c>
      <c r="AY50" s="320" t="s">
        <v>4608</v>
      </c>
      <c r="AZ50" s="320" t="s">
        <v>4579</v>
      </c>
      <c r="BA50" s="298" t="s">
        <v>4551</v>
      </c>
      <c r="BC50" s="318">
        <f t="shared" si="44"/>
        <v>0</v>
      </c>
      <c r="BD50" s="318">
        <f t="shared" si="45"/>
        <v>0</v>
      </c>
      <c r="BE50" s="318">
        <v>0</v>
      </c>
      <c r="BF50" s="318">
        <f t="shared" si="46"/>
        <v>0</v>
      </c>
      <c r="BH50" s="316">
        <f t="shared" si="47"/>
        <v>0</v>
      </c>
      <c r="BI50" s="316">
        <f t="shared" si="48"/>
        <v>0</v>
      </c>
      <c r="BJ50" s="316">
        <f t="shared" si="49"/>
        <v>0</v>
      </c>
      <c r="BK50" s="316" t="s">
        <v>815</v>
      </c>
      <c r="BL50" s="318">
        <v>733</v>
      </c>
    </row>
    <row r="51" spans="1:64">
      <c r="A51" s="314" t="s">
        <v>520</v>
      </c>
      <c r="B51" s="315"/>
      <c r="C51" s="315" t="s">
        <v>4623</v>
      </c>
      <c r="D51" s="443" t="s">
        <v>4624</v>
      </c>
      <c r="E51" s="444"/>
      <c r="F51" s="315" t="s">
        <v>476</v>
      </c>
      <c r="G51" s="316">
        <v>66</v>
      </c>
      <c r="H51" s="316"/>
      <c r="I51" s="316">
        <f t="shared" si="26"/>
        <v>0</v>
      </c>
      <c r="J51" s="316">
        <f t="shared" si="27"/>
        <v>0</v>
      </c>
      <c r="K51" s="316">
        <f t="shared" si="28"/>
        <v>0</v>
      </c>
      <c r="L51" s="316">
        <v>0</v>
      </c>
      <c r="M51" s="316">
        <f t="shared" si="29"/>
        <v>0</v>
      </c>
      <c r="N51" s="317" t="s">
        <v>4548</v>
      </c>
      <c r="O51" s="291"/>
      <c r="Z51" s="318">
        <f t="shared" si="30"/>
        <v>0</v>
      </c>
      <c r="AB51" s="318">
        <f t="shared" si="31"/>
        <v>0</v>
      </c>
      <c r="AC51" s="318">
        <f t="shared" si="32"/>
        <v>0</v>
      </c>
      <c r="AD51" s="318">
        <f t="shared" si="33"/>
        <v>0</v>
      </c>
      <c r="AE51" s="318">
        <f t="shared" si="34"/>
        <v>0</v>
      </c>
      <c r="AF51" s="318">
        <f t="shared" si="35"/>
        <v>0</v>
      </c>
      <c r="AG51" s="318">
        <f t="shared" si="36"/>
        <v>0</v>
      </c>
      <c r="AH51" s="318">
        <f t="shared" si="37"/>
        <v>0</v>
      </c>
      <c r="AI51" s="298"/>
      <c r="AJ51" s="316">
        <f t="shared" si="38"/>
        <v>0</v>
      </c>
      <c r="AK51" s="316">
        <f t="shared" si="39"/>
        <v>0</v>
      </c>
      <c r="AL51" s="316">
        <f t="shared" si="40"/>
        <v>0</v>
      </c>
      <c r="AN51" s="318">
        <v>21</v>
      </c>
      <c r="AO51" s="318">
        <f>H51*0.0215596330275229</f>
        <v>0</v>
      </c>
      <c r="AP51" s="318">
        <f>H51*(1-0.0215596330275229)</f>
        <v>0</v>
      </c>
      <c r="AQ51" s="319" t="s">
        <v>241</v>
      </c>
      <c r="AV51" s="318">
        <f t="shared" si="41"/>
        <v>0</v>
      </c>
      <c r="AW51" s="318">
        <f t="shared" si="42"/>
        <v>0</v>
      </c>
      <c r="AX51" s="318">
        <f t="shared" si="43"/>
        <v>0</v>
      </c>
      <c r="AY51" s="320" t="s">
        <v>4608</v>
      </c>
      <c r="AZ51" s="320" t="s">
        <v>4579</v>
      </c>
      <c r="BA51" s="298" t="s">
        <v>4551</v>
      </c>
      <c r="BC51" s="318">
        <f t="shared" si="44"/>
        <v>0</v>
      </c>
      <c r="BD51" s="318">
        <f t="shared" si="45"/>
        <v>0</v>
      </c>
      <c r="BE51" s="318">
        <v>0</v>
      </c>
      <c r="BF51" s="318">
        <f t="shared" si="46"/>
        <v>0</v>
      </c>
      <c r="BH51" s="316">
        <f t="shared" si="47"/>
        <v>0</v>
      </c>
      <c r="BI51" s="316">
        <f t="shared" si="48"/>
        <v>0</v>
      </c>
      <c r="BJ51" s="316">
        <f t="shared" si="49"/>
        <v>0</v>
      </c>
      <c r="BK51" s="316" t="s">
        <v>815</v>
      </c>
      <c r="BL51" s="318">
        <v>733</v>
      </c>
    </row>
    <row r="52" spans="1:64">
      <c r="A52" s="314" t="s">
        <v>527</v>
      </c>
      <c r="B52" s="315"/>
      <c r="C52" s="315" t="s">
        <v>4625</v>
      </c>
      <c r="D52" s="443" t="s">
        <v>4626</v>
      </c>
      <c r="E52" s="444"/>
      <c r="F52" s="315" t="s">
        <v>236</v>
      </c>
      <c r="G52" s="316">
        <v>38</v>
      </c>
      <c r="H52" s="316"/>
      <c r="I52" s="316">
        <f t="shared" si="26"/>
        <v>0</v>
      </c>
      <c r="J52" s="316">
        <f t="shared" si="27"/>
        <v>0</v>
      </c>
      <c r="K52" s="316">
        <f t="shared" si="28"/>
        <v>0</v>
      </c>
      <c r="L52" s="316">
        <v>1.25E-3</v>
      </c>
      <c r="M52" s="316">
        <f t="shared" si="29"/>
        <v>4.7500000000000001E-2</v>
      </c>
      <c r="N52" s="317" t="s">
        <v>4548</v>
      </c>
      <c r="O52" s="291"/>
      <c r="Z52" s="318">
        <f t="shared" si="30"/>
        <v>0</v>
      </c>
      <c r="AB52" s="318">
        <f t="shared" si="31"/>
        <v>0</v>
      </c>
      <c r="AC52" s="318">
        <f t="shared" si="32"/>
        <v>0</v>
      </c>
      <c r="AD52" s="318">
        <f t="shared" si="33"/>
        <v>0</v>
      </c>
      <c r="AE52" s="318">
        <f t="shared" si="34"/>
        <v>0</v>
      </c>
      <c r="AF52" s="318">
        <f t="shared" si="35"/>
        <v>0</v>
      </c>
      <c r="AG52" s="318">
        <f t="shared" si="36"/>
        <v>0</v>
      </c>
      <c r="AH52" s="318">
        <f t="shared" si="37"/>
        <v>0</v>
      </c>
      <c r="AI52" s="298"/>
      <c r="AJ52" s="316">
        <f t="shared" si="38"/>
        <v>0</v>
      </c>
      <c r="AK52" s="316">
        <f t="shared" si="39"/>
        <v>0</v>
      </c>
      <c r="AL52" s="316">
        <f t="shared" si="40"/>
        <v>0</v>
      </c>
      <c r="AN52" s="318">
        <v>21</v>
      </c>
      <c r="AO52" s="318">
        <f>H52*0.405478927203065</f>
        <v>0</v>
      </c>
      <c r="AP52" s="318">
        <f>H52*(1-0.405478927203065)</f>
        <v>0</v>
      </c>
      <c r="AQ52" s="319" t="s">
        <v>241</v>
      </c>
      <c r="AV52" s="318">
        <f t="shared" si="41"/>
        <v>0</v>
      </c>
      <c r="AW52" s="318">
        <f t="shared" si="42"/>
        <v>0</v>
      </c>
      <c r="AX52" s="318">
        <f t="shared" si="43"/>
        <v>0</v>
      </c>
      <c r="AY52" s="320" t="s">
        <v>4608</v>
      </c>
      <c r="AZ52" s="320" t="s">
        <v>4579</v>
      </c>
      <c r="BA52" s="298" t="s">
        <v>4551</v>
      </c>
      <c r="BC52" s="318">
        <f t="shared" si="44"/>
        <v>0</v>
      </c>
      <c r="BD52" s="318">
        <f t="shared" si="45"/>
        <v>0</v>
      </c>
      <c r="BE52" s="318">
        <v>0</v>
      </c>
      <c r="BF52" s="318">
        <f t="shared" si="46"/>
        <v>4.7500000000000001E-2</v>
      </c>
      <c r="BH52" s="316">
        <f t="shared" si="47"/>
        <v>0</v>
      </c>
      <c r="BI52" s="316">
        <f t="shared" si="48"/>
        <v>0</v>
      </c>
      <c r="BJ52" s="316">
        <f t="shared" si="49"/>
        <v>0</v>
      </c>
      <c r="BK52" s="316" t="s">
        <v>815</v>
      </c>
      <c r="BL52" s="318">
        <v>733</v>
      </c>
    </row>
    <row r="53" spans="1:64">
      <c r="A53" s="314" t="s">
        <v>537</v>
      </c>
      <c r="B53" s="315"/>
      <c r="C53" s="315" t="s">
        <v>4627</v>
      </c>
      <c r="D53" s="443" t="s">
        <v>4628</v>
      </c>
      <c r="E53" s="444"/>
      <c r="F53" s="315" t="s">
        <v>236</v>
      </c>
      <c r="G53" s="316">
        <v>4</v>
      </c>
      <c r="H53" s="316"/>
      <c r="I53" s="316">
        <f t="shared" si="26"/>
        <v>0</v>
      </c>
      <c r="J53" s="316">
        <f t="shared" si="27"/>
        <v>0</v>
      </c>
      <c r="K53" s="316">
        <f t="shared" si="28"/>
        <v>0</v>
      </c>
      <c r="L53" s="316">
        <v>1.8799999999999999E-3</v>
      </c>
      <c r="M53" s="316">
        <f t="shared" si="29"/>
        <v>7.5199999999999998E-3</v>
      </c>
      <c r="N53" s="317" t="s">
        <v>4548</v>
      </c>
      <c r="O53" s="291"/>
      <c r="Z53" s="318">
        <f t="shared" si="30"/>
        <v>0</v>
      </c>
      <c r="AB53" s="318">
        <f t="shared" si="31"/>
        <v>0</v>
      </c>
      <c r="AC53" s="318">
        <f t="shared" si="32"/>
        <v>0</v>
      </c>
      <c r="AD53" s="318">
        <f t="shared" si="33"/>
        <v>0</v>
      </c>
      <c r="AE53" s="318">
        <f t="shared" si="34"/>
        <v>0</v>
      </c>
      <c r="AF53" s="318">
        <f t="shared" si="35"/>
        <v>0</v>
      </c>
      <c r="AG53" s="318">
        <f t="shared" si="36"/>
        <v>0</v>
      </c>
      <c r="AH53" s="318">
        <f t="shared" si="37"/>
        <v>0</v>
      </c>
      <c r="AI53" s="298"/>
      <c r="AJ53" s="316">
        <f t="shared" si="38"/>
        <v>0</v>
      </c>
      <c r="AK53" s="316">
        <f t="shared" si="39"/>
        <v>0</v>
      </c>
      <c r="AL53" s="316">
        <f t="shared" si="40"/>
        <v>0</v>
      </c>
      <c r="AN53" s="318">
        <v>21</v>
      </c>
      <c r="AO53" s="318">
        <f>H53*0.468167701863354</f>
        <v>0</v>
      </c>
      <c r="AP53" s="318">
        <f>H53*(1-0.468167701863354)</f>
        <v>0</v>
      </c>
      <c r="AQ53" s="319" t="s">
        <v>241</v>
      </c>
      <c r="AV53" s="318">
        <f t="shared" si="41"/>
        <v>0</v>
      </c>
      <c r="AW53" s="318">
        <f t="shared" si="42"/>
        <v>0</v>
      </c>
      <c r="AX53" s="318">
        <f t="shared" si="43"/>
        <v>0</v>
      </c>
      <c r="AY53" s="320" t="s">
        <v>4608</v>
      </c>
      <c r="AZ53" s="320" t="s">
        <v>4579</v>
      </c>
      <c r="BA53" s="298" t="s">
        <v>4551</v>
      </c>
      <c r="BC53" s="318">
        <f t="shared" si="44"/>
        <v>0</v>
      </c>
      <c r="BD53" s="318">
        <f t="shared" si="45"/>
        <v>0</v>
      </c>
      <c r="BE53" s="318">
        <v>0</v>
      </c>
      <c r="BF53" s="318">
        <f t="shared" si="46"/>
        <v>7.5199999999999998E-3</v>
      </c>
      <c r="BH53" s="316">
        <f t="shared" si="47"/>
        <v>0</v>
      </c>
      <c r="BI53" s="316">
        <f t="shared" si="48"/>
        <v>0</v>
      </c>
      <c r="BJ53" s="316">
        <f t="shared" si="49"/>
        <v>0</v>
      </c>
      <c r="BK53" s="316" t="s">
        <v>815</v>
      </c>
      <c r="BL53" s="318">
        <v>733</v>
      </c>
    </row>
    <row r="54" spans="1:64">
      <c r="A54" s="314" t="s">
        <v>757</v>
      </c>
      <c r="B54" s="315"/>
      <c r="C54" s="315" t="s">
        <v>4629</v>
      </c>
      <c r="D54" s="443" t="s">
        <v>4630</v>
      </c>
      <c r="E54" s="444"/>
      <c r="F54" s="315" t="s">
        <v>236</v>
      </c>
      <c r="G54" s="316">
        <v>2</v>
      </c>
      <c r="H54" s="316"/>
      <c r="I54" s="316">
        <f t="shared" si="26"/>
        <v>0</v>
      </c>
      <c r="J54" s="316">
        <f t="shared" si="27"/>
        <v>0</v>
      </c>
      <c r="K54" s="316">
        <f t="shared" si="28"/>
        <v>0</v>
      </c>
      <c r="L54" s="316">
        <v>1.91E-3</v>
      </c>
      <c r="M54" s="316">
        <f t="shared" si="29"/>
        <v>3.82E-3</v>
      </c>
      <c r="N54" s="317" t="s">
        <v>4548</v>
      </c>
      <c r="O54" s="291"/>
      <c r="Z54" s="318">
        <f t="shared" si="30"/>
        <v>0</v>
      </c>
      <c r="AB54" s="318">
        <f t="shared" si="31"/>
        <v>0</v>
      </c>
      <c r="AC54" s="318">
        <f t="shared" si="32"/>
        <v>0</v>
      </c>
      <c r="AD54" s="318">
        <f t="shared" si="33"/>
        <v>0</v>
      </c>
      <c r="AE54" s="318">
        <f t="shared" si="34"/>
        <v>0</v>
      </c>
      <c r="AF54" s="318">
        <f t="shared" si="35"/>
        <v>0</v>
      </c>
      <c r="AG54" s="318">
        <f t="shared" si="36"/>
        <v>0</v>
      </c>
      <c r="AH54" s="318">
        <f t="shared" si="37"/>
        <v>0</v>
      </c>
      <c r="AI54" s="298"/>
      <c r="AJ54" s="316">
        <f t="shared" si="38"/>
        <v>0</v>
      </c>
      <c r="AK54" s="316">
        <f t="shared" si="39"/>
        <v>0</v>
      </c>
      <c r="AL54" s="316">
        <f t="shared" si="40"/>
        <v>0</v>
      </c>
      <c r="AN54" s="318">
        <v>21</v>
      </c>
      <c r="AO54" s="318">
        <f>H54*0.402326951399116</f>
        <v>0</v>
      </c>
      <c r="AP54" s="318">
        <f>H54*(1-0.402326951399116)</f>
        <v>0</v>
      </c>
      <c r="AQ54" s="319" t="s">
        <v>241</v>
      </c>
      <c r="AV54" s="318">
        <f t="shared" si="41"/>
        <v>0</v>
      </c>
      <c r="AW54" s="318">
        <f t="shared" si="42"/>
        <v>0</v>
      </c>
      <c r="AX54" s="318">
        <f t="shared" si="43"/>
        <v>0</v>
      </c>
      <c r="AY54" s="320" t="s">
        <v>4608</v>
      </c>
      <c r="AZ54" s="320" t="s">
        <v>4579</v>
      </c>
      <c r="BA54" s="298" t="s">
        <v>4551</v>
      </c>
      <c r="BC54" s="318">
        <f t="shared" si="44"/>
        <v>0</v>
      </c>
      <c r="BD54" s="318">
        <f t="shared" si="45"/>
        <v>0</v>
      </c>
      <c r="BE54" s="318">
        <v>0</v>
      </c>
      <c r="BF54" s="318">
        <f t="shared" si="46"/>
        <v>3.82E-3</v>
      </c>
      <c r="BH54" s="316">
        <f t="shared" si="47"/>
        <v>0</v>
      </c>
      <c r="BI54" s="316">
        <f t="shared" si="48"/>
        <v>0</v>
      </c>
      <c r="BJ54" s="316">
        <f t="shared" si="49"/>
        <v>0</v>
      </c>
      <c r="BK54" s="316" t="s">
        <v>815</v>
      </c>
      <c r="BL54" s="318">
        <v>733</v>
      </c>
    </row>
    <row r="55" spans="1:64">
      <c r="A55" s="314" t="s">
        <v>764</v>
      </c>
      <c r="B55" s="315"/>
      <c r="C55" s="315" t="s">
        <v>4631</v>
      </c>
      <c r="D55" s="443" t="s">
        <v>4632</v>
      </c>
      <c r="E55" s="444"/>
      <c r="F55" s="315" t="s">
        <v>183</v>
      </c>
      <c r="G55" s="316">
        <v>0.61650000000000005</v>
      </c>
      <c r="H55" s="316"/>
      <c r="I55" s="316">
        <f t="shared" si="26"/>
        <v>0</v>
      </c>
      <c r="J55" s="316">
        <f t="shared" si="27"/>
        <v>0</v>
      </c>
      <c r="K55" s="316">
        <f t="shared" si="28"/>
        <v>0</v>
      </c>
      <c r="L55" s="316">
        <v>0</v>
      </c>
      <c r="M55" s="316">
        <f t="shared" si="29"/>
        <v>0</v>
      </c>
      <c r="N55" s="317" t="s">
        <v>4548</v>
      </c>
      <c r="O55" s="291"/>
      <c r="Z55" s="318">
        <f t="shared" si="30"/>
        <v>0</v>
      </c>
      <c r="AB55" s="318">
        <f t="shared" si="31"/>
        <v>0</v>
      </c>
      <c r="AC55" s="318">
        <f t="shared" si="32"/>
        <v>0</v>
      </c>
      <c r="AD55" s="318">
        <f t="shared" si="33"/>
        <v>0</v>
      </c>
      <c r="AE55" s="318">
        <f t="shared" si="34"/>
        <v>0</v>
      </c>
      <c r="AF55" s="318">
        <f t="shared" si="35"/>
        <v>0</v>
      </c>
      <c r="AG55" s="318">
        <f t="shared" si="36"/>
        <v>0</v>
      </c>
      <c r="AH55" s="318">
        <f t="shared" si="37"/>
        <v>0</v>
      </c>
      <c r="AI55" s="298"/>
      <c r="AJ55" s="316">
        <f t="shared" si="38"/>
        <v>0</v>
      </c>
      <c r="AK55" s="316">
        <f t="shared" si="39"/>
        <v>0</v>
      </c>
      <c r="AL55" s="316">
        <f t="shared" si="40"/>
        <v>0</v>
      </c>
      <c r="AN55" s="318">
        <v>21</v>
      </c>
      <c r="AO55" s="318">
        <f>H55*0</f>
        <v>0</v>
      </c>
      <c r="AP55" s="318">
        <f>H55*(1-0)</f>
        <v>0</v>
      </c>
      <c r="AQ55" s="319" t="s">
        <v>200</v>
      </c>
      <c r="AV55" s="318">
        <f t="shared" si="41"/>
        <v>0</v>
      </c>
      <c r="AW55" s="318">
        <f t="shared" si="42"/>
        <v>0</v>
      </c>
      <c r="AX55" s="318">
        <f t="shared" si="43"/>
        <v>0</v>
      </c>
      <c r="AY55" s="320" t="s">
        <v>4608</v>
      </c>
      <c r="AZ55" s="320" t="s">
        <v>4579</v>
      </c>
      <c r="BA55" s="298" t="s">
        <v>4551</v>
      </c>
      <c r="BC55" s="318">
        <f t="shared" si="44"/>
        <v>0</v>
      </c>
      <c r="BD55" s="318">
        <f t="shared" si="45"/>
        <v>0</v>
      </c>
      <c r="BE55" s="318">
        <v>0</v>
      </c>
      <c r="BF55" s="318">
        <f t="shared" si="46"/>
        <v>0</v>
      </c>
      <c r="BH55" s="316">
        <f t="shared" si="47"/>
        <v>0</v>
      </c>
      <c r="BI55" s="316">
        <f t="shared" si="48"/>
        <v>0</v>
      </c>
      <c r="BJ55" s="316">
        <f t="shared" si="49"/>
        <v>0</v>
      </c>
      <c r="BK55" s="316" t="s">
        <v>815</v>
      </c>
      <c r="BL55" s="318">
        <v>733</v>
      </c>
    </row>
    <row r="56" spans="1:64">
      <c r="A56" s="322"/>
      <c r="B56" s="323"/>
      <c r="C56" s="323" t="s">
        <v>4633</v>
      </c>
      <c r="D56" s="441" t="s">
        <v>4634</v>
      </c>
      <c r="E56" s="442"/>
      <c r="F56" s="324" t="s">
        <v>4502</v>
      </c>
      <c r="G56" s="324" t="s">
        <v>4502</v>
      </c>
      <c r="H56" s="324" t="s">
        <v>4502</v>
      </c>
      <c r="I56" s="313">
        <f>SUM(I57:I64)</f>
        <v>0</v>
      </c>
      <c r="J56" s="313">
        <f>SUM(J57:J64)</f>
        <v>0</v>
      </c>
      <c r="K56" s="313">
        <f>SUM(K57:K64)</f>
        <v>0</v>
      </c>
      <c r="L56" s="298"/>
      <c r="M56" s="313">
        <f>SUM(M57:M64)</f>
        <v>4.981E-2</v>
      </c>
      <c r="N56" s="325"/>
      <c r="O56" s="291"/>
      <c r="AI56" s="298"/>
      <c r="AS56" s="313">
        <f>SUM(AJ57:AJ64)</f>
        <v>0</v>
      </c>
      <c r="AT56" s="313">
        <f>SUM(AK57:AK64)</f>
        <v>0</v>
      </c>
      <c r="AU56" s="313">
        <f>SUM(AL57:AL64)</f>
        <v>0</v>
      </c>
    </row>
    <row r="57" spans="1:64">
      <c r="A57" s="314" t="s">
        <v>772</v>
      </c>
      <c r="B57" s="315"/>
      <c r="C57" s="315" t="s">
        <v>4635</v>
      </c>
      <c r="D57" s="443" t="s">
        <v>4636</v>
      </c>
      <c r="E57" s="444"/>
      <c r="F57" s="315" t="s">
        <v>236</v>
      </c>
      <c r="G57" s="316">
        <v>2</v>
      </c>
      <c r="H57" s="316"/>
      <c r="I57" s="316">
        <f>G57*AO57</f>
        <v>0</v>
      </c>
      <c r="J57" s="316">
        <f>G57*AP57</f>
        <v>0</v>
      </c>
      <c r="K57" s="316">
        <f>G57*H57</f>
        <v>0</v>
      </c>
      <c r="L57" s="316">
        <v>6.8000000000000005E-4</v>
      </c>
      <c r="M57" s="316">
        <f>G57*L57</f>
        <v>1.3600000000000001E-3</v>
      </c>
      <c r="N57" s="317" t="s">
        <v>4548</v>
      </c>
      <c r="O57" s="291"/>
      <c r="Z57" s="318">
        <f>IF(AQ57="5",BJ57,0)</f>
        <v>0</v>
      </c>
      <c r="AB57" s="318">
        <f>IF(AQ57="1",BH57,0)</f>
        <v>0</v>
      </c>
      <c r="AC57" s="318">
        <f>IF(AQ57="1",BI57,0)</f>
        <v>0</v>
      </c>
      <c r="AD57" s="318">
        <f>IF(AQ57="7",BH57,0)</f>
        <v>0</v>
      </c>
      <c r="AE57" s="318">
        <f>IF(AQ57="7",BI57,0)</f>
        <v>0</v>
      </c>
      <c r="AF57" s="318">
        <f>IF(AQ57="2",BH57,0)</f>
        <v>0</v>
      </c>
      <c r="AG57" s="318">
        <f>IF(AQ57="2",BI57,0)</f>
        <v>0</v>
      </c>
      <c r="AH57" s="318">
        <f>IF(AQ57="0",BJ57,0)</f>
        <v>0</v>
      </c>
      <c r="AI57" s="298"/>
      <c r="AJ57" s="316">
        <f>IF(AN57=0,K57,0)</f>
        <v>0</v>
      </c>
      <c r="AK57" s="316">
        <f>IF(AN57=15,K57,0)</f>
        <v>0</v>
      </c>
      <c r="AL57" s="316">
        <f>IF(AN57=21,K57,0)</f>
        <v>0</v>
      </c>
      <c r="AN57" s="318">
        <v>21</v>
      </c>
      <c r="AO57" s="318">
        <f>H57*0.821938775510204</f>
        <v>0</v>
      </c>
      <c r="AP57" s="318">
        <f>H57*(1-0.821938775510204)</f>
        <v>0</v>
      </c>
      <c r="AQ57" s="319" t="s">
        <v>241</v>
      </c>
      <c r="AV57" s="318">
        <f>AW57+AX57</f>
        <v>0</v>
      </c>
      <c r="AW57" s="318">
        <f>G57*AO57</f>
        <v>0</v>
      </c>
      <c r="AX57" s="318">
        <f>G57*AP57</f>
        <v>0</v>
      </c>
      <c r="AY57" s="320" t="s">
        <v>4637</v>
      </c>
      <c r="AZ57" s="320" t="s">
        <v>4579</v>
      </c>
      <c r="BA57" s="298" t="s">
        <v>4551</v>
      </c>
      <c r="BC57" s="318">
        <f>AW57+AX57</f>
        <v>0</v>
      </c>
      <c r="BD57" s="318">
        <f>H57/(100-BE57)*100</f>
        <v>0</v>
      </c>
      <c r="BE57" s="318">
        <v>0</v>
      </c>
      <c r="BF57" s="318">
        <f>M57</f>
        <v>1.3600000000000001E-3</v>
      </c>
      <c r="BH57" s="316">
        <f>G57*AO57</f>
        <v>0</v>
      </c>
      <c r="BI57" s="316">
        <f>G57*AP57</f>
        <v>0</v>
      </c>
      <c r="BJ57" s="316">
        <f>G57*H57</f>
        <v>0</v>
      </c>
      <c r="BK57" s="316" t="s">
        <v>815</v>
      </c>
      <c r="BL57" s="318">
        <v>734</v>
      </c>
    </row>
    <row r="58" spans="1:64">
      <c r="A58" s="314" t="s">
        <v>781</v>
      </c>
      <c r="B58" s="315"/>
      <c r="C58" s="315" t="s">
        <v>4638</v>
      </c>
      <c r="D58" s="443" t="s">
        <v>4639</v>
      </c>
      <c r="E58" s="444"/>
      <c r="F58" s="315" t="s">
        <v>236</v>
      </c>
      <c r="G58" s="316">
        <v>2</v>
      </c>
      <c r="H58" s="316"/>
      <c r="I58" s="316">
        <f>G58*AO58</f>
        <v>0</v>
      </c>
      <c r="J58" s="316">
        <f>G58*AP58</f>
        <v>0</v>
      </c>
      <c r="K58" s="316">
        <f>G58*H58</f>
        <v>0</v>
      </c>
      <c r="L58" s="316">
        <v>1.0399999999999999E-3</v>
      </c>
      <c r="M58" s="316">
        <f>G58*L58</f>
        <v>2.0799999999999998E-3</v>
      </c>
      <c r="N58" s="317" t="s">
        <v>4548</v>
      </c>
      <c r="O58" s="291"/>
      <c r="Z58" s="318">
        <f>IF(AQ58="5",BJ58,0)</f>
        <v>0</v>
      </c>
      <c r="AB58" s="318">
        <f>IF(AQ58="1",BH58,0)</f>
        <v>0</v>
      </c>
      <c r="AC58" s="318">
        <f>IF(AQ58="1",BI58,0)</f>
        <v>0</v>
      </c>
      <c r="AD58" s="318">
        <f>IF(AQ58="7",BH58,0)</f>
        <v>0</v>
      </c>
      <c r="AE58" s="318">
        <f>IF(AQ58="7",BI58,0)</f>
        <v>0</v>
      </c>
      <c r="AF58" s="318">
        <f>IF(AQ58="2",BH58,0)</f>
        <v>0</v>
      </c>
      <c r="AG58" s="318">
        <f>IF(AQ58="2",BI58,0)</f>
        <v>0</v>
      </c>
      <c r="AH58" s="318">
        <f>IF(AQ58="0",BJ58,0)</f>
        <v>0</v>
      </c>
      <c r="AI58" s="298"/>
      <c r="AJ58" s="316">
        <f>IF(AN58=0,K58,0)</f>
        <v>0</v>
      </c>
      <c r="AK58" s="316">
        <f>IF(AN58=15,K58,0)</f>
        <v>0</v>
      </c>
      <c r="AL58" s="316">
        <f>IF(AN58=21,K58,0)</f>
        <v>0</v>
      </c>
      <c r="AN58" s="318">
        <v>21</v>
      </c>
      <c r="AO58" s="318">
        <f>H58*0.845366338146535</f>
        <v>0</v>
      </c>
      <c r="AP58" s="318">
        <f>H58*(1-0.845366338146535)</f>
        <v>0</v>
      </c>
      <c r="AQ58" s="319" t="s">
        <v>241</v>
      </c>
      <c r="AV58" s="318">
        <f>AW58+AX58</f>
        <v>0</v>
      </c>
      <c r="AW58" s="318">
        <f>G58*AO58</f>
        <v>0</v>
      </c>
      <c r="AX58" s="318">
        <f>G58*AP58</f>
        <v>0</v>
      </c>
      <c r="AY58" s="320" t="s">
        <v>4637</v>
      </c>
      <c r="AZ58" s="320" t="s">
        <v>4579</v>
      </c>
      <c r="BA58" s="298" t="s">
        <v>4551</v>
      </c>
      <c r="BC58" s="318">
        <f>AW58+AX58</f>
        <v>0</v>
      </c>
      <c r="BD58" s="318">
        <f>H58/(100-BE58)*100</f>
        <v>0</v>
      </c>
      <c r="BE58" s="318">
        <v>0</v>
      </c>
      <c r="BF58" s="318">
        <f>M58</f>
        <v>2.0799999999999998E-3</v>
      </c>
      <c r="BH58" s="316">
        <f>G58*AO58</f>
        <v>0</v>
      </c>
      <c r="BI58" s="316">
        <f>G58*AP58</f>
        <v>0</v>
      </c>
      <c r="BJ58" s="316">
        <f>G58*H58</f>
        <v>0</v>
      </c>
      <c r="BK58" s="316" t="s">
        <v>815</v>
      </c>
      <c r="BL58" s="318">
        <v>734</v>
      </c>
    </row>
    <row r="59" spans="1:64">
      <c r="A59" s="314" t="s">
        <v>787</v>
      </c>
      <c r="B59" s="315"/>
      <c r="C59" s="315" t="s">
        <v>4640</v>
      </c>
      <c r="D59" s="443" t="s">
        <v>4641</v>
      </c>
      <c r="E59" s="444"/>
      <c r="F59" s="315" t="s">
        <v>236</v>
      </c>
      <c r="G59" s="316">
        <v>9</v>
      </c>
      <c r="H59" s="316"/>
      <c r="I59" s="316">
        <f>G59*AO59</f>
        <v>0</v>
      </c>
      <c r="J59" s="316">
        <f>G59*AP59</f>
        <v>0</v>
      </c>
      <c r="K59" s="316">
        <f>G59*H59</f>
        <v>0</v>
      </c>
      <c r="L59" s="316">
        <v>1.9000000000000001E-4</v>
      </c>
      <c r="M59" s="316">
        <f>G59*L59</f>
        <v>1.7100000000000001E-3</v>
      </c>
      <c r="N59" s="317" t="s">
        <v>4548</v>
      </c>
      <c r="O59" s="291"/>
      <c r="Z59" s="318">
        <f>IF(AQ59="5",BJ59,0)</f>
        <v>0</v>
      </c>
      <c r="AB59" s="318">
        <f>IF(AQ59="1",BH59,0)</f>
        <v>0</v>
      </c>
      <c r="AC59" s="318">
        <f>IF(AQ59="1",BI59,0)</f>
        <v>0</v>
      </c>
      <c r="AD59" s="318">
        <f>IF(AQ59="7",BH59,0)</f>
        <v>0</v>
      </c>
      <c r="AE59" s="318">
        <f>IF(AQ59="7",BI59,0)</f>
        <v>0</v>
      </c>
      <c r="AF59" s="318">
        <f>IF(AQ59="2",BH59,0)</f>
        <v>0</v>
      </c>
      <c r="AG59" s="318">
        <f>IF(AQ59="2",BI59,0)</f>
        <v>0</v>
      </c>
      <c r="AH59" s="318">
        <f>IF(AQ59="0",BJ59,0)</f>
        <v>0</v>
      </c>
      <c r="AI59" s="298"/>
      <c r="AJ59" s="316">
        <f>IF(AN59=0,K59,0)</f>
        <v>0</v>
      </c>
      <c r="AK59" s="316">
        <f>IF(AN59=15,K59,0)</f>
        <v>0</v>
      </c>
      <c r="AL59" s="316">
        <f>IF(AN59=21,K59,0)</f>
        <v>0</v>
      </c>
      <c r="AN59" s="318">
        <v>21</v>
      </c>
      <c r="AO59" s="318">
        <f>H59*0.842197802197802</f>
        <v>0</v>
      </c>
      <c r="AP59" s="318">
        <f>H59*(1-0.842197802197802)</f>
        <v>0</v>
      </c>
      <c r="AQ59" s="319" t="s">
        <v>241</v>
      </c>
      <c r="AV59" s="318">
        <f>AW59+AX59</f>
        <v>0</v>
      </c>
      <c r="AW59" s="318">
        <f>G59*AO59</f>
        <v>0</v>
      </c>
      <c r="AX59" s="318">
        <f>G59*AP59</f>
        <v>0</v>
      </c>
      <c r="AY59" s="320" t="s">
        <v>4637</v>
      </c>
      <c r="AZ59" s="320" t="s">
        <v>4579</v>
      </c>
      <c r="BA59" s="298" t="s">
        <v>4551</v>
      </c>
      <c r="BC59" s="318">
        <f>AW59+AX59</f>
        <v>0</v>
      </c>
      <c r="BD59" s="318">
        <f>H59/(100-BE59)*100</f>
        <v>0</v>
      </c>
      <c r="BE59" s="318">
        <v>0</v>
      </c>
      <c r="BF59" s="318">
        <f>M59</f>
        <v>1.7100000000000001E-3</v>
      </c>
      <c r="BH59" s="316">
        <f>G59*AO59</f>
        <v>0</v>
      </c>
      <c r="BI59" s="316">
        <f>G59*AP59</f>
        <v>0</v>
      </c>
      <c r="BJ59" s="316">
        <f>G59*H59</f>
        <v>0</v>
      </c>
      <c r="BK59" s="316" t="s">
        <v>815</v>
      </c>
      <c r="BL59" s="318">
        <v>734</v>
      </c>
    </row>
    <row r="60" spans="1:64">
      <c r="A60" s="314" t="s">
        <v>794</v>
      </c>
      <c r="B60" s="315"/>
      <c r="C60" s="315" t="s">
        <v>4642</v>
      </c>
      <c r="D60" s="443" t="s">
        <v>4643</v>
      </c>
      <c r="E60" s="444"/>
      <c r="F60" s="315" t="s">
        <v>236</v>
      </c>
      <c r="G60" s="316">
        <v>29</v>
      </c>
      <c r="H60" s="316"/>
      <c r="I60" s="316">
        <f>G60*AO60</f>
        <v>0</v>
      </c>
      <c r="J60" s="316">
        <f>G60*AP60</f>
        <v>0</v>
      </c>
      <c r="K60" s="316">
        <f>G60*H60</f>
        <v>0</v>
      </c>
      <c r="L60" s="316">
        <v>8.0000000000000004E-4</v>
      </c>
      <c r="M60" s="316">
        <f>G60*L60</f>
        <v>2.3200000000000002E-2</v>
      </c>
      <c r="N60" s="317" t="s">
        <v>4548</v>
      </c>
      <c r="O60" s="291"/>
      <c r="Z60" s="318">
        <f>IF(AQ60="5",BJ60,0)</f>
        <v>0</v>
      </c>
      <c r="AB60" s="318">
        <f>IF(AQ60="1",BH60,0)</f>
        <v>0</v>
      </c>
      <c r="AC60" s="318">
        <f>IF(AQ60="1",BI60,0)</f>
        <v>0</v>
      </c>
      <c r="AD60" s="318">
        <f>IF(AQ60="7",BH60,0)</f>
        <v>0</v>
      </c>
      <c r="AE60" s="318">
        <f>IF(AQ60="7",BI60,0)</f>
        <v>0</v>
      </c>
      <c r="AF60" s="318">
        <f>IF(AQ60="2",BH60,0)</f>
        <v>0</v>
      </c>
      <c r="AG60" s="318">
        <f>IF(AQ60="2",BI60,0)</f>
        <v>0</v>
      </c>
      <c r="AH60" s="318">
        <f>IF(AQ60="0",BJ60,0)</f>
        <v>0</v>
      </c>
      <c r="AI60" s="298"/>
      <c r="AJ60" s="316">
        <f>IF(AN60=0,K60,0)</f>
        <v>0</v>
      </c>
      <c r="AK60" s="316">
        <f>IF(AN60=15,K60,0)</f>
        <v>0</v>
      </c>
      <c r="AL60" s="316">
        <f>IF(AN60=21,K60,0)</f>
        <v>0</v>
      </c>
      <c r="AN60" s="318">
        <v>21</v>
      </c>
      <c r="AO60" s="318">
        <f>H60*0.803419913419913</f>
        <v>0</v>
      </c>
      <c r="AP60" s="318">
        <f>H60*(1-0.803419913419913)</f>
        <v>0</v>
      </c>
      <c r="AQ60" s="319" t="s">
        <v>241</v>
      </c>
      <c r="AV60" s="318">
        <f>AW60+AX60</f>
        <v>0</v>
      </c>
      <c r="AW60" s="318">
        <f>G60*AO60</f>
        <v>0</v>
      </c>
      <c r="AX60" s="318">
        <f>G60*AP60</f>
        <v>0</v>
      </c>
      <c r="AY60" s="320" t="s">
        <v>4637</v>
      </c>
      <c r="AZ60" s="320" t="s">
        <v>4579</v>
      </c>
      <c r="BA60" s="298" t="s">
        <v>4551</v>
      </c>
      <c r="BC60" s="318">
        <f>AW60+AX60</f>
        <v>0</v>
      </c>
      <c r="BD60" s="318">
        <f>H60/(100-BE60)*100</f>
        <v>0</v>
      </c>
      <c r="BE60" s="318">
        <v>0</v>
      </c>
      <c r="BF60" s="318">
        <f>M60</f>
        <v>2.3200000000000002E-2</v>
      </c>
      <c r="BH60" s="316">
        <f>G60*AO60</f>
        <v>0</v>
      </c>
      <c r="BI60" s="316">
        <f>G60*AP60</f>
        <v>0</v>
      </c>
      <c r="BJ60" s="316">
        <f>G60*H60</f>
        <v>0</v>
      </c>
      <c r="BK60" s="316" t="s">
        <v>815</v>
      </c>
      <c r="BL60" s="318">
        <v>734</v>
      </c>
    </row>
    <row r="61" spans="1:64">
      <c r="A61" s="291"/>
      <c r="C61" s="321" t="s">
        <v>4552</v>
      </c>
      <c r="D61" s="445" t="s">
        <v>4644</v>
      </c>
      <c r="E61" s="446"/>
      <c r="F61" s="446"/>
      <c r="G61" s="446"/>
      <c r="H61" s="446"/>
      <c r="I61" s="446"/>
      <c r="J61" s="446"/>
      <c r="K61" s="446"/>
      <c r="L61" s="446"/>
      <c r="M61" s="446"/>
      <c r="N61" s="447"/>
      <c r="O61" s="291"/>
    </row>
    <row r="62" spans="1:64">
      <c r="A62" s="314" t="s">
        <v>800</v>
      </c>
      <c r="B62" s="315"/>
      <c r="C62" s="315" t="s">
        <v>4645</v>
      </c>
      <c r="D62" s="443" t="s">
        <v>4646</v>
      </c>
      <c r="E62" s="444"/>
      <c r="F62" s="315" t="s">
        <v>236</v>
      </c>
      <c r="G62" s="316">
        <v>29</v>
      </c>
      <c r="H62" s="316"/>
      <c r="I62" s="316">
        <f>G62*AO62</f>
        <v>0</v>
      </c>
      <c r="J62" s="316">
        <f>G62*AP62</f>
        <v>0</v>
      </c>
      <c r="K62" s="316">
        <f>G62*H62</f>
        <v>0</v>
      </c>
      <c r="L62" s="316">
        <v>5.9999999999999995E-4</v>
      </c>
      <c r="M62" s="316">
        <f>G62*L62</f>
        <v>1.7399999999999999E-2</v>
      </c>
      <c r="N62" s="317" t="s">
        <v>4548</v>
      </c>
      <c r="O62" s="291"/>
      <c r="Z62" s="318">
        <f>IF(AQ62="5",BJ62,0)</f>
        <v>0</v>
      </c>
      <c r="AB62" s="318">
        <f>IF(AQ62="1",BH62,0)</f>
        <v>0</v>
      </c>
      <c r="AC62" s="318">
        <f>IF(AQ62="1",BI62,0)</f>
        <v>0</v>
      </c>
      <c r="AD62" s="318">
        <f>IF(AQ62="7",BH62,0)</f>
        <v>0</v>
      </c>
      <c r="AE62" s="318">
        <f>IF(AQ62="7",BI62,0)</f>
        <v>0</v>
      </c>
      <c r="AF62" s="318">
        <f>IF(AQ62="2",BH62,0)</f>
        <v>0</v>
      </c>
      <c r="AG62" s="318">
        <f>IF(AQ62="2",BI62,0)</f>
        <v>0</v>
      </c>
      <c r="AH62" s="318">
        <f>IF(AQ62="0",BJ62,0)</f>
        <v>0</v>
      </c>
      <c r="AI62" s="298"/>
      <c r="AJ62" s="316">
        <f>IF(AN62=0,K62,0)</f>
        <v>0</v>
      </c>
      <c r="AK62" s="316">
        <f>IF(AN62=15,K62,0)</f>
        <v>0</v>
      </c>
      <c r="AL62" s="316">
        <f>IF(AN62=21,K62,0)</f>
        <v>0</v>
      </c>
      <c r="AN62" s="318">
        <v>21</v>
      </c>
      <c r="AO62" s="318">
        <f>H62*0.828080808080808</f>
        <v>0</v>
      </c>
      <c r="AP62" s="318">
        <f>H62*(1-0.828080808080808)</f>
        <v>0</v>
      </c>
      <c r="AQ62" s="319" t="s">
        <v>241</v>
      </c>
      <c r="AV62" s="318">
        <f>AW62+AX62</f>
        <v>0</v>
      </c>
      <c r="AW62" s="318">
        <f>G62*AO62</f>
        <v>0</v>
      </c>
      <c r="AX62" s="318">
        <f>G62*AP62</f>
        <v>0</v>
      </c>
      <c r="AY62" s="320" t="s">
        <v>4637</v>
      </c>
      <c r="AZ62" s="320" t="s">
        <v>4579</v>
      </c>
      <c r="BA62" s="298" t="s">
        <v>4551</v>
      </c>
      <c r="BC62" s="318">
        <f>AW62+AX62</f>
        <v>0</v>
      </c>
      <c r="BD62" s="318">
        <f>H62/(100-BE62)*100</f>
        <v>0</v>
      </c>
      <c r="BE62" s="318">
        <v>0</v>
      </c>
      <c r="BF62" s="318">
        <f>M62</f>
        <v>1.7399999999999999E-2</v>
      </c>
      <c r="BH62" s="316">
        <f>G62*AO62</f>
        <v>0</v>
      </c>
      <c r="BI62" s="316">
        <f>G62*AP62</f>
        <v>0</v>
      </c>
      <c r="BJ62" s="316">
        <f>G62*H62</f>
        <v>0</v>
      </c>
      <c r="BK62" s="316" t="s">
        <v>815</v>
      </c>
      <c r="BL62" s="318">
        <v>734</v>
      </c>
    </row>
    <row r="63" spans="1:64">
      <c r="A63" s="314" t="s">
        <v>1117</v>
      </c>
      <c r="B63" s="315"/>
      <c r="C63" s="315" t="s">
        <v>4647</v>
      </c>
      <c r="D63" s="443" t="s">
        <v>4648</v>
      </c>
      <c r="E63" s="444"/>
      <c r="F63" s="315" t="s">
        <v>236</v>
      </c>
      <c r="G63" s="316">
        <v>29</v>
      </c>
      <c r="H63" s="316"/>
      <c r="I63" s="316">
        <f>G63*AO63</f>
        <v>0</v>
      </c>
      <c r="J63" s="316">
        <f>G63*AP63</f>
        <v>0</v>
      </c>
      <c r="K63" s="316">
        <f>G63*H63</f>
        <v>0</v>
      </c>
      <c r="L63" s="316">
        <v>1.3999999999999999E-4</v>
      </c>
      <c r="M63" s="316">
        <f>G63*L63</f>
        <v>4.0599999999999994E-3</v>
      </c>
      <c r="N63" s="317" t="s">
        <v>4548</v>
      </c>
      <c r="O63" s="291"/>
      <c r="Z63" s="318">
        <f>IF(AQ63="5",BJ63,0)</f>
        <v>0</v>
      </c>
      <c r="AB63" s="318">
        <f>IF(AQ63="1",BH63,0)</f>
        <v>0</v>
      </c>
      <c r="AC63" s="318">
        <f>IF(AQ63="1",BI63,0)</f>
        <v>0</v>
      </c>
      <c r="AD63" s="318">
        <f>IF(AQ63="7",BH63,0)</f>
        <v>0</v>
      </c>
      <c r="AE63" s="318">
        <f>IF(AQ63="7",BI63,0)</f>
        <v>0</v>
      </c>
      <c r="AF63" s="318">
        <f>IF(AQ63="2",BH63,0)</f>
        <v>0</v>
      </c>
      <c r="AG63" s="318">
        <f>IF(AQ63="2",BI63,0)</f>
        <v>0</v>
      </c>
      <c r="AH63" s="318">
        <f>IF(AQ63="0",BJ63,0)</f>
        <v>0</v>
      </c>
      <c r="AI63" s="298"/>
      <c r="AJ63" s="316">
        <f>IF(AN63=0,K63,0)</f>
        <v>0</v>
      </c>
      <c r="AK63" s="316">
        <f>IF(AN63=15,K63,0)</f>
        <v>0</v>
      </c>
      <c r="AL63" s="316">
        <f>IF(AN63=21,K63,0)</f>
        <v>0</v>
      </c>
      <c r="AN63" s="318">
        <v>21</v>
      </c>
      <c r="AO63" s="318">
        <f>H63*0.904572158365262</f>
        <v>0</v>
      </c>
      <c r="AP63" s="318">
        <f>H63*(1-0.904572158365262)</f>
        <v>0</v>
      </c>
      <c r="AQ63" s="319" t="s">
        <v>241</v>
      </c>
      <c r="AV63" s="318">
        <f>AW63+AX63</f>
        <v>0</v>
      </c>
      <c r="AW63" s="318">
        <f>G63*AO63</f>
        <v>0</v>
      </c>
      <c r="AX63" s="318">
        <f>G63*AP63</f>
        <v>0</v>
      </c>
      <c r="AY63" s="320" t="s">
        <v>4637</v>
      </c>
      <c r="AZ63" s="320" t="s">
        <v>4579</v>
      </c>
      <c r="BA63" s="298" t="s">
        <v>4551</v>
      </c>
      <c r="BC63" s="318">
        <f>AW63+AX63</f>
        <v>0</v>
      </c>
      <c r="BD63" s="318">
        <f>H63/(100-BE63)*100</f>
        <v>0</v>
      </c>
      <c r="BE63" s="318">
        <v>0</v>
      </c>
      <c r="BF63" s="318">
        <f>M63</f>
        <v>4.0599999999999994E-3</v>
      </c>
      <c r="BH63" s="316">
        <f>G63*AO63</f>
        <v>0</v>
      </c>
      <c r="BI63" s="316">
        <f>G63*AP63</f>
        <v>0</v>
      </c>
      <c r="BJ63" s="316">
        <f>G63*H63</f>
        <v>0</v>
      </c>
      <c r="BK63" s="316" t="s">
        <v>815</v>
      </c>
      <c r="BL63" s="318">
        <v>734</v>
      </c>
    </row>
    <row r="64" spans="1:64">
      <c r="A64" s="314" t="s">
        <v>1119</v>
      </c>
      <c r="B64" s="315"/>
      <c r="C64" s="315" t="s">
        <v>4649</v>
      </c>
      <c r="D64" s="443" t="s">
        <v>4650</v>
      </c>
      <c r="E64" s="444"/>
      <c r="F64" s="315" t="s">
        <v>183</v>
      </c>
      <c r="G64" s="316">
        <v>4.981E-2</v>
      </c>
      <c r="H64" s="316"/>
      <c r="I64" s="316">
        <f>G64*AO64</f>
        <v>0</v>
      </c>
      <c r="J64" s="316">
        <f>G64*AP64</f>
        <v>0</v>
      </c>
      <c r="K64" s="316">
        <f>G64*H64</f>
        <v>0</v>
      </c>
      <c r="L64" s="316">
        <v>0</v>
      </c>
      <c r="M64" s="316">
        <f>G64*L64</f>
        <v>0</v>
      </c>
      <c r="N64" s="317" t="s">
        <v>4548</v>
      </c>
      <c r="O64" s="291"/>
      <c r="Z64" s="318">
        <f>IF(AQ64="5",BJ64,0)</f>
        <v>0</v>
      </c>
      <c r="AB64" s="318">
        <f>IF(AQ64="1",BH64,0)</f>
        <v>0</v>
      </c>
      <c r="AC64" s="318">
        <f>IF(AQ64="1",BI64,0)</f>
        <v>0</v>
      </c>
      <c r="AD64" s="318">
        <f>IF(AQ64="7",BH64,0)</f>
        <v>0</v>
      </c>
      <c r="AE64" s="318">
        <f>IF(AQ64="7",BI64,0)</f>
        <v>0</v>
      </c>
      <c r="AF64" s="318">
        <f>IF(AQ64="2",BH64,0)</f>
        <v>0</v>
      </c>
      <c r="AG64" s="318">
        <f>IF(AQ64="2",BI64,0)</f>
        <v>0</v>
      </c>
      <c r="AH64" s="318">
        <f>IF(AQ64="0",BJ64,0)</f>
        <v>0</v>
      </c>
      <c r="AI64" s="298"/>
      <c r="AJ64" s="316">
        <f>IF(AN64=0,K64,0)</f>
        <v>0</v>
      </c>
      <c r="AK64" s="316">
        <f>IF(AN64=15,K64,0)</f>
        <v>0</v>
      </c>
      <c r="AL64" s="316">
        <f>IF(AN64=21,K64,0)</f>
        <v>0</v>
      </c>
      <c r="AN64" s="318">
        <v>21</v>
      </c>
      <c r="AO64" s="318">
        <f>H64*0</f>
        <v>0</v>
      </c>
      <c r="AP64" s="318">
        <f>H64*(1-0)</f>
        <v>0</v>
      </c>
      <c r="AQ64" s="319" t="s">
        <v>200</v>
      </c>
      <c r="AV64" s="318">
        <f>AW64+AX64</f>
        <v>0</v>
      </c>
      <c r="AW64" s="318">
        <f>G64*AO64</f>
        <v>0</v>
      </c>
      <c r="AX64" s="318">
        <f>G64*AP64</f>
        <v>0</v>
      </c>
      <c r="AY64" s="320" t="s">
        <v>4637</v>
      </c>
      <c r="AZ64" s="320" t="s">
        <v>4579</v>
      </c>
      <c r="BA64" s="298" t="s">
        <v>4551</v>
      </c>
      <c r="BC64" s="318">
        <f>AW64+AX64</f>
        <v>0</v>
      </c>
      <c r="BD64" s="318">
        <f>H64/(100-BE64)*100</f>
        <v>0</v>
      </c>
      <c r="BE64" s="318">
        <v>0</v>
      </c>
      <c r="BF64" s="318">
        <f>M64</f>
        <v>0</v>
      </c>
      <c r="BH64" s="316">
        <f>G64*AO64</f>
        <v>0</v>
      </c>
      <c r="BI64" s="316">
        <f>G64*AP64</f>
        <v>0</v>
      </c>
      <c r="BJ64" s="316">
        <f>G64*H64</f>
        <v>0</v>
      </c>
      <c r="BK64" s="316" t="s">
        <v>815</v>
      </c>
      <c r="BL64" s="318">
        <v>734</v>
      </c>
    </row>
    <row r="65" spans="1:64">
      <c r="A65" s="322"/>
      <c r="B65" s="323"/>
      <c r="C65" s="323" t="s">
        <v>3812</v>
      </c>
      <c r="D65" s="441" t="s">
        <v>4651</v>
      </c>
      <c r="E65" s="442"/>
      <c r="F65" s="324" t="s">
        <v>4502</v>
      </c>
      <c r="G65" s="324" t="s">
        <v>4502</v>
      </c>
      <c r="H65" s="324" t="s">
        <v>4502</v>
      </c>
      <c r="I65" s="313">
        <f>SUM(I66:I79)</f>
        <v>0</v>
      </c>
      <c r="J65" s="313">
        <f>SUM(J66:J79)</f>
        <v>0</v>
      </c>
      <c r="K65" s="313">
        <f>SUM(K66:K79)</f>
        <v>0</v>
      </c>
      <c r="L65" s="298"/>
      <c r="M65" s="313">
        <f>SUM(M66:M79)</f>
        <v>1.5440899999999997</v>
      </c>
      <c r="N65" s="325"/>
      <c r="O65" s="291"/>
      <c r="AI65" s="298"/>
      <c r="AS65" s="313">
        <f>SUM(AJ66:AJ79)</f>
        <v>0</v>
      </c>
      <c r="AT65" s="313">
        <f>SUM(AK66:AK79)</f>
        <v>0</v>
      </c>
      <c r="AU65" s="313">
        <f>SUM(AL66:AL79)</f>
        <v>0</v>
      </c>
    </row>
    <row r="66" spans="1:64">
      <c r="A66" s="314" t="s">
        <v>1126</v>
      </c>
      <c r="B66" s="315"/>
      <c r="C66" s="315" t="s">
        <v>4652</v>
      </c>
      <c r="D66" s="443" t="s">
        <v>4653</v>
      </c>
      <c r="E66" s="444"/>
      <c r="F66" s="315" t="s">
        <v>236</v>
      </c>
      <c r="G66" s="316">
        <v>29</v>
      </c>
      <c r="H66" s="316"/>
      <c r="I66" s="316">
        <f t="shared" ref="I66:I79" si="50">G66*AO66</f>
        <v>0</v>
      </c>
      <c r="J66" s="316">
        <f t="shared" ref="J66:J79" si="51">G66*AP66</f>
        <v>0</v>
      </c>
      <c r="K66" s="316">
        <f t="shared" ref="K66:K79" si="52">G66*H66</f>
        <v>0</v>
      </c>
      <c r="L66" s="316">
        <v>0</v>
      </c>
      <c r="M66" s="316">
        <f t="shared" ref="M66:M79" si="53">G66*L66</f>
        <v>0</v>
      </c>
      <c r="N66" s="317" t="s">
        <v>4548</v>
      </c>
      <c r="O66" s="291"/>
      <c r="Z66" s="318">
        <f t="shared" ref="Z66:Z79" si="54">IF(AQ66="5",BJ66,0)</f>
        <v>0</v>
      </c>
      <c r="AB66" s="318">
        <f t="shared" ref="AB66:AB79" si="55">IF(AQ66="1",BH66,0)</f>
        <v>0</v>
      </c>
      <c r="AC66" s="318">
        <f t="shared" ref="AC66:AC79" si="56">IF(AQ66="1",BI66,0)</f>
        <v>0</v>
      </c>
      <c r="AD66" s="318">
        <f t="shared" ref="AD66:AD79" si="57">IF(AQ66="7",BH66,0)</f>
        <v>0</v>
      </c>
      <c r="AE66" s="318">
        <f t="shared" ref="AE66:AE79" si="58">IF(AQ66="7",BI66,0)</f>
        <v>0</v>
      </c>
      <c r="AF66" s="318">
        <f t="shared" ref="AF66:AF79" si="59">IF(AQ66="2",BH66,0)</f>
        <v>0</v>
      </c>
      <c r="AG66" s="318">
        <f t="shared" ref="AG66:AG79" si="60">IF(AQ66="2",BI66,0)</f>
        <v>0</v>
      </c>
      <c r="AH66" s="318">
        <f t="shared" ref="AH66:AH79" si="61">IF(AQ66="0",BJ66,0)</f>
        <v>0</v>
      </c>
      <c r="AI66" s="298"/>
      <c r="AJ66" s="316">
        <f t="shared" ref="AJ66:AJ79" si="62">IF(AN66=0,K66,0)</f>
        <v>0</v>
      </c>
      <c r="AK66" s="316">
        <f t="shared" ref="AK66:AK79" si="63">IF(AN66=15,K66,0)</f>
        <v>0</v>
      </c>
      <c r="AL66" s="316">
        <f t="shared" ref="AL66:AL79" si="64">IF(AN66=21,K66,0)</f>
        <v>0</v>
      </c>
      <c r="AN66" s="318">
        <v>21</v>
      </c>
      <c r="AO66" s="318">
        <f>H66*0</f>
        <v>0</v>
      </c>
      <c r="AP66" s="318">
        <f>H66*(1-0)</f>
        <v>0</v>
      </c>
      <c r="AQ66" s="319" t="s">
        <v>241</v>
      </c>
      <c r="AV66" s="318">
        <f t="shared" ref="AV66:AV79" si="65">AW66+AX66</f>
        <v>0</v>
      </c>
      <c r="AW66" s="318">
        <f t="shared" ref="AW66:AW79" si="66">G66*AO66</f>
        <v>0</v>
      </c>
      <c r="AX66" s="318">
        <f t="shared" ref="AX66:AX79" si="67">G66*AP66</f>
        <v>0</v>
      </c>
      <c r="AY66" s="320" t="s">
        <v>4654</v>
      </c>
      <c r="AZ66" s="320" t="s">
        <v>4579</v>
      </c>
      <c r="BA66" s="298" t="s">
        <v>4551</v>
      </c>
      <c r="BC66" s="318">
        <f t="shared" ref="BC66:BC79" si="68">AW66+AX66</f>
        <v>0</v>
      </c>
      <c r="BD66" s="318">
        <f t="shared" ref="BD66:BD79" si="69">H66/(100-BE66)*100</f>
        <v>0</v>
      </c>
      <c r="BE66" s="318">
        <v>0</v>
      </c>
      <c r="BF66" s="318">
        <f t="shared" ref="BF66:BF79" si="70">M66</f>
        <v>0</v>
      </c>
      <c r="BH66" s="316">
        <f t="shared" ref="BH66:BH79" si="71">G66*AO66</f>
        <v>0</v>
      </c>
      <c r="BI66" s="316">
        <f t="shared" ref="BI66:BI79" si="72">G66*AP66</f>
        <v>0</v>
      </c>
      <c r="BJ66" s="316">
        <f t="shared" ref="BJ66:BJ79" si="73">G66*H66</f>
        <v>0</v>
      </c>
      <c r="BK66" s="316" t="s">
        <v>815</v>
      </c>
      <c r="BL66" s="318">
        <v>735</v>
      </c>
    </row>
    <row r="67" spans="1:64">
      <c r="A67" s="314" t="s">
        <v>1132</v>
      </c>
      <c r="B67" s="315"/>
      <c r="C67" s="315" t="s">
        <v>4655</v>
      </c>
      <c r="D67" s="443" t="s">
        <v>4656</v>
      </c>
      <c r="E67" s="444"/>
      <c r="F67" s="315" t="s">
        <v>236</v>
      </c>
      <c r="G67" s="316">
        <v>29</v>
      </c>
      <c r="H67" s="316"/>
      <c r="I67" s="316">
        <f t="shared" si="50"/>
        <v>0</v>
      </c>
      <c r="J67" s="316">
        <f t="shared" si="51"/>
        <v>0</v>
      </c>
      <c r="K67" s="316">
        <f t="shared" si="52"/>
        <v>0</v>
      </c>
      <c r="L67" s="316">
        <v>4.0000000000000003E-5</v>
      </c>
      <c r="M67" s="316">
        <f t="shared" si="53"/>
        <v>1.16E-3</v>
      </c>
      <c r="N67" s="317" t="s">
        <v>4548</v>
      </c>
      <c r="O67" s="291"/>
      <c r="Z67" s="318">
        <f t="shared" si="54"/>
        <v>0</v>
      </c>
      <c r="AB67" s="318">
        <f t="shared" si="55"/>
        <v>0</v>
      </c>
      <c r="AC67" s="318">
        <f t="shared" si="56"/>
        <v>0</v>
      </c>
      <c r="AD67" s="318">
        <f t="shared" si="57"/>
        <v>0</v>
      </c>
      <c r="AE67" s="318">
        <f t="shared" si="58"/>
        <v>0</v>
      </c>
      <c r="AF67" s="318">
        <f t="shared" si="59"/>
        <v>0</v>
      </c>
      <c r="AG67" s="318">
        <f t="shared" si="60"/>
        <v>0</v>
      </c>
      <c r="AH67" s="318">
        <f t="shared" si="61"/>
        <v>0</v>
      </c>
      <c r="AI67" s="298"/>
      <c r="AJ67" s="316">
        <f t="shared" si="62"/>
        <v>0</v>
      </c>
      <c r="AK67" s="316">
        <f t="shared" si="63"/>
        <v>0</v>
      </c>
      <c r="AL67" s="316">
        <f t="shared" si="64"/>
        <v>0</v>
      </c>
      <c r="AN67" s="318">
        <v>21</v>
      </c>
      <c r="AO67" s="318">
        <f>H67*0.461216284134696</f>
        <v>0</v>
      </c>
      <c r="AP67" s="318">
        <f>H67*(1-0.461216284134696)</f>
        <v>0</v>
      </c>
      <c r="AQ67" s="319" t="s">
        <v>241</v>
      </c>
      <c r="AV67" s="318">
        <f t="shared" si="65"/>
        <v>0</v>
      </c>
      <c r="AW67" s="318">
        <f t="shared" si="66"/>
        <v>0</v>
      </c>
      <c r="AX67" s="318">
        <f t="shared" si="67"/>
        <v>0</v>
      </c>
      <c r="AY67" s="320" t="s">
        <v>4654</v>
      </c>
      <c r="AZ67" s="320" t="s">
        <v>4579</v>
      </c>
      <c r="BA67" s="298" t="s">
        <v>4551</v>
      </c>
      <c r="BC67" s="318">
        <f t="shared" si="68"/>
        <v>0</v>
      </c>
      <c r="BD67" s="318">
        <f t="shared" si="69"/>
        <v>0</v>
      </c>
      <c r="BE67" s="318">
        <v>0</v>
      </c>
      <c r="BF67" s="318">
        <f t="shared" si="70"/>
        <v>1.16E-3</v>
      </c>
      <c r="BH67" s="316">
        <f t="shared" si="71"/>
        <v>0</v>
      </c>
      <c r="BI67" s="316">
        <f t="shared" si="72"/>
        <v>0</v>
      </c>
      <c r="BJ67" s="316">
        <f t="shared" si="73"/>
        <v>0</v>
      </c>
      <c r="BK67" s="316" t="s">
        <v>815</v>
      </c>
      <c r="BL67" s="318">
        <v>735</v>
      </c>
    </row>
    <row r="68" spans="1:64">
      <c r="A68" s="314" t="s">
        <v>1134</v>
      </c>
      <c r="B68" s="315"/>
      <c r="C68" s="315" t="s">
        <v>4657</v>
      </c>
      <c r="D68" s="443" t="s">
        <v>4658</v>
      </c>
      <c r="E68" s="444"/>
      <c r="F68" s="315" t="s">
        <v>236</v>
      </c>
      <c r="G68" s="316">
        <v>1</v>
      </c>
      <c r="H68" s="316"/>
      <c r="I68" s="316">
        <f t="shared" si="50"/>
        <v>0</v>
      </c>
      <c r="J68" s="316">
        <f t="shared" si="51"/>
        <v>0</v>
      </c>
      <c r="K68" s="316">
        <f t="shared" si="52"/>
        <v>0</v>
      </c>
      <c r="L68" s="316">
        <v>1.2200000000000001E-2</v>
      </c>
      <c r="M68" s="316">
        <f t="shared" si="53"/>
        <v>1.2200000000000001E-2</v>
      </c>
      <c r="N68" s="317" t="s">
        <v>4548</v>
      </c>
      <c r="O68" s="291"/>
      <c r="Z68" s="318">
        <f t="shared" si="54"/>
        <v>0</v>
      </c>
      <c r="AB68" s="318">
        <f t="shared" si="55"/>
        <v>0</v>
      </c>
      <c r="AC68" s="318">
        <f t="shared" si="56"/>
        <v>0</v>
      </c>
      <c r="AD68" s="318">
        <f t="shared" si="57"/>
        <v>0</v>
      </c>
      <c r="AE68" s="318">
        <f t="shared" si="58"/>
        <v>0</v>
      </c>
      <c r="AF68" s="318">
        <f t="shared" si="59"/>
        <v>0</v>
      </c>
      <c r="AG68" s="318">
        <f t="shared" si="60"/>
        <v>0</v>
      </c>
      <c r="AH68" s="318">
        <f t="shared" si="61"/>
        <v>0</v>
      </c>
      <c r="AI68" s="298"/>
      <c r="AJ68" s="316">
        <f t="shared" si="62"/>
        <v>0</v>
      </c>
      <c r="AK68" s="316">
        <f t="shared" si="63"/>
        <v>0</v>
      </c>
      <c r="AL68" s="316">
        <f t="shared" si="64"/>
        <v>0</v>
      </c>
      <c r="AN68" s="318">
        <v>21</v>
      </c>
      <c r="AO68" s="318">
        <f>H68*0.914673097534834</f>
        <v>0</v>
      </c>
      <c r="AP68" s="318">
        <f>H68*(1-0.914673097534834)</f>
        <v>0</v>
      </c>
      <c r="AQ68" s="319" t="s">
        <v>241</v>
      </c>
      <c r="AV68" s="318">
        <f t="shared" si="65"/>
        <v>0</v>
      </c>
      <c r="AW68" s="318">
        <f t="shared" si="66"/>
        <v>0</v>
      </c>
      <c r="AX68" s="318">
        <f t="shared" si="67"/>
        <v>0</v>
      </c>
      <c r="AY68" s="320" t="s">
        <v>4654</v>
      </c>
      <c r="AZ68" s="320" t="s">
        <v>4579</v>
      </c>
      <c r="BA68" s="298" t="s">
        <v>4551</v>
      </c>
      <c r="BC68" s="318">
        <f t="shared" si="68"/>
        <v>0</v>
      </c>
      <c r="BD68" s="318">
        <f t="shared" si="69"/>
        <v>0</v>
      </c>
      <c r="BE68" s="318">
        <v>0</v>
      </c>
      <c r="BF68" s="318">
        <f t="shared" si="70"/>
        <v>1.2200000000000001E-2</v>
      </c>
      <c r="BH68" s="316">
        <f t="shared" si="71"/>
        <v>0</v>
      </c>
      <c r="BI68" s="316">
        <f t="shared" si="72"/>
        <v>0</v>
      </c>
      <c r="BJ68" s="316">
        <f t="shared" si="73"/>
        <v>0</v>
      </c>
      <c r="BK68" s="316" t="s">
        <v>815</v>
      </c>
      <c r="BL68" s="318">
        <v>735</v>
      </c>
    </row>
    <row r="69" spans="1:64">
      <c r="A69" s="314" t="s">
        <v>1136</v>
      </c>
      <c r="B69" s="315"/>
      <c r="C69" s="315" t="s">
        <v>4659</v>
      </c>
      <c r="D69" s="443" t="s">
        <v>4660</v>
      </c>
      <c r="E69" s="444"/>
      <c r="F69" s="315" t="s">
        <v>236</v>
      </c>
      <c r="G69" s="316">
        <v>2</v>
      </c>
      <c r="H69" s="316"/>
      <c r="I69" s="316">
        <f t="shared" si="50"/>
        <v>0</v>
      </c>
      <c r="J69" s="316">
        <f t="shared" si="51"/>
        <v>0</v>
      </c>
      <c r="K69" s="316">
        <f t="shared" si="52"/>
        <v>0</v>
      </c>
      <c r="L69" s="316">
        <v>1.575E-2</v>
      </c>
      <c r="M69" s="316">
        <f t="shared" si="53"/>
        <v>3.15E-2</v>
      </c>
      <c r="N69" s="317" t="s">
        <v>4548</v>
      </c>
      <c r="O69" s="291"/>
      <c r="Z69" s="318">
        <f t="shared" si="54"/>
        <v>0</v>
      </c>
      <c r="AB69" s="318">
        <f t="shared" si="55"/>
        <v>0</v>
      </c>
      <c r="AC69" s="318">
        <f t="shared" si="56"/>
        <v>0</v>
      </c>
      <c r="AD69" s="318">
        <f t="shared" si="57"/>
        <v>0</v>
      </c>
      <c r="AE69" s="318">
        <f t="shared" si="58"/>
        <v>0</v>
      </c>
      <c r="AF69" s="318">
        <f t="shared" si="59"/>
        <v>0</v>
      </c>
      <c r="AG69" s="318">
        <f t="shared" si="60"/>
        <v>0</v>
      </c>
      <c r="AH69" s="318">
        <f t="shared" si="61"/>
        <v>0</v>
      </c>
      <c r="AI69" s="298"/>
      <c r="AJ69" s="316">
        <f t="shared" si="62"/>
        <v>0</v>
      </c>
      <c r="AK69" s="316">
        <f t="shared" si="63"/>
        <v>0</v>
      </c>
      <c r="AL69" s="316">
        <f t="shared" si="64"/>
        <v>0</v>
      </c>
      <c r="AN69" s="318">
        <v>21</v>
      </c>
      <c r="AO69" s="318">
        <f>H69*0.921411648568608</f>
        <v>0</v>
      </c>
      <c r="AP69" s="318">
        <f>H69*(1-0.921411648568608)</f>
        <v>0</v>
      </c>
      <c r="AQ69" s="319" t="s">
        <v>241</v>
      </c>
      <c r="AV69" s="318">
        <f t="shared" si="65"/>
        <v>0</v>
      </c>
      <c r="AW69" s="318">
        <f t="shared" si="66"/>
        <v>0</v>
      </c>
      <c r="AX69" s="318">
        <f t="shared" si="67"/>
        <v>0</v>
      </c>
      <c r="AY69" s="320" t="s">
        <v>4654</v>
      </c>
      <c r="AZ69" s="320" t="s">
        <v>4579</v>
      </c>
      <c r="BA69" s="298" t="s">
        <v>4551</v>
      </c>
      <c r="BC69" s="318">
        <f t="shared" si="68"/>
        <v>0</v>
      </c>
      <c r="BD69" s="318">
        <f t="shared" si="69"/>
        <v>0</v>
      </c>
      <c r="BE69" s="318">
        <v>0</v>
      </c>
      <c r="BF69" s="318">
        <f t="shared" si="70"/>
        <v>3.15E-2</v>
      </c>
      <c r="BH69" s="316">
        <f t="shared" si="71"/>
        <v>0</v>
      </c>
      <c r="BI69" s="316">
        <f t="shared" si="72"/>
        <v>0</v>
      </c>
      <c r="BJ69" s="316">
        <f t="shared" si="73"/>
        <v>0</v>
      </c>
      <c r="BK69" s="316" t="s">
        <v>815</v>
      </c>
      <c r="BL69" s="318">
        <v>735</v>
      </c>
    </row>
    <row r="70" spans="1:64">
      <c r="A70" s="314" t="s">
        <v>1142</v>
      </c>
      <c r="B70" s="315"/>
      <c r="C70" s="315" t="s">
        <v>4661</v>
      </c>
      <c r="D70" s="443" t="s">
        <v>4662</v>
      </c>
      <c r="E70" s="444"/>
      <c r="F70" s="315" t="s">
        <v>236</v>
      </c>
      <c r="G70" s="316">
        <v>1</v>
      </c>
      <c r="H70" s="316"/>
      <c r="I70" s="316">
        <f t="shared" si="50"/>
        <v>0</v>
      </c>
      <c r="J70" s="316">
        <f t="shared" si="51"/>
        <v>0</v>
      </c>
      <c r="K70" s="316">
        <f t="shared" si="52"/>
        <v>0</v>
      </c>
      <c r="L70" s="316">
        <v>2.1350000000000001E-2</v>
      </c>
      <c r="M70" s="316">
        <f t="shared" si="53"/>
        <v>2.1350000000000001E-2</v>
      </c>
      <c r="N70" s="317" t="s">
        <v>4548</v>
      </c>
      <c r="O70" s="291"/>
      <c r="Z70" s="318">
        <f t="shared" si="54"/>
        <v>0</v>
      </c>
      <c r="AB70" s="318">
        <f t="shared" si="55"/>
        <v>0</v>
      </c>
      <c r="AC70" s="318">
        <f t="shared" si="56"/>
        <v>0</v>
      </c>
      <c r="AD70" s="318">
        <f t="shared" si="57"/>
        <v>0</v>
      </c>
      <c r="AE70" s="318">
        <f t="shared" si="58"/>
        <v>0</v>
      </c>
      <c r="AF70" s="318">
        <f t="shared" si="59"/>
        <v>0</v>
      </c>
      <c r="AG70" s="318">
        <f t="shared" si="60"/>
        <v>0</v>
      </c>
      <c r="AH70" s="318">
        <f t="shared" si="61"/>
        <v>0</v>
      </c>
      <c r="AI70" s="298"/>
      <c r="AJ70" s="316">
        <f t="shared" si="62"/>
        <v>0</v>
      </c>
      <c r="AK70" s="316">
        <f t="shared" si="63"/>
        <v>0</v>
      </c>
      <c r="AL70" s="316">
        <f t="shared" si="64"/>
        <v>0</v>
      </c>
      <c r="AN70" s="318">
        <v>21</v>
      </c>
      <c r="AO70" s="318">
        <f>H70*0.930896199495401</f>
        <v>0</v>
      </c>
      <c r="AP70" s="318">
        <f>H70*(1-0.930896199495401)</f>
        <v>0</v>
      </c>
      <c r="AQ70" s="319" t="s">
        <v>241</v>
      </c>
      <c r="AV70" s="318">
        <f t="shared" si="65"/>
        <v>0</v>
      </c>
      <c r="AW70" s="318">
        <f t="shared" si="66"/>
        <v>0</v>
      </c>
      <c r="AX70" s="318">
        <f t="shared" si="67"/>
        <v>0</v>
      </c>
      <c r="AY70" s="320" t="s">
        <v>4654</v>
      </c>
      <c r="AZ70" s="320" t="s">
        <v>4579</v>
      </c>
      <c r="BA70" s="298" t="s">
        <v>4551</v>
      </c>
      <c r="BC70" s="318">
        <f t="shared" si="68"/>
        <v>0</v>
      </c>
      <c r="BD70" s="318">
        <f t="shared" si="69"/>
        <v>0</v>
      </c>
      <c r="BE70" s="318">
        <v>0</v>
      </c>
      <c r="BF70" s="318">
        <f t="shared" si="70"/>
        <v>2.1350000000000001E-2</v>
      </c>
      <c r="BH70" s="316">
        <f t="shared" si="71"/>
        <v>0</v>
      </c>
      <c r="BI70" s="316">
        <f t="shared" si="72"/>
        <v>0</v>
      </c>
      <c r="BJ70" s="316">
        <f t="shared" si="73"/>
        <v>0</v>
      </c>
      <c r="BK70" s="316" t="s">
        <v>815</v>
      </c>
      <c r="BL70" s="318">
        <v>735</v>
      </c>
    </row>
    <row r="71" spans="1:64">
      <c r="A71" s="314" t="s">
        <v>1146</v>
      </c>
      <c r="B71" s="315"/>
      <c r="C71" s="315" t="s">
        <v>4663</v>
      </c>
      <c r="D71" s="443" t="s">
        <v>4664</v>
      </c>
      <c r="E71" s="444"/>
      <c r="F71" s="315" t="s">
        <v>236</v>
      </c>
      <c r="G71" s="316">
        <v>1</v>
      </c>
      <c r="H71" s="316"/>
      <c r="I71" s="316">
        <f t="shared" si="50"/>
        <v>0</v>
      </c>
      <c r="J71" s="316">
        <f t="shared" si="51"/>
        <v>0</v>
      </c>
      <c r="K71" s="316">
        <f t="shared" si="52"/>
        <v>0</v>
      </c>
      <c r="L71" s="316">
        <v>2.4400000000000002E-2</v>
      </c>
      <c r="M71" s="316">
        <f t="shared" si="53"/>
        <v>2.4400000000000002E-2</v>
      </c>
      <c r="N71" s="317" t="s">
        <v>4548</v>
      </c>
      <c r="O71" s="291"/>
      <c r="Z71" s="318">
        <f t="shared" si="54"/>
        <v>0</v>
      </c>
      <c r="AB71" s="318">
        <f t="shared" si="55"/>
        <v>0</v>
      </c>
      <c r="AC71" s="318">
        <f t="shared" si="56"/>
        <v>0</v>
      </c>
      <c r="AD71" s="318">
        <f t="shared" si="57"/>
        <v>0</v>
      </c>
      <c r="AE71" s="318">
        <f t="shared" si="58"/>
        <v>0</v>
      </c>
      <c r="AF71" s="318">
        <f t="shared" si="59"/>
        <v>0</v>
      </c>
      <c r="AG71" s="318">
        <f t="shared" si="60"/>
        <v>0</v>
      </c>
      <c r="AH71" s="318">
        <f t="shared" si="61"/>
        <v>0</v>
      </c>
      <c r="AI71" s="298"/>
      <c r="AJ71" s="316">
        <f t="shared" si="62"/>
        <v>0</v>
      </c>
      <c r="AK71" s="316">
        <f t="shared" si="63"/>
        <v>0</v>
      </c>
      <c r="AL71" s="316">
        <f t="shared" si="64"/>
        <v>0</v>
      </c>
      <c r="AN71" s="318">
        <v>21</v>
      </c>
      <c r="AO71" s="318">
        <f>H71*0.934094098883573</f>
        <v>0</v>
      </c>
      <c r="AP71" s="318">
        <f>H71*(1-0.934094098883573)</f>
        <v>0</v>
      </c>
      <c r="AQ71" s="319" t="s">
        <v>241</v>
      </c>
      <c r="AV71" s="318">
        <f t="shared" si="65"/>
        <v>0</v>
      </c>
      <c r="AW71" s="318">
        <f t="shared" si="66"/>
        <v>0</v>
      </c>
      <c r="AX71" s="318">
        <f t="shared" si="67"/>
        <v>0</v>
      </c>
      <c r="AY71" s="320" t="s">
        <v>4654</v>
      </c>
      <c r="AZ71" s="320" t="s">
        <v>4579</v>
      </c>
      <c r="BA71" s="298" t="s">
        <v>4551</v>
      </c>
      <c r="BC71" s="318">
        <f t="shared" si="68"/>
        <v>0</v>
      </c>
      <c r="BD71" s="318">
        <f t="shared" si="69"/>
        <v>0</v>
      </c>
      <c r="BE71" s="318">
        <v>0</v>
      </c>
      <c r="BF71" s="318">
        <f t="shared" si="70"/>
        <v>2.4400000000000002E-2</v>
      </c>
      <c r="BH71" s="316">
        <f t="shared" si="71"/>
        <v>0</v>
      </c>
      <c r="BI71" s="316">
        <f t="shared" si="72"/>
        <v>0</v>
      </c>
      <c r="BJ71" s="316">
        <f t="shared" si="73"/>
        <v>0</v>
      </c>
      <c r="BK71" s="316" t="s">
        <v>815</v>
      </c>
      <c r="BL71" s="318">
        <v>735</v>
      </c>
    </row>
    <row r="72" spans="1:64">
      <c r="A72" s="314" t="s">
        <v>1150</v>
      </c>
      <c r="B72" s="315"/>
      <c r="C72" s="315" t="s">
        <v>4665</v>
      </c>
      <c r="D72" s="443" t="s">
        <v>4666</v>
      </c>
      <c r="E72" s="444"/>
      <c r="F72" s="315" t="s">
        <v>236</v>
      </c>
      <c r="G72" s="316">
        <v>1</v>
      </c>
      <c r="H72" s="316"/>
      <c r="I72" s="316">
        <f t="shared" si="50"/>
        <v>0</v>
      </c>
      <c r="J72" s="316">
        <f t="shared" si="51"/>
        <v>0</v>
      </c>
      <c r="K72" s="316">
        <f t="shared" si="52"/>
        <v>0</v>
      </c>
      <c r="L72" s="316">
        <v>2.904E-2</v>
      </c>
      <c r="M72" s="316">
        <f t="shared" si="53"/>
        <v>2.904E-2</v>
      </c>
      <c r="N72" s="317" t="s">
        <v>4548</v>
      </c>
      <c r="O72" s="291"/>
      <c r="Z72" s="318">
        <f t="shared" si="54"/>
        <v>0</v>
      </c>
      <c r="AB72" s="318">
        <f t="shared" si="55"/>
        <v>0</v>
      </c>
      <c r="AC72" s="318">
        <f t="shared" si="56"/>
        <v>0</v>
      </c>
      <c r="AD72" s="318">
        <f t="shared" si="57"/>
        <v>0</v>
      </c>
      <c r="AE72" s="318">
        <f t="shared" si="58"/>
        <v>0</v>
      </c>
      <c r="AF72" s="318">
        <f t="shared" si="59"/>
        <v>0</v>
      </c>
      <c r="AG72" s="318">
        <f t="shared" si="60"/>
        <v>0</v>
      </c>
      <c r="AH72" s="318">
        <f t="shared" si="61"/>
        <v>0</v>
      </c>
      <c r="AI72" s="298"/>
      <c r="AJ72" s="316">
        <f t="shared" si="62"/>
        <v>0</v>
      </c>
      <c r="AK72" s="316">
        <f t="shared" si="63"/>
        <v>0</v>
      </c>
      <c r="AL72" s="316">
        <f t="shared" si="64"/>
        <v>0</v>
      </c>
      <c r="AN72" s="318">
        <v>21</v>
      </c>
      <c r="AO72" s="318">
        <f>H72*0.939806263656227</f>
        <v>0</v>
      </c>
      <c r="AP72" s="318">
        <f>H72*(1-0.939806263656227)</f>
        <v>0</v>
      </c>
      <c r="AQ72" s="319" t="s">
        <v>241</v>
      </c>
      <c r="AV72" s="318">
        <f t="shared" si="65"/>
        <v>0</v>
      </c>
      <c r="AW72" s="318">
        <f t="shared" si="66"/>
        <v>0</v>
      </c>
      <c r="AX72" s="318">
        <f t="shared" si="67"/>
        <v>0</v>
      </c>
      <c r="AY72" s="320" t="s">
        <v>4654</v>
      </c>
      <c r="AZ72" s="320" t="s">
        <v>4579</v>
      </c>
      <c r="BA72" s="298" t="s">
        <v>4551</v>
      </c>
      <c r="BC72" s="318">
        <f t="shared" si="68"/>
        <v>0</v>
      </c>
      <c r="BD72" s="318">
        <f t="shared" si="69"/>
        <v>0</v>
      </c>
      <c r="BE72" s="318">
        <v>0</v>
      </c>
      <c r="BF72" s="318">
        <f t="shared" si="70"/>
        <v>2.904E-2</v>
      </c>
      <c r="BH72" s="316">
        <f t="shared" si="71"/>
        <v>0</v>
      </c>
      <c r="BI72" s="316">
        <f t="shared" si="72"/>
        <v>0</v>
      </c>
      <c r="BJ72" s="316">
        <f t="shared" si="73"/>
        <v>0</v>
      </c>
      <c r="BK72" s="316" t="s">
        <v>815</v>
      </c>
      <c r="BL72" s="318">
        <v>735</v>
      </c>
    </row>
    <row r="73" spans="1:64">
      <c r="A73" s="314" t="s">
        <v>1158</v>
      </c>
      <c r="B73" s="315"/>
      <c r="C73" s="315" t="s">
        <v>4667</v>
      </c>
      <c r="D73" s="443" t="s">
        <v>4668</v>
      </c>
      <c r="E73" s="444"/>
      <c r="F73" s="315" t="s">
        <v>236</v>
      </c>
      <c r="G73" s="316">
        <v>2</v>
      </c>
      <c r="H73" s="316"/>
      <c r="I73" s="316">
        <f t="shared" si="50"/>
        <v>0</v>
      </c>
      <c r="J73" s="316">
        <f t="shared" si="51"/>
        <v>0</v>
      </c>
      <c r="K73" s="316">
        <f t="shared" si="52"/>
        <v>0</v>
      </c>
      <c r="L73" s="316">
        <v>5.0819999999999997E-2</v>
      </c>
      <c r="M73" s="316">
        <f t="shared" si="53"/>
        <v>0.10163999999999999</v>
      </c>
      <c r="N73" s="317" t="s">
        <v>4548</v>
      </c>
      <c r="O73" s="291"/>
      <c r="Z73" s="318">
        <f t="shared" si="54"/>
        <v>0</v>
      </c>
      <c r="AB73" s="318">
        <f t="shared" si="55"/>
        <v>0</v>
      </c>
      <c r="AC73" s="318">
        <f t="shared" si="56"/>
        <v>0</v>
      </c>
      <c r="AD73" s="318">
        <f t="shared" si="57"/>
        <v>0</v>
      </c>
      <c r="AE73" s="318">
        <f t="shared" si="58"/>
        <v>0</v>
      </c>
      <c r="AF73" s="318">
        <f t="shared" si="59"/>
        <v>0</v>
      </c>
      <c r="AG73" s="318">
        <f t="shared" si="60"/>
        <v>0</v>
      </c>
      <c r="AH73" s="318">
        <f t="shared" si="61"/>
        <v>0</v>
      </c>
      <c r="AI73" s="298"/>
      <c r="AJ73" s="316">
        <f t="shared" si="62"/>
        <v>0</v>
      </c>
      <c r="AK73" s="316">
        <f t="shared" si="63"/>
        <v>0</v>
      </c>
      <c r="AL73" s="316">
        <f t="shared" si="64"/>
        <v>0</v>
      </c>
      <c r="AN73" s="318">
        <v>21</v>
      </c>
      <c r="AO73" s="318">
        <f>H73*0.954738462449911</f>
        <v>0</v>
      </c>
      <c r="AP73" s="318">
        <f>H73*(1-0.954738462449911)</f>
        <v>0</v>
      </c>
      <c r="AQ73" s="319" t="s">
        <v>241</v>
      </c>
      <c r="AV73" s="318">
        <f t="shared" si="65"/>
        <v>0</v>
      </c>
      <c r="AW73" s="318">
        <f t="shared" si="66"/>
        <v>0</v>
      </c>
      <c r="AX73" s="318">
        <f t="shared" si="67"/>
        <v>0</v>
      </c>
      <c r="AY73" s="320" t="s">
        <v>4654</v>
      </c>
      <c r="AZ73" s="320" t="s">
        <v>4579</v>
      </c>
      <c r="BA73" s="298" t="s">
        <v>4551</v>
      </c>
      <c r="BC73" s="318">
        <f t="shared" si="68"/>
        <v>0</v>
      </c>
      <c r="BD73" s="318">
        <f t="shared" si="69"/>
        <v>0</v>
      </c>
      <c r="BE73" s="318">
        <v>0</v>
      </c>
      <c r="BF73" s="318">
        <f t="shared" si="70"/>
        <v>0.10163999999999999</v>
      </c>
      <c r="BH73" s="316">
        <f t="shared" si="71"/>
        <v>0</v>
      </c>
      <c r="BI73" s="316">
        <f t="shared" si="72"/>
        <v>0</v>
      </c>
      <c r="BJ73" s="316">
        <f t="shared" si="73"/>
        <v>0</v>
      </c>
      <c r="BK73" s="316" t="s">
        <v>815</v>
      </c>
      <c r="BL73" s="318">
        <v>735</v>
      </c>
    </row>
    <row r="74" spans="1:64">
      <c r="A74" s="314" t="s">
        <v>1166</v>
      </c>
      <c r="B74" s="315"/>
      <c r="C74" s="315" t="s">
        <v>4669</v>
      </c>
      <c r="D74" s="443" t="s">
        <v>4670</v>
      </c>
      <c r="E74" s="444"/>
      <c r="F74" s="315" t="s">
        <v>236</v>
      </c>
      <c r="G74" s="316">
        <v>10</v>
      </c>
      <c r="H74" s="316"/>
      <c r="I74" s="316">
        <f t="shared" si="50"/>
        <v>0</v>
      </c>
      <c r="J74" s="316">
        <f t="shared" si="51"/>
        <v>0</v>
      </c>
      <c r="K74" s="316">
        <f t="shared" si="52"/>
        <v>0</v>
      </c>
      <c r="L74" s="316">
        <v>5.808E-2</v>
      </c>
      <c r="M74" s="316">
        <f t="shared" si="53"/>
        <v>0.58079999999999998</v>
      </c>
      <c r="N74" s="317" t="s">
        <v>4548</v>
      </c>
      <c r="O74" s="291"/>
      <c r="Z74" s="318">
        <f t="shared" si="54"/>
        <v>0</v>
      </c>
      <c r="AB74" s="318">
        <f t="shared" si="55"/>
        <v>0</v>
      </c>
      <c r="AC74" s="318">
        <f t="shared" si="56"/>
        <v>0</v>
      </c>
      <c r="AD74" s="318">
        <f t="shared" si="57"/>
        <v>0</v>
      </c>
      <c r="AE74" s="318">
        <f t="shared" si="58"/>
        <v>0</v>
      </c>
      <c r="AF74" s="318">
        <f t="shared" si="59"/>
        <v>0</v>
      </c>
      <c r="AG74" s="318">
        <f t="shared" si="60"/>
        <v>0</v>
      </c>
      <c r="AH74" s="318">
        <f t="shared" si="61"/>
        <v>0</v>
      </c>
      <c r="AI74" s="298"/>
      <c r="AJ74" s="316">
        <f t="shared" si="62"/>
        <v>0</v>
      </c>
      <c r="AK74" s="316">
        <f t="shared" si="63"/>
        <v>0</v>
      </c>
      <c r="AL74" s="316">
        <f t="shared" si="64"/>
        <v>0</v>
      </c>
      <c r="AN74" s="318">
        <v>21</v>
      </c>
      <c r="AO74" s="318">
        <f>H74*0.953784458834413</f>
        <v>0</v>
      </c>
      <c r="AP74" s="318">
        <f>H74*(1-0.953784458834413)</f>
        <v>0</v>
      </c>
      <c r="AQ74" s="319" t="s">
        <v>241</v>
      </c>
      <c r="AV74" s="318">
        <f t="shared" si="65"/>
        <v>0</v>
      </c>
      <c r="AW74" s="318">
        <f t="shared" si="66"/>
        <v>0</v>
      </c>
      <c r="AX74" s="318">
        <f t="shared" si="67"/>
        <v>0</v>
      </c>
      <c r="AY74" s="320" t="s">
        <v>4654</v>
      </c>
      <c r="AZ74" s="320" t="s">
        <v>4579</v>
      </c>
      <c r="BA74" s="298" t="s">
        <v>4551</v>
      </c>
      <c r="BC74" s="318">
        <f t="shared" si="68"/>
        <v>0</v>
      </c>
      <c r="BD74" s="318">
        <f t="shared" si="69"/>
        <v>0</v>
      </c>
      <c r="BE74" s="318">
        <v>0</v>
      </c>
      <c r="BF74" s="318">
        <f t="shared" si="70"/>
        <v>0.58079999999999998</v>
      </c>
      <c r="BH74" s="316">
        <f t="shared" si="71"/>
        <v>0</v>
      </c>
      <c r="BI74" s="316">
        <f t="shared" si="72"/>
        <v>0</v>
      </c>
      <c r="BJ74" s="316">
        <f t="shared" si="73"/>
        <v>0</v>
      </c>
      <c r="BK74" s="316" t="s">
        <v>815</v>
      </c>
      <c r="BL74" s="318">
        <v>735</v>
      </c>
    </row>
    <row r="75" spans="1:64">
      <c r="A75" s="314" t="s">
        <v>1169</v>
      </c>
      <c r="B75" s="315"/>
      <c r="C75" s="315" t="s">
        <v>4671</v>
      </c>
      <c r="D75" s="443" t="s">
        <v>4672</v>
      </c>
      <c r="E75" s="444"/>
      <c r="F75" s="315" t="s">
        <v>236</v>
      </c>
      <c r="G75" s="316">
        <v>7</v>
      </c>
      <c r="H75" s="316"/>
      <c r="I75" s="316">
        <f t="shared" si="50"/>
        <v>0</v>
      </c>
      <c r="J75" s="316">
        <f t="shared" si="51"/>
        <v>0</v>
      </c>
      <c r="K75" s="316">
        <f t="shared" si="52"/>
        <v>0</v>
      </c>
      <c r="L75" s="316">
        <v>6.5339999999999995E-2</v>
      </c>
      <c r="M75" s="316">
        <f t="shared" si="53"/>
        <v>0.45737999999999995</v>
      </c>
      <c r="N75" s="317" t="s">
        <v>4548</v>
      </c>
      <c r="O75" s="291"/>
      <c r="Z75" s="318">
        <f t="shared" si="54"/>
        <v>0</v>
      </c>
      <c r="AB75" s="318">
        <f t="shared" si="55"/>
        <v>0</v>
      </c>
      <c r="AC75" s="318">
        <f t="shared" si="56"/>
        <v>0</v>
      </c>
      <c r="AD75" s="318">
        <f t="shared" si="57"/>
        <v>0</v>
      </c>
      <c r="AE75" s="318">
        <f t="shared" si="58"/>
        <v>0</v>
      </c>
      <c r="AF75" s="318">
        <f t="shared" si="59"/>
        <v>0</v>
      </c>
      <c r="AG75" s="318">
        <f t="shared" si="60"/>
        <v>0</v>
      </c>
      <c r="AH75" s="318">
        <f t="shared" si="61"/>
        <v>0</v>
      </c>
      <c r="AI75" s="298"/>
      <c r="AJ75" s="316">
        <f t="shared" si="62"/>
        <v>0</v>
      </c>
      <c r="AK75" s="316">
        <f t="shared" si="63"/>
        <v>0</v>
      </c>
      <c r="AL75" s="316">
        <f t="shared" si="64"/>
        <v>0</v>
      </c>
      <c r="AN75" s="318">
        <v>21</v>
      </c>
      <c r="AO75" s="318">
        <f>H75*0.955438573614372</f>
        <v>0</v>
      </c>
      <c r="AP75" s="318">
        <f>H75*(1-0.955438573614372)</f>
        <v>0</v>
      </c>
      <c r="AQ75" s="319" t="s">
        <v>241</v>
      </c>
      <c r="AV75" s="318">
        <f t="shared" si="65"/>
        <v>0</v>
      </c>
      <c r="AW75" s="318">
        <f t="shared" si="66"/>
        <v>0</v>
      </c>
      <c r="AX75" s="318">
        <f t="shared" si="67"/>
        <v>0</v>
      </c>
      <c r="AY75" s="320" t="s">
        <v>4654</v>
      </c>
      <c r="AZ75" s="320" t="s">
        <v>4579</v>
      </c>
      <c r="BA75" s="298" t="s">
        <v>4551</v>
      </c>
      <c r="BC75" s="318">
        <f t="shared" si="68"/>
        <v>0</v>
      </c>
      <c r="BD75" s="318">
        <f t="shared" si="69"/>
        <v>0</v>
      </c>
      <c r="BE75" s="318">
        <v>0</v>
      </c>
      <c r="BF75" s="318">
        <f t="shared" si="70"/>
        <v>0.45737999999999995</v>
      </c>
      <c r="BH75" s="316">
        <f t="shared" si="71"/>
        <v>0</v>
      </c>
      <c r="BI75" s="316">
        <f t="shared" si="72"/>
        <v>0</v>
      </c>
      <c r="BJ75" s="316">
        <f t="shared" si="73"/>
        <v>0</v>
      </c>
      <c r="BK75" s="316" t="s">
        <v>815</v>
      </c>
      <c r="BL75" s="318">
        <v>735</v>
      </c>
    </row>
    <row r="76" spans="1:64">
      <c r="A76" s="314" t="s">
        <v>1175</v>
      </c>
      <c r="B76" s="315"/>
      <c r="C76" s="315" t="s">
        <v>4673</v>
      </c>
      <c r="D76" s="443" t="s">
        <v>4674</v>
      </c>
      <c r="E76" s="444"/>
      <c r="F76" s="315" t="s">
        <v>236</v>
      </c>
      <c r="G76" s="316">
        <v>1</v>
      </c>
      <c r="H76" s="316"/>
      <c r="I76" s="316">
        <f t="shared" si="50"/>
        <v>0</v>
      </c>
      <c r="J76" s="316">
        <f t="shared" si="51"/>
        <v>0</v>
      </c>
      <c r="K76" s="316">
        <f t="shared" si="52"/>
        <v>0</v>
      </c>
      <c r="L76" s="316">
        <v>7.2599999999999998E-2</v>
      </c>
      <c r="M76" s="316">
        <f t="shared" si="53"/>
        <v>7.2599999999999998E-2</v>
      </c>
      <c r="N76" s="317" t="s">
        <v>4548</v>
      </c>
      <c r="O76" s="291"/>
      <c r="Z76" s="318">
        <f t="shared" si="54"/>
        <v>0</v>
      </c>
      <c r="AB76" s="318">
        <f t="shared" si="55"/>
        <v>0</v>
      </c>
      <c r="AC76" s="318">
        <f t="shared" si="56"/>
        <v>0</v>
      </c>
      <c r="AD76" s="318">
        <f t="shared" si="57"/>
        <v>0</v>
      </c>
      <c r="AE76" s="318">
        <f t="shared" si="58"/>
        <v>0</v>
      </c>
      <c r="AF76" s="318">
        <f t="shared" si="59"/>
        <v>0</v>
      </c>
      <c r="AG76" s="318">
        <f t="shared" si="60"/>
        <v>0</v>
      </c>
      <c r="AH76" s="318">
        <f t="shared" si="61"/>
        <v>0</v>
      </c>
      <c r="AI76" s="298"/>
      <c r="AJ76" s="316">
        <f t="shared" si="62"/>
        <v>0</v>
      </c>
      <c r="AK76" s="316">
        <f t="shared" si="63"/>
        <v>0</v>
      </c>
      <c r="AL76" s="316">
        <f t="shared" si="64"/>
        <v>0</v>
      </c>
      <c r="AN76" s="318">
        <v>21</v>
      </c>
      <c r="AO76" s="318">
        <f>H76*0.958370602032838</f>
        <v>0</v>
      </c>
      <c r="AP76" s="318">
        <f>H76*(1-0.958370602032838)</f>
        <v>0</v>
      </c>
      <c r="AQ76" s="319" t="s">
        <v>241</v>
      </c>
      <c r="AV76" s="318">
        <f t="shared" si="65"/>
        <v>0</v>
      </c>
      <c r="AW76" s="318">
        <f t="shared" si="66"/>
        <v>0</v>
      </c>
      <c r="AX76" s="318">
        <f t="shared" si="67"/>
        <v>0</v>
      </c>
      <c r="AY76" s="320" t="s">
        <v>4654</v>
      </c>
      <c r="AZ76" s="320" t="s">
        <v>4579</v>
      </c>
      <c r="BA76" s="298" t="s">
        <v>4551</v>
      </c>
      <c r="BC76" s="318">
        <f t="shared" si="68"/>
        <v>0</v>
      </c>
      <c r="BD76" s="318">
        <f t="shared" si="69"/>
        <v>0</v>
      </c>
      <c r="BE76" s="318">
        <v>0</v>
      </c>
      <c r="BF76" s="318">
        <f t="shared" si="70"/>
        <v>7.2599999999999998E-2</v>
      </c>
      <c r="BH76" s="316">
        <f t="shared" si="71"/>
        <v>0</v>
      </c>
      <c r="BI76" s="316">
        <f t="shared" si="72"/>
        <v>0</v>
      </c>
      <c r="BJ76" s="316">
        <f t="shared" si="73"/>
        <v>0</v>
      </c>
      <c r="BK76" s="316" t="s">
        <v>815</v>
      </c>
      <c r="BL76" s="318">
        <v>735</v>
      </c>
    </row>
    <row r="77" spans="1:64">
      <c r="A77" s="314" t="s">
        <v>1179</v>
      </c>
      <c r="B77" s="315"/>
      <c r="C77" s="315" t="s">
        <v>4675</v>
      </c>
      <c r="D77" s="443" t="s">
        <v>4676</v>
      </c>
      <c r="E77" s="444"/>
      <c r="F77" s="315" t="s">
        <v>236</v>
      </c>
      <c r="G77" s="316">
        <v>2</v>
      </c>
      <c r="H77" s="316"/>
      <c r="I77" s="316">
        <f t="shared" si="50"/>
        <v>0</v>
      </c>
      <c r="J77" s="316">
        <f t="shared" si="51"/>
        <v>0</v>
      </c>
      <c r="K77" s="316">
        <f t="shared" si="52"/>
        <v>0</v>
      </c>
      <c r="L77" s="316">
        <v>8.3489999999999995E-2</v>
      </c>
      <c r="M77" s="316">
        <f t="shared" si="53"/>
        <v>0.16697999999999999</v>
      </c>
      <c r="N77" s="317" t="s">
        <v>4548</v>
      </c>
      <c r="O77" s="291"/>
      <c r="Z77" s="318">
        <f t="shared" si="54"/>
        <v>0</v>
      </c>
      <c r="AB77" s="318">
        <f t="shared" si="55"/>
        <v>0</v>
      </c>
      <c r="AC77" s="318">
        <f t="shared" si="56"/>
        <v>0</v>
      </c>
      <c r="AD77" s="318">
        <f t="shared" si="57"/>
        <v>0</v>
      </c>
      <c r="AE77" s="318">
        <f t="shared" si="58"/>
        <v>0</v>
      </c>
      <c r="AF77" s="318">
        <f t="shared" si="59"/>
        <v>0</v>
      </c>
      <c r="AG77" s="318">
        <f t="shared" si="60"/>
        <v>0</v>
      </c>
      <c r="AH77" s="318">
        <f t="shared" si="61"/>
        <v>0</v>
      </c>
      <c r="AI77" s="298"/>
      <c r="AJ77" s="316">
        <f t="shared" si="62"/>
        <v>0</v>
      </c>
      <c r="AK77" s="316">
        <f t="shared" si="63"/>
        <v>0</v>
      </c>
      <c r="AL77" s="316">
        <f t="shared" si="64"/>
        <v>0</v>
      </c>
      <c r="AN77" s="318">
        <v>21</v>
      </c>
      <c r="AO77" s="318">
        <f>H77*0.958851748251748</f>
        <v>0</v>
      </c>
      <c r="AP77" s="318">
        <f>H77*(1-0.958851748251748)</f>
        <v>0</v>
      </c>
      <c r="AQ77" s="319" t="s">
        <v>241</v>
      </c>
      <c r="AV77" s="318">
        <f t="shared" si="65"/>
        <v>0</v>
      </c>
      <c r="AW77" s="318">
        <f t="shared" si="66"/>
        <v>0</v>
      </c>
      <c r="AX77" s="318">
        <f t="shared" si="67"/>
        <v>0</v>
      </c>
      <c r="AY77" s="320" t="s">
        <v>4654</v>
      </c>
      <c r="AZ77" s="320" t="s">
        <v>4579</v>
      </c>
      <c r="BA77" s="298" t="s">
        <v>4551</v>
      </c>
      <c r="BC77" s="318">
        <f t="shared" si="68"/>
        <v>0</v>
      </c>
      <c r="BD77" s="318">
        <f t="shared" si="69"/>
        <v>0</v>
      </c>
      <c r="BE77" s="318">
        <v>0</v>
      </c>
      <c r="BF77" s="318">
        <f t="shared" si="70"/>
        <v>0.16697999999999999</v>
      </c>
      <c r="BH77" s="316">
        <f t="shared" si="71"/>
        <v>0</v>
      </c>
      <c r="BI77" s="316">
        <f t="shared" si="72"/>
        <v>0</v>
      </c>
      <c r="BJ77" s="316">
        <f t="shared" si="73"/>
        <v>0</v>
      </c>
      <c r="BK77" s="316" t="s">
        <v>815</v>
      </c>
      <c r="BL77" s="318">
        <v>735</v>
      </c>
    </row>
    <row r="78" spans="1:64">
      <c r="A78" s="314" t="s">
        <v>1182</v>
      </c>
      <c r="B78" s="315"/>
      <c r="C78" s="315" t="s">
        <v>4677</v>
      </c>
      <c r="D78" s="443" t="s">
        <v>4678</v>
      </c>
      <c r="E78" s="444"/>
      <c r="F78" s="315" t="s">
        <v>236</v>
      </c>
      <c r="G78" s="316">
        <v>2</v>
      </c>
      <c r="H78" s="316"/>
      <c r="I78" s="316">
        <f t="shared" si="50"/>
        <v>0</v>
      </c>
      <c r="J78" s="316">
        <f t="shared" si="51"/>
        <v>0</v>
      </c>
      <c r="K78" s="316">
        <f t="shared" si="52"/>
        <v>0</v>
      </c>
      <c r="L78" s="316">
        <v>2.2519999999999998E-2</v>
      </c>
      <c r="M78" s="316">
        <f t="shared" si="53"/>
        <v>4.5039999999999997E-2</v>
      </c>
      <c r="N78" s="317" t="s">
        <v>4548</v>
      </c>
      <c r="O78" s="291"/>
      <c r="Z78" s="318">
        <f t="shared" si="54"/>
        <v>0</v>
      </c>
      <c r="AB78" s="318">
        <f t="shared" si="55"/>
        <v>0</v>
      </c>
      <c r="AC78" s="318">
        <f t="shared" si="56"/>
        <v>0</v>
      </c>
      <c r="AD78" s="318">
        <f t="shared" si="57"/>
        <v>0</v>
      </c>
      <c r="AE78" s="318">
        <f t="shared" si="58"/>
        <v>0</v>
      </c>
      <c r="AF78" s="318">
        <f t="shared" si="59"/>
        <v>0</v>
      </c>
      <c r="AG78" s="318">
        <f t="shared" si="60"/>
        <v>0</v>
      </c>
      <c r="AH78" s="318">
        <f t="shared" si="61"/>
        <v>0</v>
      </c>
      <c r="AI78" s="298"/>
      <c r="AJ78" s="316">
        <f t="shared" si="62"/>
        <v>0</v>
      </c>
      <c r="AK78" s="316">
        <f t="shared" si="63"/>
        <v>0</v>
      </c>
      <c r="AL78" s="316">
        <f t="shared" si="64"/>
        <v>0</v>
      </c>
      <c r="AN78" s="318">
        <v>21</v>
      </c>
      <c r="AO78" s="318">
        <f>H78*0.938047400611621</f>
        <v>0</v>
      </c>
      <c r="AP78" s="318">
        <f>H78*(1-0.938047400611621)</f>
        <v>0</v>
      </c>
      <c r="AQ78" s="319" t="s">
        <v>241</v>
      </c>
      <c r="AV78" s="318">
        <f t="shared" si="65"/>
        <v>0</v>
      </c>
      <c r="AW78" s="318">
        <f t="shared" si="66"/>
        <v>0</v>
      </c>
      <c r="AX78" s="318">
        <f t="shared" si="67"/>
        <v>0</v>
      </c>
      <c r="AY78" s="320" t="s">
        <v>4654</v>
      </c>
      <c r="AZ78" s="320" t="s">
        <v>4579</v>
      </c>
      <c r="BA78" s="298" t="s">
        <v>4551</v>
      </c>
      <c r="BC78" s="318">
        <f t="shared" si="68"/>
        <v>0</v>
      </c>
      <c r="BD78" s="318">
        <f t="shared" si="69"/>
        <v>0</v>
      </c>
      <c r="BE78" s="318">
        <v>0</v>
      </c>
      <c r="BF78" s="318">
        <f t="shared" si="70"/>
        <v>4.5039999999999997E-2</v>
      </c>
      <c r="BH78" s="316">
        <f t="shared" si="71"/>
        <v>0</v>
      </c>
      <c r="BI78" s="316">
        <f t="shared" si="72"/>
        <v>0</v>
      </c>
      <c r="BJ78" s="316">
        <f t="shared" si="73"/>
        <v>0</v>
      </c>
      <c r="BK78" s="316" t="s">
        <v>815</v>
      </c>
      <c r="BL78" s="318">
        <v>735</v>
      </c>
    </row>
    <row r="79" spans="1:64">
      <c r="A79" s="314" t="s">
        <v>1185</v>
      </c>
      <c r="B79" s="315"/>
      <c r="C79" s="315" t="s">
        <v>4679</v>
      </c>
      <c r="D79" s="443" t="s">
        <v>4680</v>
      </c>
      <c r="E79" s="444"/>
      <c r="F79" s="315" t="s">
        <v>183</v>
      </c>
      <c r="G79" s="316">
        <v>1.54409</v>
      </c>
      <c r="H79" s="316"/>
      <c r="I79" s="316">
        <f t="shared" si="50"/>
        <v>0</v>
      </c>
      <c r="J79" s="316">
        <f t="shared" si="51"/>
        <v>0</v>
      </c>
      <c r="K79" s="316">
        <f t="shared" si="52"/>
        <v>0</v>
      </c>
      <c r="L79" s="316">
        <v>0</v>
      </c>
      <c r="M79" s="316">
        <f t="shared" si="53"/>
        <v>0</v>
      </c>
      <c r="N79" s="317" t="s">
        <v>4548</v>
      </c>
      <c r="O79" s="291"/>
      <c r="Z79" s="318">
        <f t="shared" si="54"/>
        <v>0</v>
      </c>
      <c r="AB79" s="318">
        <f t="shared" si="55"/>
        <v>0</v>
      </c>
      <c r="AC79" s="318">
        <f t="shared" si="56"/>
        <v>0</v>
      </c>
      <c r="AD79" s="318">
        <f t="shared" si="57"/>
        <v>0</v>
      </c>
      <c r="AE79" s="318">
        <f t="shared" si="58"/>
        <v>0</v>
      </c>
      <c r="AF79" s="318">
        <f t="shared" si="59"/>
        <v>0</v>
      </c>
      <c r="AG79" s="318">
        <f t="shared" si="60"/>
        <v>0</v>
      </c>
      <c r="AH79" s="318">
        <f t="shared" si="61"/>
        <v>0</v>
      </c>
      <c r="AI79" s="298"/>
      <c r="AJ79" s="316">
        <f t="shared" si="62"/>
        <v>0</v>
      </c>
      <c r="AK79" s="316">
        <f t="shared" si="63"/>
        <v>0</v>
      </c>
      <c r="AL79" s="316">
        <f t="shared" si="64"/>
        <v>0</v>
      </c>
      <c r="AN79" s="318">
        <v>21</v>
      </c>
      <c r="AO79" s="318">
        <f>H79*0</f>
        <v>0</v>
      </c>
      <c r="AP79" s="318">
        <f>H79*(1-0)</f>
        <v>0</v>
      </c>
      <c r="AQ79" s="319" t="s">
        <v>200</v>
      </c>
      <c r="AV79" s="318">
        <f t="shared" si="65"/>
        <v>0</v>
      </c>
      <c r="AW79" s="318">
        <f t="shared" si="66"/>
        <v>0</v>
      </c>
      <c r="AX79" s="318">
        <f t="shared" si="67"/>
        <v>0</v>
      </c>
      <c r="AY79" s="320" t="s">
        <v>4654</v>
      </c>
      <c r="AZ79" s="320" t="s">
        <v>4579</v>
      </c>
      <c r="BA79" s="298" t="s">
        <v>4551</v>
      </c>
      <c r="BC79" s="318">
        <f t="shared" si="68"/>
        <v>0</v>
      </c>
      <c r="BD79" s="318">
        <f t="shared" si="69"/>
        <v>0</v>
      </c>
      <c r="BE79" s="318">
        <v>0</v>
      </c>
      <c r="BF79" s="318">
        <f t="shared" si="70"/>
        <v>0</v>
      </c>
      <c r="BH79" s="316">
        <f t="shared" si="71"/>
        <v>0</v>
      </c>
      <c r="BI79" s="316">
        <f t="shared" si="72"/>
        <v>0</v>
      </c>
      <c r="BJ79" s="316">
        <f t="shared" si="73"/>
        <v>0</v>
      </c>
      <c r="BK79" s="316" t="s">
        <v>815</v>
      </c>
      <c r="BL79" s="318">
        <v>735</v>
      </c>
    </row>
    <row r="80" spans="1:64">
      <c r="A80" s="322"/>
      <c r="B80" s="323"/>
      <c r="C80" s="323" t="s">
        <v>2708</v>
      </c>
      <c r="D80" s="441" t="s">
        <v>4681</v>
      </c>
      <c r="E80" s="442"/>
      <c r="F80" s="324" t="s">
        <v>4502</v>
      </c>
      <c r="G80" s="324" t="s">
        <v>4502</v>
      </c>
      <c r="H80" s="324" t="s">
        <v>4502</v>
      </c>
      <c r="I80" s="313">
        <f>SUM(I81:I83)</f>
        <v>0</v>
      </c>
      <c r="J80" s="313">
        <f>SUM(J81:J83)</f>
        <v>0</v>
      </c>
      <c r="K80" s="313">
        <f>SUM(K81:K83)</f>
        <v>0</v>
      </c>
      <c r="L80" s="298"/>
      <c r="M80" s="313">
        <f>SUM(M81:M83)</f>
        <v>0</v>
      </c>
      <c r="N80" s="325"/>
      <c r="O80" s="291"/>
      <c r="AI80" s="298"/>
      <c r="AS80" s="313">
        <f>SUM(AJ81:AJ83)</f>
        <v>0</v>
      </c>
      <c r="AT80" s="313">
        <f>SUM(AK81:AK83)</f>
        <v>0</v>
      </c>
      <c r="AU80" s="313">
        <f>SUM(AL81:AL83)</f>
        <v>0</v>
      </c>
    </row>
    <row r="81" spans="1:64">
      <c r="A81" s="314" t="s">
        <v>1187</v>
      </c>
      <c r="B81" s="315"/>
      <c r="C81" s="315" t="s">
        <v>4682</v>
      </c>
      <c r="D81" s="443" t="s">
        <v>4683</v>
      </c>
      <c r="E81" s="444"/>
      <c r="F81" s="315" t="s">
        <v>4684</v>
      </c>
      <c r="G81" s="316">
        <v>24</v>
      </c>
      <c r="H81" s="316"/>
      <c r="I81" s="316">
        <f>G81*AO81</f>
        <v>0</v>
      </c>
      <c r="J81" s="316">
        <f>G81*AP81</f>
        <v>0</v>
      </c>
      <c r="K81" s="316">
        <f>G81*H81</f>
        <v>0</v>
      </c>
      <c r="L81" s="316">
        <v>0</v>
      </c>
      <c r="M81" s="316">
        <f>G81*L81</f>
        <v>0</v>
      </c>
      <c r="N81" s="317" t="s">
        <v>4548</v>
      </c>
      <c r="O81" s="291"/>
      <c r="Z81" s="318">
        <f>IF(AQ81="5",BJ81,0)</f>
        <v>0</v>
      </c>
      <c r="AB81" s="318">
        <f>IF(AQ81="1",BH81,0)</f>
        <v>0</v>
      </c>
      <c r="AC81" s="318">
        <f>IF(AQ81="1",BI81,0)</f>
        <v>0</v>
      </c>
      <c r="AD81" s="318">
        <f>IF(AQ81="7",BH81,0)</f>
        <v>0</v>
      </c>
      <c r="AE81" s="318">
        <f>IF(AQ81="7",BI81,0)</f>
        <v>0</v>
      </c>
      <c r="AF81" s="318">
        <f>IF(AQ81="2",BH81,0)</f>
        <v>0</v>
      </c>
      <c r="AG81" s="318">
        <f>IF(AQ81="2",BI81,0)</f>
        <v>0</v>
      </c>
      <c r="AH81" s="318">
        <f>IF(AQ81="0",BJ81,0)</f>
        <v>0</v>
      </c>
      <c r="AI81" s="298"/>
      <c r="AJ81" s="316">
        <f>IF(AN81=0,K81,0)</f>
        <v>0</v>
      </c>
      <c r="AK81" s="316">
        <f>IF(AN81=15,K81,0)</f>
        <v>0</v>
      </c>
      <c r="AL81" s="316">
        <f>IF(AN81=21,K81,0)</f>
        <v>0</v>
      </c>
      <c r="AN81" s="318">
        <v>21</v>
      </c>
      <c r="AO81" s="318">
        <f>H81*0</f>
        <v>0</v>
      </c>
      <c r="AP81" s="318">
        <f>H81*(1-0)</f>
        <v>0</v>
      </c>
      <c r="AQ81" s="319" t="s">
        <v>85</v>
      </c>
      <c r="AV81" s="318">
        <f>AW81+AX81</f>
        <v>0</v>
      </c>
      <c r="AW81" s="318">
        <f>G81*AO81</f>
        <v>0</v>
      </c>
      <c r="AX81" s="318">
        <f>G81*AP81</f>
        <v>0</v>
      </c>
      <c r="AY81" s="320" t="s">
        <v>4685</v>
      </c>
      <c r="AZ81" s="320" t="s">
        <v>4686</v>
      </c>
      <c r="BA81" s="298" t="s">
        <v>4551</v>
      </c>
      <c r="BC81" s="318">
        <f>AW81+AX81</f>
        <v>0</v>
      </c>
      <c r="BD81" s="318">
        <f>H81/(100-BE81)*100</f>
        <v>0</v>
      </c>
      <c r="BE81" s="318">
        <v>0</v>
      </c>
      <c r="BF81" s="318">
        <f>M81</f>
        <v>0</v>
      </c>
      <c r="BH81" s="316">
        <f>G81*AO81</f>
        <v>0</v>
      </c>
      <c r="BI81" s="316">
        <f>G81*AP81</f>
        <v>0</v>
      </c>
      <c r="BJ81" s="316">
        <f>G81*H81</f>
        <v>0</v>
      </c>
      <c r="BK81" s="316" t="s">
        <v>815</v>
      </c>
      <c r="BL81" s="318">
        <v>90</v>
      </c>
    </row>
    <row r="82" spans="1:64">
      <c r="A82" s="291"/>
      <c r="C82" s="321" t="s">
        <v>4552</v>
      </c>
      <c r="D82" s="445" t="s">
        <v>4687</v>
      </c>
      <c r="E82" s="446"/>
      <c r="F82" s="446"/>
      <c r="G82" s="446"/>
      <c r="H82" s="446"/>
      <c r="I82" s="446"/>
      <c r="J82" s="446"/>
      <c r="K82" s="446"/>
      <c r="L82" s="446"/>
      <c r="M82" s="446"/>
      <c r="N82" s="447"/>
      <c r="O82" s="291"/>
    </row>
    <row r="83" spans="1:64">
      <c r="A83" s="314" t="s">
        <v>1190</v>
      </c>
      <c r="B83" s="315"/>
      <c r="C83" s="315" t="s">
        <v>4688</v>
      </c>
      <c r="D83" s="443" t="s">
        <v>4689</v>
      </c>
      <c r="E83" s="444"/>
      <c r="F83" s="315" t="s">
        <v>4684</v>
      </c>
      <c r="G83" s="316">
        <v>8</v>
      </c>
      <c r="H83" s="316"/>
      <c r="I83" s="316">
        <f>G83*AO83</f>
        <v>0</v>
      </c>
      <c r="J83" s="316">
        <f>G83*AP83</f>
        <v>0</v>
      </c>
      <c r="K83" s="316">
        <f>G83*H83</f>
        <v>0</v>
      </c>
      <c r="L83" s="316">
        <v>0</v>
      </c>
      <c r="M83" s="316">
        <f>G83*L83</f>
        <v>0</v>
      </c>
      <c r="N83" s="317" t="s">
        <v>4548</v>
      </c>
      <c r="O83" s="291"/>
      <c r="Z83" s="318">
        <f>IF(AQ83="5",BJ83,0)</f>
        <v>0</v>
      </c>
      <c r="AB83" s="318">
        <f>IF(AQ83="1",BH83,0)</f>
        <v>0</v>
      </c>
      <c r="AC83" s="318">
        <f>IF(AQ83="1",BI83,0)</f>
        <v>0</v>
      </c>
      <c r="AD83" s="318">
        <f>IF(AQ83="7",BH83,0)</f>
        <v>0</v>
      </c>
      <c r="AE83" s="318">
        <f>IF(AQ83="7",BI83,0)</f>
        <v>0</v>
      </c>
      <c r="AF83" s="318">
        <f>IF(AQ83="2",BH83,0)</f>
        <v>0</v>
      </c>
      <c r="AG83" s="318">
        <f>IF(AQ83="2",BI83,0)</f>
        <v>0</v>
      </c>
      <c r="AH83" s="318">
        <f>IF(AQ83="0",BJ83,0)</f>
        <v>0</v>
      </c>
      <c r="AI83" s="298"/>
      <c r="AJ83" s="316">
        <f>IF(AN83=0,K83,0)</f>
        <v>0</v>
      </c>
      <c r="AK83" s="316">
        <f>IF(AN83=15,K83,0)</f>
        <v>0</v>
      </c>
      <c r="AL83" s="316">
        <f>IF(AN83=21,K83,0)</f>
        <v>0</v>
      </c>
      <c r="AN83" s="318">
        <v>21</v>
      </c>
      <c r="AO83" s="318">
        <f>H83*0</f>
        <v>0</v>
      </c>
      <c r="AP83" s="318">
        <f>H83*(1-0)</f>
        <v>0</v>
      </c>
      <c r="AQ83" s="319" t="s">
        <v>85</v>
      </c>
      <c r="AV83" s="318">
        <f>AW83+AX83</f>
        <v>0</v>
      </c>
      <c r="AW83" s="318">
        <f>G83*AO83</f>
        <v>0</v>
      </c>
      <c r="AX83" s="318">
        <f>G83*AP83</f>
        <v>0</v>
      </c>
      <c r="AY83" s="320" t="s">
        <v>4685</v>
      </c>
      <c r="AZ83" s="320" t="s">
        <v>4686</v>
      </c>
      <c r="BA83" s="298" t="s">
        <v>4551</v>
      </c>
      <c r="BC83" s="318">
        <f>AW83+AX83</f>
        <v>0</v>
      </c>
      <c r="BD83" s="318">
        <f>H83/(100-BE83)*100</f>
        <v>0</v>
      </c>
      <c r="BE83" s="318">
        <v>0</v>
      </c>
      <c r="BF83" s="318">
        <f>M83</f>
        <v>0</v>
      </c>
      <c r="BH83" s="316">
        <f>G83*AO83</f>
        <v>0</v>
      </c>
      <c r="BI83" s="316">
        <f>G83*AP83</f>
        <v>0</v>
      </c>
      <c r="BJ83" s="316">
        <f>G83*H83</f>
        <v>0</v>
      </c>
      <c r="BK83" s="316" t="s">
        <v>815</v>
      </c>
      <c r="BL83" s="318">
        <v>90</v>
      </c>
    </row>
    <row r="84" spans="1:64">
      <c r="A84" s="326"/>
      <c r="B84" s="327"/>
      <c r="C84" s="328" t="s">
        <v>4552</v>
      </c>
      <c r="D84" s="448" t="s">
        <v>4690</v>
      </c>
      <c r="E84" s="449"/>
      <c r="F84" s="449"/>
      <c r="G84" s="449"/>
      <c r="H84" s="449"/>
      <c r="I84" s="449"/>
      <c r="J84" s="449"/>
      <c r="K84" s="449"/>
      <c r="L84" s="449"/>
      <c r="M84" s="449"/>
      <c r="N84" s="450"/>
      <c r="O84" s="291"/>
    </row>
    <row r="85" spans="1:64">
      <c r="A85" s="329"/>
      <c r="B85" s="329"/>
      <c r="C85" s="329"/>
      <c r="D85" s="329"/>
      <c r="E85" s="329"/>
      <c r="F85" s="329"/>
      <c r="G85" s="329"/>
      <c r="H85" s="329"/>
      <c r="I85" s="451" t="s">
        <v>4691</v>
      </c>
      <c r="J85" s="452"/>
      <c r="K85" s="330">
        <f>K12+K28+K42+K56+K65+K80</f>
        <v>0</v>
      </c>
      <c r="L85" s="329"/>
      <c r="M85" s="329"/>
      <c r="N85" s="329"/>
    </row>
    <row r="86" spans="1:64" ht="11.25" customHeight="1">
      <c r="A86" s="331" t="s">
        <v>41</v>
      </c>
    </row>
    <row r="87" spans="1:64">
      <c r="A87" s="439"/>
      <c r="B87" s="440"/>
      <c r="C87" s="440"/>
      <c r="D87" s="440"/>
      <c r="E87" s="440"/>
      <c r="F87" s="440"/>
      <c r="G87" s="440"/>
      <c r="H87" s="440"/>
      <c r="I87" s="440"/>
      <c r="J87" s="440"/>
      <c r="K87" s="440"/>
      <c r="L87" s="440"/>
      <c r="M87" s="440"/>
      <c r="N87" s="440"/>
    </row>
  </sheetData>
  <mergeCells count="104">
    <mergeCell ref="A1:N1"/>
    <mergeCell ref="A2:C3"/>
    <mergeCell ref="D2:E3"/>
    <mergeCell ref="F2:G3"/>
    <mergeCell ref="H2:H3"/>
    <mergeCell ref="I2:I3"/>
    <mergeCell ref="J2:N3"/>
    <mergeCell ref="A6:C7"/>
    <mergeCell ref="D6:E7"/>
    <mergeCell ref="F6:G7"/>
    <mergeCell ref="H6:H7"/>
    <mergeCell ref="I6:I7"/>
    <mergeCell ref="J6:N7"/>
    <mergeCell ref="A4:C5"/>
    <mergeCell ref="D4:E5"/>
    <mergeCell ref="F4:G5"/>
    <mergeCell ref="H4:H5"/>
    <mergeCell ref="I4:I5"/>
    <mergeCell ref="J4:N5"/>
    <mergeCell ref="D10:E10"/>
    <mergeCell ref="I10:K10"/>
    <mergeCell ref="L10:M10"/>
    <mergeCell ref="D11:E11"/>
    <mergeCell ref="D12:E12"/>
    <mergeCell ref="D13:E13"/>
    <mergeCell ref="A8:C9"/>
    <mergeCell ref="D8:E9"/>
    <mergeCell ref="F8:G9"/>
    <mergeCell ref="H8:H9"/>
    <mergeCell ref="I8:I9"/>
    <mergeCell ref="J8:N9"/>
    <mergeCell ref="D20:N20"/>
    <mergeCell ref="D21:E21"/>
    <mergeCell ref="D22:N22"/>
    <mergeCell ref="D23:E23"/>
    <mergeCell ref="D24:N24"/>
    <mergeCell ref="D25:E25"/>
    <mergeCell ref="D14:N14"/>
    <mergeCell ref="D15:E15"/>
    <mergeCell ref="D16:N16"/>
    <mergeCell ref="D17:E17"/>
    <mergeCell ref="D18:N18"/>
    <mergeCell ref="D19:E19"/>
    <mergeCell ref="D32:E32"/>
    <mergeCell ref="D33:E33"/>
    <mergeCell ref="D34:E34"/>
    <mergeCell ref="D35:E35"/>
    <mergeCell ref="D36:E36"/>
    <mergeCell ref="D37:E37"/>
    <mergeCell ref="D26:N26"/>
    <mergeCell ref="D27:E27"/>
    <mergeCell ref="D28:E28"/>
    <mergeCell ref="D29:E29"/>
    <mergeCell ref="D30:E30"/>
    <mergeCell ref="D31:E31"/>
    <mergeCell ref="D44:E44"/>
    <mergeCell ref="D45:E45"/>
    <mergeCell ref="D46:E46"/>
    <mergeCell ref="D47:E47"/>
    <mergeCell ref="D48:E48"/>
    <mergeCell ref="D49:E49"/>
    <mergeCell ref="D38:E38"/>
    <mergeCell ref="D39:E39"/>
    <mergeCell ref="D40:E40"/>
    <mergeCell ref="D41:E41"/>
    <mergeCell ref="D42:E42"/>
    <mergeCell ref="D43:E43"/>
    <mergeCell ref="D56:E56"/>
    <mergeCell ref="D57:E57"/>
    <mergeCell ref="D58:E58"/>
    <mergeCell ref="D59:E59"/>
    <mergeCell ref="D60:E60"/>
    <mergeCell ref="D61:N61"/>
    <mergeCell ref="D50:E50"/>
    <mergeCell ref="D51:E51"/>
    <mergeCell ref="D52:E52"/>
    <mergeCell ref="D53:E53"/>
    <mergeCell ref="D54:E54"/>
    <mergeCell ref="D55:E55"/>
    <mergeCell ref="D68:E68"/>
    <mergeCell ref="D69:E69"/>
    <mergeCell ref="D70:E70"/>
    <mergeCell ref="D71:E71"/>
    <mergeCell ref="D72:E72"/>
    <mergeCell ref="D73:E73"/>
    <mergeCell ref="D62:E62"/>
    <mergeCell ref="D63:E63"/>
    <mergeCell ref="D64:E64"/>
    <mergeCell ref="D65:E65"/>
    <mergeCell ref="D66:E66"/>
    <mergeCell ref="D67:E67"/>
    <mergeCell ref="A87:N87"/>
    <mergeCell ref="D80:E80"/>
    <mergeCell ref="D81:E81"/>
    <mergeCell ref="D82:N82"/>
    <mergeCell ref="D83:E83"/>
    <mergeCell ref="D84:N84"/>
    <mergeCell ref="I85:J85"/>
    <mergeCell ref="D74:E74"/>
    <mergeCell ref="D75:E75"/>
    <mergeCell ref="D76:E76"/>
    <mergeCell ref="D77:E77"/>
    <mergeCell ref="D78:E78"/>
    <mergeCell ref="D79:E79"/>
  </mergeCells>
  <pageMargins left="0.39400000000000002" right="0.39400000000000002" top="0.59099999999999997" bottom="0.59099999999999997" header="0.5" footer="0.5"/>
  <pageSetup paperSize="9" scale="51"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135</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3830</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ROUND(J82,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ROUND((SUM(BE82:BE96)),  2)</f>
        <v>0</v>
      </c>
      <c r="G33" s="34"/>
      <c r="H33" s="34"/>
      <c r="I33" s="98">
        <v>0.21</v>
      </c>
      <c r="J33" s="97">
        <f>ROUND(((SUM(BE82:BE96))*I33),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ROUND((SUM(BF82:BF96)),  2)</f>
        <v>0</v>
      </c>
      <c r="G34" s="34"/>
      <c r="H34" s="34"/>
      <c r="I34" s="98">
        <v>0.15</v>
      </c>
      <c r="J34" s="97">
        <f>ROUND(((SUM(BF82:BF96))*I34),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ROUND((SUM(BG82:BG96)),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ROUND((SUM(BH82:BH96)),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ROUND((SUM(BI82:BI96)),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SO 3 - elektroinstalace</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J82</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155</v>
      </c>
      <c r="E60" s="110"/>
      <c r="F60" s="110"/>
      <c r="G60" s="110"/>
      <c r="H60" s="110"/>
      <c r="I60" s="110"/>
      <c r="J60" s="111">
        <f>J83</f>
        <v>0</v>
      </c>
      <c r="L60" s="108"/>
    </row>
    <row r="61" spans="1:47" s="10" customFormat="1" ht="19.899999999999999" customHeight="1">
      <c r="B61" s="112"/>
      <c r="D61" s="113" t="s">
        <v>159</v>
      </c>
      <c r="E61" s="114"/>
      <c r="F61" s="114"/>
      <c r="G61" s="114"/>
      <c r="H61" s="114"/>
      <c r="I61" s="114"/>
      <c r="J61" s="115">
        <f>J84</f>
        <v>0</v>
      </c>
      <c r="L61" s="112"/>
    </row>
    <row r="62" spans="1:47" s="9" customFormat="1" ht="24.95" customHeight="1">
      <c r="B62" s="108"/>
      <c r="D62" s="109" t="s">
        <v>161</v>
      </c>
      <c r="E62" s="110"/>
      <c r="F62" s="110"/>
      <c r="G62" s="110"/>
      <c r="H62" s="110"/>
      <c r="I62" s="110"/>
      <c r="J62" s="111">
        <f>J91</f>
        <v>0</v>
      </c>
      <c r="L62" s="108"/>
    </row>
    <row r="63" spans="1:47" s="2" customFormat="1" ht="21.75" customHeight="1">
      <c r="A63" s="34"/>
      <c r="B63" s="35"/>
      <c r="C63" s="34"/>
      <c r="D63" s="34"/>
      <c r="E63" s="34"/>
      <c r="F63" s="34"/>
      <c r="G63" s="34"/>
      <c r="H63" s="34"/>
      <c r="I63" s="34"/>
      <c r="J63" s="34"/>
      <c r="K63" s="34"/>
      <c r="L63" s="91"/>
      <c r="S63" s="34"/>
      <c r="T63" s="34"/>
      <c r="U63" s="34"/>
      <c r="V63" s="34"/>
      <c r="W63" s="34"/>
      <c r="X63" s="34"/>
      <c r="Y63" s="34"/>
      <c r="Z63" s="34"/>
      <c r="AA63" s="34"/>
      <c r="AB63" s="34"/>
      <c r="AC63" s="34"/>
      <c r="AD63" s="34"/>
      <c r="AE63" s="34"/>
    </row>
    <row r="64" spans="1:47" s="2" customFormat="1" ht="6.95" customHeight="1">
      <c r="A64" s="34"/>
      <c r="B64" s="44"/>
      <c r="C64" s="45"/>
      <c r="D64" s="45"/>
      <c r="E64" s="45"/>
      <c r="F64" s="45"/>
      <c r="G64" s="45"/>
      <c r="H64" s="45"/>
      <c r="I64" s="45"/>
      <c r="J64" s="45"/>
      <c r="K64" s="45"/>
      <c r="L64" s="91"/>
      <c r="S64" s="34"/>
      <c r="T64" s="34"/>
      <c r="U64" s="34"/>
      <c r="V64" s="34"/>
      <c r="W64" s="34"/>
      <c r="X64" s="34"/>
      <c r="Y64" s="34"/>
      <c r="Z64" s="34"/>
      <c r="AA64" s="34"/>
      <c r="AB64" s="34"/>
      <c r="AC64" s="34"/>
      <c r="AD64" s="34"/>
      <c r="AE64" s="34"/>
    </row>
    <row r="68" spans="1:31" s="2" customFormat="1" ht="6.95" customHeight="1">
      <c r="A68" s="34"/>
      <c r="B68" s="46"/>
      <c r="C68" s="47"/>
      <c r="D68" s="47"/>
      <c r="E68" s="47"/>
      <c r="F68" s="47"/>
      <c r="G68" s="47"/>
      <c r="H68" s="47"/>
      <c r="I68" s="47"/>
      <c r="J68" s="47"/>
      <c r="K68" s="47"/>
      <c r="L68" s="91"/>
      <c r="S68" s="34"/>
      <c r="T68" s="34"/>
      <c r="U68" s="34"/>
      <c r="V68" s="34"/>
      <c r="W68" s="34"/>
      <c r="X68" s="34"/>
      <c r="Y68" s="34"/>
      <c r="Z68" s="34"/>
      <c r="AA68" s="34"/>
      <c r="AB68" s="34"/>
      <c r="AC68" s="34"/>
      <c r="AD68" s="34"/>
      <c r="AE68" s="34"/>
    </row>
    <row r="69" spans="1:31" s="2" customFormat="1" ht="24.95" customHeight="1">
      <c r="A69" s="34"/>
      <c r="B69" s="35"/>
      <c r="C69" s="23" t="s">
        <v>162</v>
      </c>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12" customHeight="1">
      <c r="A71" s="34"/>
      <c r="B71" s="35"/>
      <c r="C71" s="29" t="s">
        <v>17</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16.5" customHeight="1">
      <c r="A72" s="34"/>
      <c r="B72" s="35"/>
      <c r="C72" s="34"/>
      <c r="D72" s="34"/>
      <c r="E72" s="436" t="str">
        <f>E7</f>
        <v>ZŠ P. HOLÉHO - PŘESTAVBA PLAVECKÉHO PAVILONU</v>
      </c>
      <c r="F72" s="437"/>
      <c r="G72" s="437"/>
      <c r="H72" s="437"/>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146</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432" t="str">
        <f>E9</f>
        <v>SO 3 - elektroinstalace</v>
      </c>
      <c r="F74" s="435"/>
      <c r="G74" s="435"/>
      <c r="H74" s="435"/>
      <c r="I74" s="34"/>
      <c r="J74" s="34"/>
      <c r="K74" s="34"/>
      <c r="L74" s="91"/>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21</v>
      </c>
      <c r="D76" s="34"/>
      <c r="E76" s="34"/>
      <c r="F76" s="27" t="str">
        <f>F12</f>
        <v>Prokopa Holého 2632, Louny, 440 01</v>
      </c>
      <c r="G76" s="34"/>
      <c r="H76" s="34"/>
      <c r="I76" s="29" t="s">
        <v>23</v>
      </c>
      <c r="J76" s="52" t="str">
        <f>IF(J12="","",J12)</f>
        <v>21. 9. 2022</v>
      </c>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5.2" customHeight="1">
      <c r="A78" s="34"/>
      <c r="B78" s="35"/>
      <c r="C78" s="29" t="s">
        <v>25</v>
      </c>
      <c r="D78" s="34"/>
      <c r="E78" s="34"/>
      <c r="F78" s="27" t="str">
        <f>E15</f>
        <v>Město Louny</v>
      </c>
      <c r="G78" s="34"/>
      <c r="H78" s="34"/>
      <c r="I78" s="29" t="s">
        <v>32</v>
      </c>
      <c r="J78" s="32" t="str">
        <f>E21</f>
        <v>RYSIK Design s.r.o.</v>
      </c>
      <c r="K78" s="34"/>
      <c r="L78" s="91"/>
      <c r="S78" s="34"/>
      <c r="T78" s="34"/>
      <c r="U78" s="34"/>
      <c r="V78" s="34"/>
      <c r="W78" s="34"/>
      <c r="X78" s="34"/>
      <c r="Y78" s="34"/>
      <c r="Z78" s="34"/>
      <c r="AA78" s="34"/>
      <c r="AB78" s="34"/>
      <c r="AC78" s="34"/>
      <c r="AD78" s="34"/>
      <c r="AE78" s="34"/>
    </row>
    <row r="79" spans="1:31" s="2" customFormat="1" ht="25.7" customHeight="1">
      <c r="A79" s="34"/>
      <c r="B79" s="35"/>
      <c r="C79" s="29" t="s">
        <v>30</v>
      </c>
      <c r="D79" s="34"/>
      <c r="E79" s="34"/>
      <c r="F79" s="27" t="str">
        <f>IF(E18="","",E18)</f>
        <v>Vyplň údaj</v>
      </c>
      <c r="G79" s="34"/>
      <c r="H79" s="34"/>
      <c r="I79" s="29" t="s">
        <v>37</v>
      </c>
      <c r="J79" s="32" t="str">
        <f>E24</f>
        <v>ing. Kateřina Tumpachová</v>
      </c>
      <c r="K79" s="34"/>
      <c r="L79" s="91"/>
      <c r="S79" s="34"/>
      <c r="T79" s="34"/>
      <c r="U79" s="34"/>
      <c r="V79" s="34"/>
      <c r="W79" s="34"/>
      <c r="X79" s="34"/>
      <c r="Y79" s="34"/>
      <c r="Z79" s="34"/>
      <c r="AA79" s="34"/>
      <c r="AB79" s="34"/>
      <c r="AC79" s="34"/>
      <c r="AD79" s="34"/>
      <c r="AE79" s="34"/>
    </row>
    <row r="80" spans="1:31" s="2" customFormat="1" ht="10.3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11" customFormat="1" ht="29.25" customHeight="1">
      <c r="A81" s="116"/>
      <c r="B81" s="117"/>
      <c r="C81" s="118" t="s">
        <v>163</v>
      </c>
      <c r="D81" s="119" t="s">
        <v>62</v>
      </c>
      <c r="E81" s="119" t="s">
        <v>58</v>
      </c>
      <c r="F81" s="119" t="s">
        <v>59</v>
      </c>
      <c r="G81" s="119" t="s">
        <v>164</v>
      </c>
      <c r="H81" s="119" t="s">
        <v>165</v>
      </c>
      <c r="I81" s="119" t="s">
        <v>166</v>
      </c>
      <c r="J81" s="119" t="s">
        <v>151</v>
      </c>
      <c r="K81" s="120" t="s">
        <v>167</v>
      </c>
      <c r="L81" s="121"/>
      <c r="M81" s="59" t="s">
        <v>3</v>
      </c>
      <c r="N81" s="60" t="s">
        <v>47</v>
      </c>
      <c r="O81" s="60" t="s">
        <v>168</v>
      </c>
      <c r="P81" s="60" t="s">
        <v>169</v>
      </c>
      <c r="Q81" s="60" t="s">
        <v>170</v>
      </c>
      <c r="R81" s="60" t="s">
        <v>171</v>
      </c>
      <c r="S81" s="60" t="s">
        <v>172</v>
      </c>
      <c r="T81" s="61" t="s">
        <v>173</v>
      </c>
      <c r="U81" s="116"/>
      <c r="V81" s="116"/>
      <c r="W81" s="116"/>
      <c r="X81" s="116"/>
      <c r="Y81" s="116"/>
      <c r="Z81" s="116"/>
      <c r="AA81" s="116"/>
      <c r="AB81" s="116"/>
      <c r="AC81" s="116"/>
      <c r="AD81" s="116"/>
      <c r="AE81" s="116"/>
    </row>
    <row r="82" spans="1:65" s="2" customFormat="1" ht="22.9" customHeight="1">
      <c r="A82" s="34"/>
      <c r="B82" s="35"/>
      <c r="C82" s="66" t="s">
        <v>174</v>
      </c>
      <c r="D82" s="34"/>
      <c r="E82" s="34"/>
      <c r="F82" s="34"/>
      <c r="G82" s="34"/>
      <c r="H82" s="34"/>
      <c r="I82" s="34"/>
      <c r="J82" s="122">
        <f>BK82</f>
        <v>0</v>
      </c>
      <c r="K82" s="34"/>
      <c r="L82" s="35"/>
      <c r="M82" s="62"/>
      <c r="N82" s="53"/>
      <c r="O82" s="63"/>
      <c r="P82" s="123">
        <f>P83+P91</f>
        <v>0</v>
      </c>
      <c r="Q82" s="63"/>
      <c r="R82" s="123">
        <f>R83+R91</f>
        <v>0</v>
      </c>
      <c r="S82" s="63"/>
      <c r="T82" s="124">
        <f>T83+T91</f>
        <v>0</v>
      </c>
      <c r="U82" s="34"/>
      <c r="V82" s="34"/>
      <c r="W82" s="34"/>
      <c r="X82" s="34"/>
      <c r="Y82" s="34"/>
      <c r="Z82" s="34"/>
      <c r="AA82" s="34"/>
      <c r="AB82" s="34"/>
      <c r="AC82" s="34"/>
      <c r="AD82" s="34"/>
      <c r="AE82" s="34"/>
      <c r="AT82" s="19" t="s">
        <v>76</v>
      </c>
      <c r="AU82" s="19" t="s">
        <v>152</v>
      </c>
      <c r="BK82" s="125">
        <f>BK83+BK91</f>
        <v>0</v>
      </c>
    </row>
    <row r="83" spans="1:65" s="12" customFormat="1" ht="25.9" customHeight="1">
      <c r="B83" s="126"/>
      <c r="D83" s="127" t="s">
        <v>76</v>
      </c>
      <c r="E83" s="128" t="s">
        <v>229</v>
      </c>
      <c r="F83" s="128" t="s">
        <v>230</v>
      </c>
      <c r="I83" s="129"/>
      <c r="J83" s="130">
        <f>BK83</f>
        <v>0</v>
      </c>
      <c r="L83" s="126"/>
      <c r="M83" s="131"/>
      <c r="N83" s="132"/>
      <c r="O83" s="132"/>
      <c r="P83" s="133">
        <f>P84</f>
        <v>0</v>
      </c>
      <c r="Q83" s="132"/>
      <c r="R83" s="133">
        <f>R84</f>
        <v>0</v>
      </c>
      <c r="S83" s="132"/>
      <c r="T83" s="134">
        <f>T84</f>
        <v>0</v>
      </c>
      <c r="AR83" s="127" t="s">
        <v>87</v>
      </c>
      <c r="AT83" s="135" t="s">
        <v>76</v>
      </c>
      <c r="AU83" s="135" t="s">
        <v>77</v>
      </c>
      <c r="AY83" s="127" t="s">
        <v>177</v>
      </c>
      <c r="BK83" s="136">
        <f>BK84</f>
        <v>0</v>
      </c>
    </row>
    <row r="84" spans="1:65" s="12" customFormat="1" ht="22.9" customHeight="1">
      <c r="B84" s="126"/>
      <c r="D84" s="127" t="s">
        <v>76</v>
      </c>
      <c r="E84" s="137" t="s">
        <v>295</v>
      </c>
      <c r="F84" s="137" t="s">
        <v>296</v>
      </c>
      <c r="I84" s="129"/>
      <c r="J84" s="138">
        <f>BK84</f>
        <v>0</v>
      </c>
      <c r="L84" s="126"/>
      <c r="M84" s="131"/>
      <c r="N84" s="132"/>
      <c r="O84" s="132"/>
      <c r="P84" s="133">
        <f>SUM(P85:P90)</f>
        <v>0</v>
      </c>
      <c r="Q84" s="132"/>
      <c r="R84" s="133">
        <f>SUM(R85:R90)</f>
        <v>0</v>
      </c>
      <c r="S84" s="132"/>
      <c r="T84" s="134">
        <f>SUM(T85:T90)</f>
        <v>0</v>
      </c>
      <c r="AR84" s="127" t="s">
        <v>87</v>
      </c>
      <c r="AT84" s="135" t="s">
        <v>76</v>
      </c>
      <c r="AU84" s="135" t="s">
        <v>85</v>
      </c>
      <c r="AY84" s="127" t="s">
        <v>177</v>
      </c>
      <c r="BK84" s="136">
        <f>SUM(BK85:BK90)</f>
        <v>0</v>
      </c>
    </row>
    <row r="85" spans="1:65" s="2" customFormat="1" ht="16.5" customHeight="1">
      <c r="A85" s="34"/>
      <c r="B85" s="139"/>
      <c r="C85" s="140" t="s">
        <v>85</v>
      </c>
      <c r="D85" s="140" t="s">
        <v>180</v>
      </c>
      <c r="E85" s="141" t="s">
        <v>3831</v>
      </c>
      <c r="F85" s="142" t="s">
        <v>3832</v>
      </c>
      <c r="G85" s="143" t="s">
        <v>243</v>
      </c>
      <c r="H85" s="144">
        <v>1</v>
      </c>
      <c r="I85" s="145"/>
      <c r="J85" s="146">
        <f>ROUND(I85*H85,2)</f>
        <v>0</v>
      </c>
      <c r="K85" s="142" t="s">
        <v>3</v>
      </c>
      <c r="L85" s="35"/>
      <c r="M85" s="147" t="s">
        <v>3</v>
      </c>
      <c r="N85" s="148" t="s">
        <v>48</v>
      </c>
      <c r="O85" s="55"/>
      <c r="P85" s="149">
        <f>O85*H85</f>
        <v>0</v>
      </c>
      <c r="Q85" s="149">
        <v>0</v>
      </c>
      <c r="R85" s="149">
        <f>Q85*H85</f>
        <v>0</v>
      </c>
      <c r="S85" s="149">
        <v>0</v>
      </c>
      <c r="T85" s="150">
        <f>S85*H85</f>
        <v>0</v>
      </c>
      <c r="U85" s="34"/>
      <c r="V85" s="34"/>
      <c r="W85" s="34"/>
      <c r="X85" s="34"/>
      <c r="Y85" s="34"/>
      <c r="Z85" s="34"/>
      <c r="AA85" s="34"/>
      <c r="AB85" s="34"/>
      <c r="AC85" s="34"/>
      <c r="AD85" s="34"/>
      <c r="AE85" s="34"/>
      <c r="AR85" s="151" t="s">
        <v>237</v>
      </c>
      <c r="AT85" s="151" t="s">
        <v>180</v>
      </c>
      <c r="AU85" s="151" t="s">
        <v>87</v>
      </c>
      <c r="AY85" s="19" t="s">
        <v>177</v>
      </c>
      <c r="BE85" s="152">
        <f>IF(N85="základní",J85,0)</f>
        <v>0</v>
      </c>
      <c r="BF85" s="152">
        <f>IF(N85="snížená",J85,0)</f>
        <v>0</v>
      </c>
      <c r="BG85" s="152">
        <f>IF(N85="zákl. přenesená",J85,0)</f>
        <v>0</v>
      </c>
      <c r="BH85" s="152">
        <f>IF(N85="sníž. přenesená",J85,0)</f>
        <v>0</v>
      </c>
      <c r="BI85" s="152">
        <f>IF(N85="nulová",J85,0)</f>
        <v>0</v>
      </c>
      <c r="BJ85" s="19" t="s">
        <v>85</v>
      </c>
      <c r="BK85" s="152">
        <f>ROUND(I85*H85,2)</f>
        <v>0</v>
      </c>
      <c r="BL85" s="19" t="s">
        <v>237</v>
      </c>
      <c r="BM85" s="151" t="s">
        <v>3833</v>
      </c>
    </row>
    <row r="86" spans="1:65" s="2" customFormat="1">
      <c r="A86" s="34"/>
      <c r="B86" s="35"/>
      <c r="C86" s="34"/>
      <c r="D86" s="153" t="s">
        <v>187</v>
      </c>
      <c r="E86" s="34"/>
      <c r="F86" s="154" t="s">
        <v>3832</v>
      </c>
      <c r="G86" s="34"/>
      <c r="H86" s="34"/>
      <c r="I86" s="155"/>
      <c r="J86" s="34"/>
      <c r="K86" s="34"/>
      <c r="L86" s="35"/>
      <c r="M86" s="156"/>
      <c r="N86" s="157"/>
      <c r="O86" s="55"/>
      <c r="P86" s="55"/>
      <c r="Q86" s="55"/>
      <c r="R86" s="55"/>
      <c r="S86" s="55"/>
      <c r="T86" s="56"/>
      <c r="U86" s="34"/>
      <c r="V86" s="34"/>
      <c r="W86" s="34"/>
      <c r="X86" s="34"/>
      <c r="Y86" s="34"/>
      <c r="Z86" s="34"/>
      <c r="AA86" s="34"/>
      <c r="AB86" s="34"/>
      <c r="AC86" s="34"/>
      <c r="AD86" s="34"/>
      <c r="AE86" s="34"/>
      <c r="AT86" s="19" t="s">
        <v>187</v>
      </c>
      <c r="AU86" s="19" t="s">
        <v>87</v>
      </c>
    </row>
    <row r="87" spans="1:65" s="2" customFormat="1" ht="16.5" customHeight="1">
      <c r="A87" s="34"/>
      <c r="B87" s="139"/>
      <c r="C87" s="140" t="s">
        <v>87</v>
      </c>
      <c r="D87" s="140" t="s">
        <v>180</v>
      </c>
      <c r="E87" s="141" t="s">
        <v>3816</v>
      </c>
      <c r="F87" s="142" t="s">
        <v>3817</v>
      </c>
      <c r="G87" s="143" t="s">
        <v>243</v>
      </c>
      <c r="H87" s="144">
        <v>1</v>
      </c>
      <c r="I87" s="145"/>
      <c r="J87" s="146">
        <f>ROUND(I87*H87,2)</f>
        <v>0</v>
      </c>
      <c r="K87" s="142" t="s">
        <v>3</v>
      </c>
      <c r="L87" s="35"/>
      <c r="M87" s="147" t="s">
        <v>3</v>
      </c>
      <c r="N87" s="148" t="s">
        <v>48</v>
      </c>
      <c r="O87" s="55"/>
      <c r="P87" s="149">
        <f>O87*H87</f>
        <v>0</v>
      </c>
      <c r="Q87" s="149">
        <v>0</v>
      </c>
      <c r="R87" s="149">
        <f>Q87*H87</f>
        <v>0</v>
      </c>
      <c r="S87" s="149">
        <v>0</v>
      </c>
      <c r="T87" s="150">
        <f>S87*H87</f>
        <v>0</v>
      </c>
      <c r="U87" s="34"/>
      <c r="V87" s="34"/>
      <c r="W87" s="34"/>
      <c r="X87" s="34"/>
      <c r="Y87" s="34"/>
      <c r="Z87" s="34"/>
      <c r="AA87" s="34"/>
      <c r="AB87" s="34"/>
      <c r="AC87" s="34"/>
      <c r="AD87" s="34"/>
      <c r="AE87" s="34"/>
      <c r="AR87" s="151" t="s">
        <v>237</v>
      </c>
      <c r="AT87" s="151" t="s">
        <v>180</v>
      </c>
      <c r="AU87" s="151" t="s">
        <v>87</v>
      </c>
      <c r="AY87" s="19" t="s">
        <v>177</v>
      </c>
      <c r="BE87" s="152">
        <f>IF(N87="základní",J87,0)</f>
        <v>0</v>
      </c>
      <c r="BF87" s="152">
        <f>IF(N87="snížená",J87,0)</f>
        <v>0</v>
      </c>
      <c r="BG87" s="152">
        <f>IF(N87="zákl. přenesená",J87,0)</f>
        <v>0</v>
      </c>
      <c r="BH87" s="152">
        <f>IF(N87="sníž. přenesená",J87,0)</f>
        <v>0</v>
      </c>
      <c r="BI87" s="152">
        <f>IF(N87="nulová",J87,0)</f>
        <v>0</v>
      </c>
      <c r="BJ87" s="19" t="s">
        <v>85</v>
      </c>
      <c r="BK87" s="152">
        <f>ROUND(I87*H87,2)</f>
        <v>0</v>
      </c>
      <c r="BL87" s="19" t="s">
        <v>237</v>
      </c>
      <c r="BM87" s="151" t="s">
        <v>3834</v>
      </c>
    </row>
    <row r="88" spans="1:65" s="2" customFormat="1">
      <c r="A88" s="34"/>
      <c r="B88" s="35"/>
      <c r="C88" s="34"/>
      <c r="D88" s="153" t="s">
        <v>187</v>
      </c>
      <c r="E88" s="34"/>
      <c r="F88" s="154" t="s">
        <v>3817</v>
      </c>
      <c r="G88" s="34"/>
      <c r="H88" s="34"/>
      <c r="I88" s="155"/>
      <c r="J88" s="34"/>
      <c r="K88" s="34"/>
      <c r="L88" s="35"/>
      <c r="M88" s="156"/>
      <c r="N88" s="157"/>
      <c r="O88" s="55"/>
      <c r="P88" s="55"/>
      <c r="Q88" s="55"/>
      <c r="R88" s="55"/>
      <c r="S88" s="55"/>
      <c r="T88" s="56"/>
      <c r="U88" s="34"/>
      <c r="V88" s="34"/>
      <c r="W88" s="34"/>
      <c r="X88" s="34"/>
      <c r="Y88" s="34"/>
      <c r="Z88" s="34"/>
      <c r="AA88" s="34"/>
      <c r="AB88" s="34"/>
      <c r="AC88" s="34"/>
      <c r="AD88" s="34"/>
      <c r="AE88" s="34"/>
      <c r="AT88" s="19" t="s">
        <v>187</v>
      </c>
      <c r="AU88" s="19" t="s">
        <v>87</v>
      </c>
    </row>
    <row r="89" spans="1:65" s="2" customFormat="1" ht="16.5" customHeight="1">
      <c r="A89" s="34"/>
      <c r="B89" s="139"/>
      <c r="C89" s="140" t="s">
        <v>198</v>
      </c>
      <c r="D89" s="140" t="s">
        <v>180</v>
      </c>
      <c r="E89" s="141" t="s">
        <v>3825</v>
      </c>
      <c r="F89" s="142" t="s">
        <v>3826</v>
      </c>
      <c r="G89" s="143" t="s">
        <v>243</v>
      </c>
      <c r="H89" s="144">
        <v>1</v>
      </c>
      <c r="I89" s="145"/>
      <c r="J89" s="146">
        <f>ROUND(I89*H89,2)</f>
        <v>0</v>
      </c>
      <c r="K89" s="142" t="s">
        <v>3</v>
      </c>
      <c r="L89" s="35"/>
      <c r="M89" s="147" t="s">
        <v>3</v>
      </c>
      <c r="N89" s="148" t="s">
        <v>48</v>
      </c>
      <c r="O89" s="55"/>
      <c r="P89" s="149">
        <f>O89*H89</f>
        <v>0</v>
      </c>
      <c r="Q89" s="149">
        <v>0</v>
      </c>
      <c r="R89" s="149">
        <f>Q89*H89</f>
        <v>0</v>
      </c>
      <c r="S89" s="149">
        <v>0</v>
      </c>
      <c r="T89" s="150">
        <f>S89*H89</f>
        <v>0</v>
      </c>
      <c r="U89" s="34"/>
      <c r="V89" s="34"/>
      <c r="W89" s="34"/>
      <c r="X89" s="34"/>
      <c r="Y89" s="34"/>
      <c r="Z89" s="34"/>
      <c r="AA89" s="34"/>
      <c r="AB89" s="34"/>
      <c r="AC89" s="34"/>
      <c r="AD89" s="34"/>
      <c r="AE89" s="34"/>
      <c r="AR89" s="151" t="s">
        <v>237</v>
      </c>
      <c r="AT89" s="151" t="s">
        <v>180</v>
      </c>
      <c r="AU89" s="151" t="s">
        <v>87</v>
      </c>
      <c r="AY89" s="19" t="s">
        <v>177</v>
      </c>
      <c r="BE89" s="152">
        <f>IF(N89="základní",J89,0)</f>
        <v>0</v>
      </c>
      <c r="BF89" s="152">
        <f>IF(N89="snížená",J89,0)</f>
        <v>0</v>
      </c>
      <c r="BG89" s="152">
        <f>IF(N89="zákl. přenesená",J89,0)</f>
        <v>0</v>
      </c>
      <c r="BH89" s="152">
        <f>IF(N89="sníž. přenesená",J89,0)</f>
        <v>0</v>
      </c>
      <c r="BI89" s="152">
        <f>IF(N89="nulová",J89,0)</f>
        <v>0</v>
      </c>
      <c r="BJ89" s="19" t="s">
        <v>85</v>
      </c>
      <c r="BK89" s="152">
        <f>ROUND(I89*H89,2)</f>
        <v>0</v>
      </c>
      <c r="BL89" s="19" t="s">
        <v>237</v>
      </c>
      <c r="BM89" s="151" t="s">
        <v>3835</v>
      </c>
    </row>
    <row r="90" spans="1:65" s="2" customFormat="1">
      <c r="A90" s="34"/>
      <c r="B90" s="35"/>
      <c r="C90" s="34"/>
      <c r="D90" s="153" t="s">
        <v>187</v>
      </c>
      <c r="E90" s="34"/>
      <c r="F90" s="154" t="s">
        <v>3826</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187</v>
      </c>
      <c r="AU90" s="19" t="s">
        <v>87</v>
      </c>
    </row>
    <row r="91" spans="1:65" s="12" customFormat="1" ht="25.9" customHeight="1">
      <c r="B91" s="126"/>
      <c r="D91" s="127" t="s">
        <v>76</v>
      </c>
      <c r="E91" s="128" t="s">
        <v>313</v>
      </c>
      <c r="F91" s="128" t="s">
        <v>314</v>
      </c>
      <c r="I91" s="129"/>
      <c r="J91" s="130">
        <f>BK91</f>
        <v>0</v>
      </c>
      <c r="L91" s="126"/>
      <c r="M91" s="131"/>
      <c r="N91" s="132"/>
      <c r="O91" s="132"/>
      <c r="P91" s="133">
        <f>SUM(P92:P96)</f>
        <v>0</v>
      </c>
      <c r="Q91" s="132"/>
      <c r="R91" s="133">
        <f>SUM(R92:R96)</f>
        <v>0</v>
      </c>
      <c r="S91" s="132"/>
      <c r="T91" s="134">
        <f>SUM(T92:T96)</f>
        <v>0</v>
      </c>
      <c r="AR91" s="127" t="s">
        <v>185</v>
      </c>
      <c r="AT91" s="135" t="s">
        <v>76</v>
      </c>
      <c r="AU91" s="135" t="s">
        <v>77</v>
      </c>
      <c r="AY91" s="127" t="s">
        <v>177</v>
      </c>
      <c r="BK91" s="136">
        <f>SUM(BK92:BK96)</f>
        <v>0</v>
      </c>
    </row>
    <row r="92" spans="1:65" s="2" customFormat="1" ht="16.5" customHeight="1">
      <c r="A92" s="34"/>
      <c r="B92" s="139"/>
      <c r="C92" s="140" t="s">
        <v>185</v>
      </c>
      <c r="D92" s="140" t="s">
        <v>180</v>
      </c>
      <c r="E92" s="141" t="s">
        <v>528</v>
      </c>
      <c r="F92" s="142" t="s">
        <v>529</v>
      </c>
      <c r="G92" s="143" t="s">
        <v>305</v>
      </c>
      <c r="H92" s="144">
        <v>100</v>
      </c>
      <c r="I92" s="145"/>
      <c r="J92" s="146">
        <f>ROUND(I92*H92,2)</f>
        <v>0</v>
      </c>
      <c r="K92" s="142" t="s">
        <v>184</v>
      </c>
      <c r="L92" s="35"/>
      <c r="M92" s="147" t="s">
        <v>3</v>
      </c>
      <c r="N92" s="148" t="s">
        <v>48</v>
      </c>
      <c r="O92" s="55"/>
      <c r="P92" s="149">
        <f>O92*H92</f>
        <v>0</v>
      </c>
      <c r="Q92" s="149">
        <v>0</v>
      </c>
      <c r="R92" s="149">
        <f>Q92*H92</f>
        <v>0</v>
      </c>
      <c r="S92" s="149">
        <v>0</v>
      </c>
      <c r="T92" s="150">
        <f>S92*H92</f>
        <v>0</v>
      </c>
      <c r="U92" s="34"/>
      <c r="V92" s="34"/>
      <c r="W92" s="34"/>
      <c r="X92" s="34"/>
      <c r="Y92" s="34"/>
      <c r="Z92" s="34"/>
      <c r="AA92" s="34"/>
      <c r="AB92" s="34"/>
      <c r="AC92" s="34"/>
      <c r="AD92" s="34"/>
      <c r="AE92" s="34"/>
      <c r="AR92" s="151" t="s">
        <v>318</v>
      </c>
      <c r="AT92" s="151" t="s">
        <v>180</v>
      </c>
      <c r="AU92" s="151" t="s">
        <v>85</v>
      </c>
      <c r="AY92" s="19" t="s">
        <v>177</v>
      </c>
      <c r="BE92" s="152">
        <f>IF(N92="základní",J92,0)</f>
        <v>0</v>
      </c>
      <c r="BF92" s="152">
        <f>IF(N92="snížená",J92,0)</f>
        <v>0</v>
      </c>
      <c r="BG92" s="152">
        <f>IF(N92="zákl. přenesená",J92,0)</f>
        <v>0</v>
      </c>
      <c r="BH92" s="152">
        <f>IF(N92="sníž. přenesená",J92,0)</f>
        <v>0</v>
      </c>
      <c r="BI92" s="152">
        <f>IF(N92="nulová",J92,0)</f>
        <v>0</v>
      </c>
      <c r="BJ92" s="19" t="s">
        <v>85</v>
      </c>
      <c r="BK92" s="152">
        <f>ROUND(I92*H92,2)</f>
        <v>0</v>
      </c>
      <c r="BL92" s="19" t="s">
        <v>318</v>
      </c>
      <c r="BM92" s="151" t="s">
        <v>3836</v>
      </c>
    </row>
    <row r="93" spans="1:65" s="2" customFormat="1">
      <c r="A93" s="34"/>
      <c r="B93" s="35"/>
      <c r="C93" s="34"/>
      <c r="D93" s="153" t="s">
        <v>187</v>
      </c>
      <c r="E93" s="34"/>
      <c r="F93" s="154" t="s">
        <v>531</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187</v>
      </c>
      <c r="AU93" s="19" t="s">
        <v>85</v>
      </c>
    </row>
    <row r="94" spans="1:65" s="2" customFormat="1">
      <c r="A94" s="34"/>
      <c r="B94" s="35"/>
      <c r="C94" s="34"/>
      <c r="D94" s="158" t="s">
        <v>189</v>
      </c>
      <c r="E94" s="34"/>
      <c r="F94" s="159" t="s">
        <v>532</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189</v>
      </c>
      <c r="AU94" s="19" t="s">
        <v>85</v>
      </c>
    </row>
    <row r="95" spans="1:65" s="14" customFormat="1">
      <c r="B95" s="169"/>
      <c r="D95" s="153" t="s">
        <v>193</v>
      </c>
      <c r="E95" s="170" t="s">
        <v>3</v>
      </c>
      <c r="F95" s="171" t="s">
        <v>3829</v>
      </c>
      <c r="H95" s="170" t="s">
        <v>3</v>
      </c>
      <c r="I95" s="172"/>
      <c r="L95" s="169"/>
      <c r="M95" s="173"/>
      <c r="N95" s="174"/>
      <c r="O95" s="174"/>
      <c r="P95" s="174"/>
      <c r="Q95" s="174"/>
      <c r="R95" s="174"/>
      <c r="S95" s="174"/>
      <c r="T95" s="175"/>
      <c r="AT95" s="170" t="s">
        <v>193</v>
      </c>
      <c r="AU95" s="170" t="s">
        <v>85</v>
      </c>
      <c r="AV95" s="14" t="s">
        <v>85</v>
      </c>
      <c r="AW95" s="14" t="s">
        <v>36</v>
      </c>
      <c r="AX95" s="14" t="s">
        <v>77</v>
      </c>
      <c r="AY95" s="170" t="s">
        <v>177</v>
      </c>
    </row>
    <row r="96" spans="1:65" s="13" customFormat="1">
      <c r="B96" s="161"/>
      <c r="D96" s="153" t="s">
        <v>193</v>
      </c>
      <c r="E96" s="162" t="s">
        <v>3</v>
      </c>
      <c r="F96" s="163" t="s">
        <v>2775</v>
      </c>
      <c r="H96" s="164">
        <v>100</v>
      </c>
      <c r="I96" s="165"/>
      <c r="L96" s="161"/>
      <c r="M96" s="192"/>
      <c r="N96" s="193"/>
      <c r="O96" s="193"/>
      <c r="P96" s="193"/>
      <c r="Q96" s="193"/>
      <c r="R96" s="193"/>
      <c r="S96" s="193"/>
      <c r="T96" s="194"/>
      <c r="AT96" s="162" t="s">
        <v>193</v>
      </c>
      <c r="AU96" s="162" t="s">
        <v>85</v>
      </c>
      <c r="AV96" s="13" t="s">
        <v>87</v>
      </c>
      <c r="AW96" s="13" t="s">
        <v>36</v>
      </c>
      <c r="AX96" s="13" t="s">
        <v>85</v>
      </c>
      <c r="AY96" s="162" t="s">
        <v>177</v>
      </c>
    </row>
    <row r="97" spans="1:31" s="2" customFormat="1" ht="6.95" customHeight="1">
      <c r="A97" s="34"/>
      <c r="B97" s="44"/>
      <c r="C97" s="45"/>
      <c r="D97" s="45"/>
      <c r="E97" s="45"/>
      <c r="F97" s="45"/>
      <c r="G97" s="45"/>
      <c r="H97" s="45"/>
      <c r="I97" s="45"/>
      <c r="J97" s="45"/>
      <c r="K97" s="45"/>
      <c r="L97" s="35"/>
      <c r="M97" s="34"/>
      <c r="O97" s="34"/>
      <c r="P97" s="34"/>
      <c r="Q97" s="34"/>
      <c r="R97" s="34"/>
      <c r="S97" s="34"/>
      <c r="T97" s="34"/>
      <c r="U97" s="34"/>
      <c r="V97" s="34"/>
      <c r="W97" s="34"/>
      <c r="X97" s="34"/>
      <c r="Y97" s="34"/>
      <c r="Z97" s="34"/>
      <c r="AA97" s="34"/>
      <c r="AB97" s="34"/>
      <c r="AC97" s="34"/>
      <c r="AD97" s="34"/>
      <c r="AE97" s="34"/>
    </row>
  </sheetData>
  <autoFilter ref="C81:K96"/>
  <mergeCells count="9">
    <mergeCell ref="E50:H50"/>
    <mergeCell ref="E72:H72"/>
    <mergeCell ref="E74:H74"/>
    <mergeCell ref="L2:V2"/>
    <mergeCell ref="E7:H7"/>
    <mergeCell ref="E9:H9"/>
    <mergeCell ref="E18:H18"/>
    <mergeCell ref="E27:H27"/>
    <mergeCell ref="E48:H48"/>
  </mergeCells>
  <hyperlinks>
    <hyperlink ref="F94" r:id="rId1"/>
  </hyperlinks>
  <pageMargins left="0.39374999999999999" right="0.39374999999999999" top="0.39374999999999999" bottom="0.39374999999999999" header="0" footer="0"/>
  <pageSetup paperSize="9" scale="84" fitToHeight="100" orientation="landscape" blackAndWhite="1" r:id="rId2"/>
  <headerFooter>
    <oddFooter>&amp;CStrana &amp;P z &amp;N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5"/>
  <sheetViews>
    <sheetView topLeftCell="A43" zoomScale="115" workbookViewId="0">
      <selection activeCell="T30" sqref="T30:U30"/>
    </sheetView>
  </sheetViews>
  <sheetFormatPr defaultRowHeight="12.75"/>
  <cols>
    <col min="1" max="1" width="4.1640625" style="332" customWidth="1"/>
    <col min="2" max="2" width="9.33203125" style="332"/>
    <col min="3" max="3" width="47.33203125" style="332" customWidth="1"/>
    <col min="4" max="4" width="47.5" style="332" customWidth="1"/>
    <col min="5" max="5" width="20.1640625" style="332" customWidth="1"/>
    <col min="6" max="6" width="9.33203125" style="339"/>
    <col min="7" max="7" width="8.33203125" style="346" customWidth="1"/>
    <col min="8" max="8" width="19.1640625" style="332" customWidth="1"/>
    <col min="9" max="9" width="18.83203125" style="332" customWidth="1"/>
    <col min="10" max="10" width="9.33203125" style="332"/>
    <col min="11" max="11" width="7" style="332" customWidth="1"/>
    <col min="12" max="12" width="4.33203125" style="332" customWidth="1"/>
    <col min="13" max="13" width="18.83203125" style="332" customWidth="1"/>
    <col min="14" max="14" width="15.1640625" style="332" customWidth="1"/>
    <col min="15" max="15" width="9.33203125" style="332"/>
    <col min="16" max="16" width="21.6640625" style="332" customWidth="1"/>
    <col min="17" max="17" width="17.6640625" style="332" customWidth="1"/>
    <col min="18" max="256" width="9.33203125" style="332"/>
    <col min="257" max="257" width="4.1640625" style="332" customWidth="1"/>
    <col min="258" max="258" width="9.33203125" style="332"/>
    <col min="259" max="259" width="47.33203125" style="332" customWidth="1"/>
    <col min="260" max="260" width="47.5" style="332" customWidth="1"/>
    <col min="261" max="261" width="20.1640625" style="332" customWidth="1"/>
    <col min="262" max="262" width="9.33203125" style="332"/>
    <col min="263" max="263" width="8.33203125" style="332" customWidth="1"/>
    <col min="264" max="264" width="19.1640625" style="332" customWidth="1"/>
    <col min="265" max="265" width="18.83203125" style="332" customWidth="1"/>
    <col min="266" max="266" width="9.33203125" style="332"/>
    <col min="267" max="267" width="7" style="332" customWidth="1"/>
    <col min="268" max="268" width="4.33203125" style="332" customWidth="1"/>
    <col min="269" max="269" width="18.83203125" style="332" customWidth="1"/>
    <col min="270" max="270" width="15.1640625" style="332" customWidth="1"/>
    <col min="271" max="271" width="9.33203125" style="332"/>
    <col min="272" max="272" width="21.6640625" style="332" customWidth="1"/>
    <col min="273" max="273" width="17.6640625" style="332" customWidth="1"/>
    <col min="274" max="512" width="9.33203125" style="332"/>
    <col min="513" max="513" width="4.1640625" style="332" customWidth="1"/>
    <col min="514" max="514" width="9.33203125" style="332"/>
    <col min="515" max="515" width="47.33203125" style="332" customWidth="1"/>
    <col min="516" max="516" width="47.5" style="332" customWidth="1"/>
    <col min="517" max="517" width="20.1640625" style="332" customWidth="1"/>
    <col min="518" max="518" width="9.33203125" style="332"/>
    <col min="519" max="519" width="8.33203125" style="332" customWidth="1"/>
    <col min="520" max="520" width="19.1640625" style="332" customWidth="1"/>
    <col min="521" max="521" width="18.83203125" style="332" customWidth="1"/>
    <col min="522" max="522" width="9.33203125" style="332"/>
    <col min="523" max="523" width="7" style="332" customWidth="1"/>
    <col min="524" max="524" width="4.33203125" style="332" customWidth="1"/>
    <col min="525" max="525" width="18.83203125" style="332" customWidth="1"/>
    <col min="526" max="526" width="15.1640625" style="332" customWidth="1"/>
    <col min="527" max="527" width="9.33203125" style="332"/>
    <col min="528" max="528" width="21.6640625" style="332" customWidth="1"/>
    <col min="529" max="529" width="17.6640625" style="332" customWidth="1"/>
    <col min="530" max="768" width="9.33203125" style="332"/>
    <col min="769" max="769" width="4.1640625" style="332" customWidth="1"/>
    <col min="770" max="770" width="9.33203125" style="332"/>
    <col min="771" max="771" width="47.33203125" style="332" customWidth="1"/>
    <col min="772" max="772" width="47.5" style="332" customWidth="1"/>
    <col min="773" max="773" width="20.1640625" style="332" customWidth="1"/>
    <col min="774" max="774" width="9.33203125" style="332"/>
    <col min="775" max="775" width="8.33203125" style="332" customWidth="1"/>
    <col min="776" max="776" width="19.1640625" style="332" customWidth="1"/>
    <col min="777" max="777" width="18.83203125" style="332" customWidth="1"/>
    <col min="778" max="778" width="9.33203125" style="332"/>
    <col min="779" max="779" width="7" style="332" customWidth="1"/>
    <col min="780" max="780" width="4.33203125" style="332" customWidth="1"/>
    <col min="781" max="781" width="18.83203125" style="332" customWidth="1"/>
    <col min="782" max="782" width="15.1640625" style="332" customWidth="1"/>
    <col min="783" max="783" width="9.33203125" style="332"/>
    <col min="784" max="784" width="21.6640625" style="332" customWidth="1"/>
    <col min="785" max="785" width="17.6640625" style="332" customWidth="1"/>
    <col min="786" max="1024" width="9.33203125" style="332"/>
    <col min="1025" max="1025" width="4.1640625" style="332" customWidth="1"/>
    <col min="1026" max="1026" width="9.33203125" style="332"/>
    <col min="1027" max="1027" width="47.33203125" style="332" customWidth="1"/>
    <col min="1028" max="1028" width="47.5" style="332" customWidth="1"/>
    <col min="1029" max="1029" width="20.1640625" style="332" customWidth="1"/>
    <col min="1030" max="1030" width="9.33203125" style="332"/>
    <col min="1031" max="1031" width="8.33203125" style="332" customWidth="1"/>
    <col min="1032" max="1032" width="19.1640625" style="332" customWidth="1"/>
    <col min="1033" max="1033" width="18.83203125" style="332" customWidth="1"/>
    <col min="1034" max="1034" width="9.33203125" style="332"/>
    <col min="1035" max="1035" width="7" style="332" customWidth="1"/>
    <col min="1036" max="1036" width="4.33203125" style="332" customWidth="1"/>
    <col min="1037" max="1037" width="18.83203125" style="332" customWidth="1"/>
    <col min="1038" max="1038" width="15.1640625" style="332" customWidth="1"/>
    <col min="1039" max="1039" width="9.33203125" style="332"/>
    <col min="1040" max="1040" width="21.6640625" style="332" customWidth="1"/>
    <col min="1041" max="1041" width="17.6640625" style="332" customWidth="1"/>
    <col min="1042" max="1280" width="9.33203125" style="332"/>
    <col min="1281" max="1281" width="4.1640625" style="332" customWidth="1"/>
    <col min="1282" max="1282" width="9.33203125" style="332"/>
    <col min="1283" max="1283" width="47.33203125" style="332" customWidth="1"/>
    <col min="1284" max="1284" width="47.5" style="332" customWidth="1"/>
    <col min="1285" max="1285" width="20.1640625" style="332" customWidth="1"/>
    <col min="1286" max="1286" width="9.33203125" style="332"/>
    <col min="1287" max="1287" width="8.33203125" style="332" customWidth="1"/>
    <col min="1288" max="1288" width="19.1640625" style="332" customWidth="1"/>
    <col min="1289" max="1289" width="18.83203125" style="332" customWidth="1"/>
    <col min="1290" max="1290" width="9.33203125" style="332"/>
    <col min="1291" max="1291" width="7" style="332" customWidth="1"/>
    <col min="1292" max="1292" width="4.33203125" style="332" customWidth="1"/>
    <col min="1293" max="1293" width="18.83203125" style="332" customWidth="1"/>
    <col min="1294" max="1294" width="15.1640625" style="332" customWidth="1"/>
    <col min="1295" max="1295" width="9.33203125" style="332"/>
    <col min="1296" max="1296" width="21.6640625" style="332" customWidth="1"/>
    <col min="1297" max="1297" width="17.6640625" style="332" customWidth="1"/>
    <col min="1298" max="1536" width="9.33203125" style="332"/>
    <col min="1537" max="1537" width="4.1640625" style="332" customWidth="1"/>
    <col min="1538" max="1538" width="9.33203125" style="332"/>
    <col min="1539" max="1539" width="47.33203125" style="332" customWidth="1"/>
    <col min="1540" max="1540" width="47.5" style="332" customWidth="1"/>
    <col min="1541" max="1541" width="20.1640625" style="332" customWidth="1"/>
    <col min="1542" max="1542" width="9.33203125" style="332"/>
    <col min="1543" max="1543" width="8.33203125" style="332" customWidth="1"/>
    <col min="1544" max="1544" width="19.1640625" style="332" customWidth="1"/>
    <col min="1545" max="1545" width="18.83203125" style="332" customWidth="1"/>
    <col min="1546" max="1546" width="9.33203125" style="332"/>
    <col min="1547" max="1547" width="7" style="332" customWidth="1"/>
    <col min="1548" max="1548" width="4.33203125" style="332" customWidth="1"/>
    <col min="1549" max="1549" width="18.83203125" style="332" customWidth="1"/>
    <col min="1550" max="1550" width="15.1640625" style="332" customWidth="1"/>
    <col min="1551" max="1551" width="9.33203125" style="332"/>
    <col min="1552" max="1552" width="21.6640625" style="332" customWidth="1"/>
    <col min="1553" max="1553" width="17.6640625" style="332" customWidth="1"/>
    <col min="1554" max="1792" width="9.33203125" style="332"/>
    <col min="1793" max="1793" width="4.1640625" style="332" customWidth="1"/>
    <col min="1794" max="1794" width="9.33203125" style="332"/>
    <col min="1795" max="1795" width="47.33203125" style="332" customWidth="1"/>
    <col min="1796" max="1796" width="47.5" style="332" customWidth="1"/>
    <col min="1797" max="1797" width="20.1640625" style="332" customWidth="1"/>
    <col min="1798" max="1798" width="9.33203125" style="332"/>
    <col min="1799" max="1799" width="8.33203125" style="332" customWidth="1"/>
    <col min="1800" max="1800" width="19.1640625" style="332" customWidth="1"/>
    <col min="1801" max="1801" width="18.83203125" style="332" customWidth="1"/>
    <col min="1802" max="1802" width="9.33203125" style="332"/>
    <col min="1803" max="1803" width="7" style="332" customWidth="1"/>
    <col min="1804" max="1804" width="4.33203125" style="332" customWidth="1"/>
    <col min="1805" max="1805" width="18.83203125" style="332" customWidth="1"/>
    <col min="1806" max="1806" width="15.1640625" style="332" customWidth="1"/>
    <col min="1807" max="1807" width="9.33203125" style="332"/>
    <col min="1808" max="1808" width="21.6640625" style="332" customWidth="1"/>
    <col min="1809" max="1809" width="17.6640625" style="332" customWidth="1"/>
    <col min="1810" max="2048" width="9.33203125" style="332"/>
    <col min="2049" max="2049" width="4.1640625" style="332" customWidth="1"/>
    <col min="2050" max="2050" width="9.33203125" style="332"/>
    <col min="2051" max="2051" width="47.33203125" style="332" customWidth="1"/>
    <col min="2052" max="2052" width="47.5" style="332" customWidth="1"/>
    <col min="2053" max="2053" width="20.1640625" style="332" customWidth="1"/>
    <col min="2054" max="2054" width="9.33203125" style="332"/>
    <col min="2055" max="2055" width="8.33203125" style="332" customWidth="1"/>
    <col min="2056" max="2056" width="19.1640625" style="332" customWidth="1"/>
    <col min="2057" max="2057" width="18.83203125" style="332" customWidth="1"/>
    <col min="2058" max="2058" width="9.33203125" style="332"/>
    <col min="2059" max="2059" width="7" style="332" customWidth="1"/>
    <col min="2060" max="2060" width="4.33203125" style="332" customWidth="1"/>
    <col min="2061" max="2061" width="18.83203125" style="332" customWidth="1"/>
    <col min="2062" max="2062" width="15.1640625" style="332" customWidth="1"/>
    <col min="2063" max="2063" width="9.33203125" style="332"/>
    <col min="2064" max="2064" width="21.6640625" style="332" customWidth="1"/>
    <col min="2065" max="2065" width="17.6640625" style="332" customWidth="1"/>
    <col min="2066" max="2304" width="9.33203125" style="332"/>
    <col min="2305" max="2305" width="4.1640625" style="332" customWidth="1"/>
    <col min="2306" max="2306" width="9.33203125" style="332"/>
    <col min="2307" max="2307" width="47.33203125" style="332" customWidth="1"/>
    <col min="2308" max="2308" width="47.5" style="332" customWidth="1"/>
    <col min="2309" max="2309" width="20.1640625" style="332" customWidth="1"/>
    <col min="2310" max="2310" width="9.33203125" style="332"/>
    <col min="2311" max="2311" width="8.33203125" style="332" customWidth="1"/>
    <col min="2312" max="2312" width="19.1640625" style="332" customWidth="1"/>
    <col min="2313" max="2313" width="18.83203125" style="332" customWidth="1"/>
    <col min="2314" max="2314" width="9.33203125" style="332"/>
    <col min="2315" max="2315" width="7" style="332" customWidth="1"/>
    <col min="2316" max="2316" width="4.33203125" style="332" customWidth="1"/>
    <col min="2317" max="2317" width="18.83203125" style="332" customWidth="1"/>
    <col min="2318" max="2318" width="15.1640625" style="332" customWidth="1"/>
    <col min="2319" max="2319" width="9.33203125" style="332"/>
    <col min="2320" max="2320" width="21.6640625" style="332" customWidth="1"/>
    <col min="2321" max="2321" width="17.6640625" style="332" customWidth="1"/>
    <col min="2322" max="2560" width="9.33203125" style="332"/>
    <col min="2561" max="2561" width="4.1640625" style="332" customWidth="1"/>
    <col min="2562" max="2562" width="9.33203125" style="332"/>
    <col min="2563" max="2563" width="47.33203125" style="332" customWidth="1"/>
    <col min="2564" max="2564" width="47.5" style="332" customWidth="1"/>
    <col min="2565" max="2565" width="20.1640625" style="332" customWidth="1"/>
    <col min="2566" max="2566" width="9.33203125" style="332"/>
    <col min="2567" max="2567" width="8.33203125" style="332" customWidth="1"/>
    <col min="2568" max="2568" width="19.1640625" style="332" customWidth="1"/>
    <col min="2569" max="2569" width="18.83203125" style="332" customWidth="1"/>
    <col min="2570" max="2570" width="9.33203125" style="332"/>
    <col min="2571" max="2571" width="7" style="332" customWidth="1"/>
    <col min="2572" max="2572" width="4.33203125" style="332" customWidth="1"/>
    <col min="2573" max="2573" width="18.83203125" style="332" customWidth="1"/>
    <col min="2574" max="2574" width="15.1640625" style="332" customWidth="1"/>
    <col min="2575" max="2575" width="9.33203125" style="332"/>
    <col min="2576" max="2576" width="21.6640625" style="332" customWidth="1"/>
    <col min="2577" max="2577" width="17.6640625" style="332" customWidth="1"/>
    <col min="2578" max="2816" width="9.33203125" style="332"/>
    <col min="2817" max="2817" width="4.1640625" style="332" customWidth="1"/>
    <col min="2818" max="2818" width="9.33203125" style="332"/>
    <col min="2819" max="2819" width="47.33203125" style="332" customWidth="1"/>
    <col min="2820" max="2820" width="47.5" style="332" customWidth="1"/>
    <col min="2821" max="2821" width="20.1640625" style="332" customWidth="1"/>
    <col min="2822" max="2822" width="9.33203125" style="332"/>
    <col min="2823" max="2823" width="8.33203125" style="332" customWidth="1"/>
    <col min="2824" max="2824" width="19.1640625" style="332" customWidth="1"/>
    <col min="2825" max="2825" width="18.83203125" style="332" customWidth="1"/>
    <col min="2826" max="2826" width="9.33203125" style="332"/>
    <col min="2827" max="2827" width="7" style="332" customWidth="1"/>
    <col min="2828" max="2828" width="4.33203125" style="332" customWidth="1"/>
    <col min="2829" max="2829" width="18.83203125" style="332" customWidth="1"/>
    <col min="2830" max="2830" width="15.1640625" style="332" customWidth="1"/>
    <col min="2831" max="2831" width="9.33203125" style="332"/>
    <col min="2832" max="2832" width="21.6640625" style="332" customWidth="1"/>
    <col min="2833" max="2833" width="17.6640625" style="332" customWidth="1"/>
    <col min="2834" max="3072" width="9.33203125" style="332"/>
    <col min="3073" max="3073" width="4.1640625" style="332" customWidth="1"/>
    <col min="3074" max="3074" width="9.33203125" style="332"/>
    <col min="3075" max="3075" width="47.33203125" style="332" customWidth="1"/>
    <col min="3076" max="3076" width="47.5" style="332" customWidth="1"/>
    <col min="3077" max="3077" width="20.1640625" style="332" customWidth="1"/>
    <col min="3078" max="3078" width="9.33203125" style="332"/>
    <col min="3079" max="3079" width="8.33203125" style="332" customWidth="1"/>
    <col min="3080" max="3080" width="19.1640625" style="332" customWidth="1"/>
    <col min="3081" max="3081" width="18.83203125" style="332" customWidth="1"/>
    <col min="3082" max="3082" width="9.33203125" style="332"/>
    <col min="3083" max="3083" width="7" style="332" customWidth="1"/>
    <col min="3084" max="3084" width="4.33203125" style="332" customWidth="1"/>
    <col min="3085" max="3085" width="18.83203125" style="332" customWidth="1"/>
    <col min="3086" max="3086" width="15.1640625" style="332" customWidth="1"/>
    <col min="3087" max="3087" width="9.33203125" style="332"/>
    <col min="3088" max="3088" width="21.6640625" style="332" customWidth="1"/>
    <col min="3089" max="3089" width="17.6640625" style="332" customWidth="1"/>
    <col min="3090" max="3328" width="9.33203125" style="332"/>
    <col min="3329" max="3329" width="4.1640625" style="332" customWidth="1"/>
    <col min="3330" max="3330" width="9.33203125" style="332"/>
    <col min="3331" max="3331" width="47.33203125" style="332" customWidth="1"/>
    <col min="3332" max="3332" width="47.5" style="332" customWidth="1"/>
    <col min="3333" max="3333" width="20.1640625" style="332" customWidth="1"/>
    <col min="3334" max="3334" width="9.33203125" style="332"/>
    <col min="3335" max="3335" width="8.33203125" style="332" customWidth="1"/>
    <col min="3336" max="3336" width="19.1640625" style="332" customWidth="1"/>
    <col min="3337" max="3337" width="18.83203125" style="332" customWidth="1"/>
    <col min="3338" max="3338" width="9.33203125" style="332"/>
    <col min="3339" max="3339" width="7" style="332" customWidth="1"/>
    <col min="3340" max="3340" width="4.33203125" style="332" customWidth="1"/>
    <col min="3341" max="3341" width="18.83203125" style="332" customWidth="1"/>
    <col min="3342" max="3342" width="15.1640625" style="332" customWidth="1"/>
    <col min="3343" max="3343" width="9.33203125" style="332"/>
    <col min="3344" max="3344" width="21.6640625" style="332" customWidth="1"/>
    <col min="3345" max="3345" width="17.6640625" style="332" customWidth="1"/>
    <col min="3346" max="3584" width="9.33203125" style="332"/>
    <col min="3585" max="3585" width="4.1640625" style="332" customWidth="1"/>
    <col min="3586" max="3586" width="9.33203125" style="332"/>
    <col min="3587" max="3587" width="47.33203125" style="332" customWidth="1"/>
    <col min="3588" max="3588" width="47.5" style="332" customWidth="1"/>
    <col min="3589" max="3589" width="20.1640625" style="332" customWidth="1"/>
    <col min="3590" max="3590" width="9.33203125" style="332"/>
    <col min="3591" max="3591" width="8.33203125" style="332" customWidth="1"/>
    <col min="3592" max="3592" width="19.1640625" style="332" customWidth="1"/>
    <col min="3593" max="3593" width="18.83203125" style="332" customWidth="1"/>
    <col min="3594" max="3594" width="9.33203125" style="332"/>
    <col min="3595" max="3595" width="7" style="332" customWidth="1"/>
    <col min="3596" max="3596" width="4.33203125" style="332" customWidth="1"/>
    <col min="3597" max="3597" width="18.83203125" style="332" customWidth="1"/>
    <col min="3598" max="3598" width="15.1640625" style="332" customWidth="1"/>
    <col min="3599" max="3599" width="9.33203125" style="332"/>
    <col min="3600" max="3600" width="21.6640625" style="332" customWidth="1"/>
    <col min="3601" max="3601" width="17.6640625" style="332" customWidth="1"/>
    <col min="3602" max="3840" width="9.33203125" style="332"/>
    <col min="3841" max="3841" width="4.1640625" style="332" customWidth="1"/>
    <col min="3842" max="3842" width="9.33203125" style="332"/>
    <col min="3843" max="3843" width="47.33203125" style="332" customWidth="1"/>
    <col min="3844" max="3844" width="47.5" style="332" customWidth="1"/>
    <col min="3845" max="3845" width="20.1640625" style="332" customWidth="1"/>
    <col min="3846" max="3846" width="9.33203125" style="332"/>
    <col min="3847" max="3847" width="8.33203125" style="332" customWidth="1"/>
    <col min="3848" max="3848" width="19.1640625" style="332" customWidth="1"/>
    <col min="3849" max="3849" width="18.83203125" style="332" customWidth="1"/>
    <col min="3850" max="3850" width="9.33203125" style="332"/>
    <col min="3851" max="3851" width="7" style="332" customWidth="1"/>
    <col min="3852" max="3852" width="4.33203125" style="332" customWidth="1"/>
    <col min="3853" max="3853" width="18.83203125" style="332" customWidth="1"/>
    <col min="3854" max="3854" width="15.1640625" style="332" customWidth="1"/>
    <col min="3855" max="3855" width="9.33203125" style="332"/>
    <col min="3856" max="3856" width="21.6640625" style="332" customWidth="1"/>
    <col min="3857" max="3857" width="17.6640625" style="332" customWidth="1"/>
    <col min="3858" max="4096" width="9.33203125" style="332"/>
    <col min="4097" max="4097" width="4.1640625" style="332" customWidth="1"/>
    <col min="4098" max="4098" width="9.33203125" style="332"/>
    <col min="4099" max="4099" width="47.33203125" style="332" customWidth="1"/>
    <col min="4100" max="4100" width="47.5" style="332" customWidth="1"/>
    <col min="4101" max="4101" width="20.1640625" style="332" customWidth="1"/>
    <col min="4102" max="4102" width="9.33203125" style="332"/>
    <col min="4103" max="4103" width="8.33203125" style="332" customWidth="1"/>
    <col min="4104" max="4104" width="19.1640625" style="332" customWidth="1"/>
    <col min="4105" max="4105" width="18.83203125" style="332" customWidth="1"/>
    <col min="4106" max="4106" width="9.33203125" style="332"/>
    <col min="4107" max="4107" width="7" style="332" customWidth="1"/>
    <col min="4108" max="4108" width="4.33203125" style="332" customWidth="1"/>
    <col min="4109" max="4109" width="18.83203125" style="332" customWidth="1"/>
    <col min="4110" max="4110" width="15.1640625" style="332" customWidth="1"/>
    <col min="4111" max="4111" width="9.33203125" style="332"/>
    <col min="4112" max="4112" width="21.6640625" style="332" customWidth="1"/>
    <col min="4113" max="4113" width="17.6640625" style="332" customWidth="1"/>
    <col min="4114" max="4352" width="9.33203125" style="332"/>
    <col min="4353" max="4353" width="4.1640625" style="332" customWidth="1"/>
    <col min="4354" max="4354" width="9.33203125" style="332"/>
    <col min="4355" max="4355" width="47.33203125" style="332" customWidth="1"/>
    <col min="4356" max="4356" width="47.5" style="332" customWidth="1"/>
    <col min="4357" max="4357" width="20.1640625" style="332" customWidth="1"/>
    <col min="4358" max="4358" width="9.33203125" style="332"/>
    <col min="4359" max="4359" width="8.33203125" style="332" customWidth="1"/>
    <col min="4360" max="4360" width="19.1640625" style="332" customWidth="1"/>
    <col min="4361" max="4361" width="18.83203125" style="332" customWidth="1"/>
    <col min="4362" max="4362" width="9.33203125" style="332"/>
    <col min="4363" max="4363" width="7" style="332" customWidth="1"/>
    <col min="4364" max="4364" width="4.33203125" style="332" customWidth="1"/>
    <col min="4365" max="4365" width="18.83203125" style="332" customWidth="1"/>
    <col min="4366" max="4366" width="15.1640625" style="332" customWidth="1"/>
    <col min="4367" max="4367" width="9.33203125" style="332"/>
    <col min="4368" max="4368" width="21.6640625" style="332" customWidth="1"/>
    <col min="4369" max="4369" width="17.6640625" style="332" customWidth="1"/>
    <col min="4370" max="4608" width="9.33203125" style="332"/>
    <col min="4609" max="4609" width="4.1640625" style="332" customWidth="1"/>
    <col min="4610" max="4610" width="9.33203125" style="332"/>
    <col min="4611" max="4611" width="47.33203125" style="332" customWidth="1"/>
    <col min="4612" max="4612" width="47.5" style="332" customWidth="1"/>
    <col min="4613" max="4613" width="20.1640625" style="332" customWidth="1"/>
    <col min="4614" max="4614" width="9.33203125" style="332"/>
    <col min="4615" max="4615" width="8.33203125" style="332" customWidth="1"/>
    <col min="4616" max="4616" width="19.1640625" style="332" customWidth="1"/>
    <col min="4617" max="4617" width="18.83203125" style="332" customWidth="1"/>
    <col min="4618" max="4618" width="9.33203125" style="332"/>
    <col min="4619" max="4619" width="7" style="332" customWidth="1"/>
    <col min="4620" max="4620" width="4.33203125" style="332" customWidth="1"/>
    <col min="4621" max="4621" width="18.83203125" style="332" customWidth="1"/>
    <col min="4622" max="4622" width="15.1640625" style="332" customWidth="1"/>
    <col min="4623" max="4623" width="9.33203125" style="332"/>
    <col min="4624" max="4624" width="21.6640625" style="332" customWidth="1"/>
    <col min="4625" max="4625" width="17.6640625" style="332" customWidth="1"/>
    <col min="4626" max="4864" width="9.33203125" style="332"/>
    <col min="4865" max="4865" width="4.1640625" style="332" customWidth="1"/>
    <col min="4866" max="4866" width="9.33203125" style="332"/>
    <col min="4867" max="4867" width="47.33203125" style="332" customWidth="1"/>
    <col min="4868" max="4868" width="47.5" style="332" customWidth="1"/>
    <col min="4869" max="4869" width="20.1640625" style="332" customWidth="1"/>
    <col min="4870" max="4870" width="9.33203125" style="332"/>
    <col min="4871" max="4871" width="8.33203125" style="332" customWidth="1"/>
    <col min="4872" max="4872" width="19.1640625" style="332" customWidth="1"/>
    <col min="4873" max="4873" width="18.83203125" style="332" customWidth="1"/>
    <col min="4874" max="4874" width="9.33203125" style="332"/>
    <col min="4875" max="4875" width="7" style="332" customWidth="1"/>
    <col min="4876" max="4876" width="4.33203125" style="332" customWidth="1"/>
    <col min="4877" max="4877" width="18.83203125" style="332" customWidth="1"/>
    <col min="4878" max="4878" width="15.1640625" style="332" customWidth="1"/>
    <col min="4879" max="4879" width="9.33203125" style="332"/>
    <col min="4880" max="4880" width="21.6640625" style="332" customWidth="1"/>
    <col min="4881" max="4881" width="17.6640625" style="332" customWidth="1"/>
    <col min="4882" max="5120" width="9.33203125" style="332"/>
    <col min="5121" max="5121" width="4.1640625" style="332" customWidth="1"/>
    <col min="5122" max="5122" width="9.33203125" style="332"/>
    <col min="5123" max="5123" width="47.33203125" style="332" customWidth="1"/>
    <col min="5124" max="5124" width="47.5" style="332" customWidth="1"/>
    <col min="5125" max="5125" width="20.1640625" style="332" customWidth="1"/>
    <col min="5126" max="5126" width="9.33203125" style="332"/>
    <col min="5127" max="5127" width="8.33203125" style="332" customWidth="1"/>
    <col min="5128" max="5128" width="19.1640625" style="332" customWidth="1"/>
    <col min="5129" max="5129" width="18.83203125" style="332" customWidth="1"/>
    <col min="5130" max="5130" width="9.33203125" style="332"/>
    <col min="5131" max="5131" width="7" style="332" customWidth="1"/>
    <col min="5132" max="5132" width="4.33203125" style="332" customWidth="1"/>
    <col min="5133" max="5133" width="18.83203125" style="332" customWidth="1"/>
    <col min="5134" max="5134" width="15.1640625" style="332" customWidth="1"/>
    <col min="5135" max="5135" width="9.33203125" style="332"/>
    <col min="5136" max="5136" width="21.6640625" style="332" customWidth="1"/>
    <col min="5137" max="5137" width="17.6640625" style="332" customWidth="1"/>
    <col min="5138" max="5376" width="9.33203125" style="332"/>
    <col min="5377" max="5377" width="4.1640625" style="332" customWidth="1"/>
    <col min="5378" max="5378" width="9.33203125" style="332"/>
    <col min="5379" max="5379" width="47.33203125" style="332" customWidth="1"/>
    <col min="5380" max="5380" width="47.5" style="332" customWidth="1"/>
    <col min="5381" max="5381" width="20.1640625" style="332" customWidth="1"/>
    <col min="5382" max="5382" width="9.33203125" style="332"/>
    <col min="5383" max="5383" width="8.33203125" style="332" customWidth="1"/>
    <col min="5384" max="5384" width="19.1640625" style="332" customWidth="1"/>
    <col min="5385" max="5385" width="18.83203125" style="332" customWidth="1"/>
    <col min="5386" max="5386" width="9.33203125" style="332"/>
    <col min="5387" max="5387" width="7" style="332" customWidth="1"/>
    <col min="5388" max="5388" width="4.33203125" style="332" customWidth="1"/>
    <col min="5389" max="5389" width="18.83203125" style="332" customWidth="1"/>
    <col min="5390" max="5390" width="15.1640625" style="332" customWidth="1"/>
    <col min="5391" max="5391" width="9.33203125" style="332"/>
    <col min="5392" max="5392" width="21.6640625" style="332" customWidth="1"/>
    <col min="5393" max="5393" width="17.6640625" style="332" customWidth="1"/>
    <col min="5394" max="5632" width="9.33203125" style="332"/>
    <col min="5633" max="5633" width="4.1640625" style="332" customWidth="1"/>
    <col min="5634" max="5634" width="9.33203125" style="332"/>
    <col min="5635" max="5635" width="47.33203125" style="332" customWidth="1"/>
    <col min="5636" max="5636" width="47.5" style="332" customWidth="1"/>
    <col min="5637" max="5637" width="20.1640625" style="332" customWidth="1"/>
    <col min="5638" max="5638" width="9.33203125" style="332"/>
    <col min="5639" max="5639" width="8.33203125" style="332" customWidth="1"/>
    <col min="5640" max="5640" width="19.1640625" style="332" customWidth="1"/>
    <col min="5641" max="5641" width="18.83203125" style="332" customWidth="1"/>
    <col min="5642" max="5642" width="9.33203125" style="332"/>
    <col min="5643" max="5643" width="7" style="332" customWidth="1"/>
    <col min="5644" max="5644" width="4.33203125" style="332" customWidth="1"/>
    <col min="5645" max="5645" width="18.83203125" style="332" customWidth="1"/>
    <col min="5646" max="5646" width="15.1640625" style="332" customWidth="1"/>
    <col min="5647" max="5647" width="9.33203125" style="332"/>
    <col min="5648" max="5648" width="21.6640625" style="332" customWidth="1"/>
    <col min="5649" max="5649" width="17.6640625" style="332" customWidth="1"/>
    <col min="5650" max="5888" width="9.33203125" style="332"/>
    <col min="5889" max="5889" width="4.1640625" style="332" customWidth="1"/>
    <col min="5890" max="5890" width="9.33203125" style="332"/>
    <col min="5891" max="5891" width="47.33203125" style="332" customWidth="1"/>
    <col min="5892" max="5892" width="47.5" style="332" customWidth="1"/>
    <col min="5893" max="5893" width="20.1640625" style="332" customWidth="1"/>
    <col min="5894" max="5894" width="9.33203125" style="332"/>
    <col min="5895" max="5895" width="8.33203125" style="332" customWidth="1"/>
    <col min="5896" max="5896" width="19.1640625" style="332" customWidth="1"/>
    <col min="5897" max="5897" width="18.83203125" style="332" customWidth="1"/>
    <col min="5898" max="5898" width="9.33203125" style="332"/>
    <col min="5899" max="5899" width="7" style="332" customWidth="1"/>
    <col min="5900" max="5900" width="4.33203125" style="332" customWidth="1"/>
    <col min="5901" max="5901" width="18.83203125" style="332" customWidth="1"/>
    <col min="5902" max="5902" width="15.1640625" style="332" customWidth="1"/>
    <col min="5903" max="5903" width="9.33203125" style="332"/>
    <col min="5904" max="5904" width="21.6640625" style="332" customWidth="1"/>
    <col min="5905" max="5905" width="17.6640625" style="332" customWidth="1"/>
    <col min="5906" max="6144" width="9.33203125" style="332"/>
    <col min="6145" max="6145" width="4.1640625" style="332" customWidth="1"/>
    <col min="6146" max="6146" width="9.33203125" style="332"/>
    <col min="6147" max="6147" width="47.33203125" style="332" customWidth="1"/>
    <col min="6148" max="6148" width="47.5" style="332" customWidth="1"/>
    <col min="6149" max="6149" width="20.1640625" style="332" customWidth="1"/>
    <col min="6150" max="6150" width="9.33203125" style="332"/>
    <col min="6151" max="6151" width="8.33203125" style="332" customWidth="1"/>
    <col min="6152" max="6152" width="19.1640625" style="332" customWidth="1"/>
    <col min="6153" max="6153" width="18.83203125" style="332" customWidth="1"/>
    <col min="6154" max="6154" width="9.33203125" style="332"/>
    <col min="6155" max="6155" width="7" style="332" customWidth="1"/>
    <col min="6156" max="6156" width="4.33203125" style="332" customWidth="1"/>
    <col min="6157" max="6157" width="18.83203125" style="332" customWidth="1"/>
    <col min="6158" max="6158" width="15.1640625" style="332" customWidth="1"/>
    <col min="6159" max="6159" width="9.33203125" style="332"/>
    <col min="6160" max="6160" width="21.6640625" style="332" customWidth="1"/>
    <col min="6161" max="6161" width="17.6640625" style="332" customWidth="1"/>
    <col min="6162" max="6400" width="9.33203125" style="332"/>
    <col min="6401" max="6401" width="4.1640625" style="332" customWidth="1"/>
    <col min="6402" max="6402" width="9.33203125" style="332"/>
    <col min="6403" max="6403" width="47.33203125" style="332" customWidth="1"/>
    <col min="6404" max="6404" width="47.5" style="332" customWidth="1"/>
    <col min="6405" max="6405" width="20.1640625" style="332" customWidth="1"/>
    <col min="6406" max="6406" width="9.33203125" style="332"/>
    <col min="6407" max="6407" width="8.33203125" style="332" customWidth="1"/>
    <col min="6408" max="6408" width="19.1640625" style="332" customWidth="1"/>
    <col min="6409" max="6409" width="18.83203125" style="332" customWidth="1"/>
    <col min="6410" max="6410" width="9.33203125" style="332"/>
    <col min="6411" max="6411" width="7" style="332" customWidth="1"/>
    <col min="6412" max="6412" width="4.33203125" style="332" customWidth="1"/>
    <col min="6413" max="6413" width="18.83203125" style="332" customWidth="1"/>
    <col min="6414" max="6414" width="15.1640625" style="332" customWidth="1"/>
    <col min="6415" max="6415" width="9.33203125" style="332"/>
    <col min="6416" max="6416" width="21.6640625" style="332" customWidth="1"/>
    <col min="6417" max="6417" width="17.6640625" style="332" customWidth="1"/>
    <col min="6418" max="6656" width="9.33203125" style="332"/>
    <col min="6657" max="6657" width="4.1640625" style="332" customWidth="1"/>
    <col min="6658" max="6658" width="9.33203125" style="332"/>
    <col min="6659" max="6659" width="47.33203125" style="332" customWidth="1"/>
    <col min="6660" max="6660" width="47.5" style="332" customWidth="1"/>
    <col min="6661" max="6661" width="20.1640625" style="332" customWidth="1"/>
    <col min="6662" max="6662" width="9.33203125" style="332"/>
    <col min="6663" max="6663" width="8.33203125" style="332" customWidth="1"/>
    <col min="6664" max="6664" width="19.1640625" style="332" customWidth="1"/>
    <col min="6665" max="6665" width="18.83203125" style="332" customWidth="1"/>
    <col min="6666" max="6666" width="9.33203125" style="332"/>
    <col min="6667" max="6667" width="7" style="332" customWidth="1"/>
    <col min="6668" max="6668" width="4.33203125" style="332" customWidth="1"/>
    <col min="6669" max="6669" width="18.83203125" style="332" customWidth="1"/>
    <col min="6670" max="6670" width="15.1640625" style="332" customWidth="1"/>
    <col min="6671" max="6671" width="9.33203125" style="332"/>
    <col min="6672" max="6672" width="21.6640625" style="332" customWidth="1"/>
    <col min="6673" max="6673" width="17.6640625" style="332" customWidth="1"/>
    <col min="6674" max="6912" width="9.33203125" style="332"/>
    <col min="6913" max="6913" width="4.1640625" style="332" customWidth="1"/>
    <col min="6914" max="6914" width="9.33203125" style="332"/>
    <col min="6915" max="6915" width="47.33203125" style="332" customWidth="1"/>
    <col min="6916" max="6916" width="47.5" style="332" customWidth="1"/>
    <col min="6917" max="6917" width="20.1640625" style="332" customWidth="1"/>
    <col min="6918" max="6918" width="9.33203125" style="332"/>
    <col min="6919" max="6919" width="8.33203125" style="332" customWidth="1"/>
    <col min="6920" max="6920" width="19.1640625" style="332" customWidth="1"/>
    <col min="6921" max="6921" width="18.83203125" style="332" customWidth="1"/>
    <col min="6922" max="6922" width="9.33203125" style="332"/>
    <col min="6923" max="6923" width="7" style="332" customWidth="1"/>
    <col min="6924" max="6924" width="4.33203125" style="332" customWidth="1"/>
    <col min="6925" max="6925" width="18.83203125" style="332" customWidth="1"/>
    <col min="6926" max="6926" width="15.1640625" style="332" customWidth="1"/>
    <col min="6927" max="6927" width="9.33203125" style="332"/>
    <col min="6928" max="6928" width="21.6640625" style="332" customWidth="1"/>
    <col min="6929" max="6929" width="17.6640625" style="332" customWidth="1"/>
    <col min="6930" max="7168" width="9.33203125" style="332"/>
    <col min="7169" max="7169" width="4.1640625" style="332" customWidth="1"/>
    <col min="7170" max="7170" width="9.33203125" style="332"/>
    <col min="7171" max="7171" width="47.33203125" style="332" customWidth="1"/>
    <col min="7172" max="7172" width="47.5" style="332" customWidth="1"/>
    <col min="7173" max="7173" width="20.1640625" style="332" customWidth="1"/>
    <col min="7174" max="7174" width="9.33203125" style="332"/>
    <col min="7175" max="7175" width="8.33203125" style="332" customWidth="1"/>
    <col min="7176" max="7176" width="19.1640625" style="332" customWidth="1"/>
    <col min="7177" max="7177" width="18.83203125" style="332" customWidth="1"/>
    <col min="7178" max="7178" width="9.33203125" style="332"/>
    <col min="7179" max="7179" width="7" style="332" customWidth="1"/>
    <col min="7180" max="7180" width="4.33203125" style="332" customWidth="1"/>
    <col min="7181" max="7181" width="18.83203125" style="332" customWidth="1"/>
    <col min="7182" max="7182" width="15.1640625" style="332" customWidth="1"/>
    <col min="7183" max="7183" width="9.33203125" style="332"/>
    <col min="7184" max="7184" width="21.6640625" style="332" customWidth="1"/>
    <col min="7185" max="7185" width="17.6640625" style="332" customWidth="1"/>
    <col min="7186" max="7424" width="9.33203125" style="332"/>
    <col min="7425" max="7425" width="4.1640625" style="332" customWidth="1"/>
    <col min="7426" max="7426" width="9.33203125" style="332"/>
    <col min="7427" max="7427" width="47.33203125" style="332" customWidth="1"/>
    <col min="7428" max="7428" width="47.5" style="332" customWidth="1"/>
    <col min="7429" max="7429" width="20.1640625" style="332" customWidth="1"/>
    <col min="7430" max="7430" width="9.33203125" style="332"/>
    <col min="7431" max="7431" width="8.33203125" style="332" customWidth="1"/>
    <col min="7432" max="7432" width="19.1640625" style="332" customWidth="1"/>
    <col min="7433" max="7433" width="18.83203125" style="332" customWidth="1"/>
    <col min="7434" max="7434" width="9.33203125" style="332"/>
    <col min="7435" max="7435" width="7" style="332" customWidth="1"/>
    <col min="7436" max="7436" width="4.33203125" style="332" customWidth="1"/>
    <col min="7437" max="7437" width="18.83203125" style="332" customWidth="1"/>
    <col min="7438" max="7438" width="15.1640625" style="332" customWidth="1"/>
    <col min="7439" max="7439" width="9.33203125" style="332"/>
    <col min="7440" max="7440" width="21.6640625" style="332" customWidth="1"/>
    <col min="7441" max="7441" width="17.6640625" style="332" customWidth="1"/>
    <col min="7442" max="7680" width="9.33203125" style="332"/>
    <col min="7681" max="7681" width="4.1640625" style="332" customWidth="1"/>
    <col min="7682" max="7682" width="9.33203125" style="332"/>
    <col min="7683" max="7683" width="47.33203125" style="332" customWidth="1"/>
    <col min="7684" max="7684" width="47.5" style="332" customWidth="1"/>
    <col min="7685" max="7685" width="20.1640625" style="332" customWidth="1"/>
    <col min="7686" max="7686" width="9.33203125" style="332"/>
    <col min="7687" max="7687" width="8.33203125" style="332" customWidth="1"/>
    <col min="7688" max="7688" width="19.1640625" style="332" customWidth="1"/>
    <col min="7689" max="7689" width="18.83203125" style="332" customWidth="1"/>
    <col min="7690" max="7690" width="9.33203125" style="332"/>
    <col min="7691" max="7691" width="7" style="332" customWidth="1"/>
    <col min="7692" max="7692" width="4.33203125" style="332" customWidth="1"/>
    <col min="7693" max="7693" width="18.83203125" style="332" customWidth="1"/>
    <col min="7694" max="7694" width="15.1640625" style="332" customWidth="1"/>
    <col min="7695" max="7695" width="9.33203125" style="332"/>
    <col min="7696" max="7696" width="21.6640625" style="332" customWidth="1"/>
    <col min="7697" max="7697" width="17.6640625" style="332" customWidth="1"/>
    <col min="7698" max="7936" width="9.33203125" style="332"/>
    <col min="7937" max="7937" width="4.1640625" style="332" customWidth="1"/>
    <col min="7938" max="7938" width="9.33203125" style="332"/>
    <col min="7939" max="7939" width="47.33203125" style="332" customWidth="1"/>
    <col min="7940" max="7940" width="47.5" style="332" customWidth="1"/>
    <col min="7941" max="7941" width="20.1640625" style="332" customWidth="1"/>
    <col min="7942" max="7942" width="9.33203125" style="332"/>
    <col min="7943" max="7943" width="8.33203125" style="332" customWidth="1"/>
    <col min="7944" max="7944" width="19.1640625" style="332" customWidth="1"/>
    <col min="7945" max="7945" width="18.83203125" style="332" customWidth="1"/>
    <col min="7946" max="7946" width="9.33203125" style="332"/>
    <col min="7947" max="7947" width="7" style="332" customWidth="1"/>
    <col min="7948" max="7948" width="4.33203125" style="332" customWidth="1"/>
    <col min="7949" max="7949" width="18.83203125" style="332" customWidth="1"/>
    <col min="7950" max="7950" width="15.1640625" style="332" customWidth="1"/>
    <col min="7951" max="7951" width="9.33203125" style="332"/>
    <col min="7952" max="7952" width="21.6640625" style="332" customWidth="1"/>
    <col min="7953" max="7953" width="17.6640625" style="332" customWidth="1"/>
    <col min="7954" max="8192" width="9.33203125" style="332"/>
    <col min="8193" max="8193" width="4.1640625" style="332" customWidth="1"/>
    <col min="8194" max="8194" width="9.33203125" style="332"/>
    <col min="8195" max="8195" width="47.33203125" style="332" customWidth="1"/>
    <col min="8196" max="8196" width="47.5" style="332" customWidth="1"/>
    <col min="8197" max="8197" width="20.1640625" style="332" customWidth="1"/>
    <col min="8198" max="8198" width="9.33203125" style="332"/>
    <col min="8199" max="8199" width="8.33203125" style="332" customWidth="1"/>
    <col min="8200" max="8200" width="19.1640625" style="332" customWidth="1"/>
    <col min="8201" max="8201" width="18.83203125" style="332" customWidth="1"/>
    <col min="8202" max="8202" width="9.33203125" style="332"/>
    <col min="8203" max="8203" width="7" style="332" customWidth="1"/>
    <col min="8204" max="8204" width="4.33203125" style="332" customWidth="1"/>
    <col min="8205" max="8205" width="18.83203125" style="332" customWidth="1"/>
    <col min="8206" max="8206" width="15.1640625" style="332" customWidth="1"/>
    <col min="8207" max="8207" width="9.33203125" style="332"/>
    <col min="8208" max="8208" width="21.6640625" style="332" customWidth="1"/>
    <col min="8209" max="8209" width="17.6640625" style="332" customWidth="1"/>
    <col min="8210" max="8448" width="9.33203125" style="332"/>
    <col min="8449" max="8449" width="4.1640625" style="332" customWidth="1"/>
    <col min="8450" max="8450" width="9.33203125" style="332"/>
    <col min="8451" max="8451" width="47.33203125" style="332" customWidth="1"/>
    <col min="8452" max="8452" width="47.5" style="332" customWidth="1"/>
    <col min="8453" max="8453" width="20.1640625" style="332" customWidth="1"/>
    <col min="8454" max="8454" width="9.33203125" style="332"/>
    <col min="8455" max="8455" width="8.33203125" style="332" customWidth="1"/>
    <col min="8456" max="8456" width="19.1640625" style="332" customWidth="1"/>
    <col min="8457" max="8457" width="18.83203125" style="332" customWidth="1"/>
    <col min="8458" max="8458" width="9.33203125" style="332"/>
    <col min="8459" max="8459" width="7" style="332" customWidth="1"/>
    <col min="8460" max="8460" width="4.33203125" style="332" customWidth="1"/>
    <col min="8461" max="8461" width="18.83203125" style="332" customWidth="1"/>
    <col min="8462" max="8462" width="15.1640625" style="332" customWidth="1"/>
    <col min="8463" max="8463" width="9.33203125" style="332"/>
    <col min="8464" max="8464" width="21.6640625" style="332" customWidth="1"/>
    <col min="8465" max="8465" width="17.6640625" style="332" customWidth="1"/>
    <col min="8466" max="8704" width="9.33203125" style="332"/>
    <col min="8705" max="8705" width="4.1640625" style="332" customWidth="1"/>
    <col min="8706" max="8706" width="9.33203125" style="332"/>
    <col min="8707" max="8707" width="47.33203125" style="332" customWidth="1"/>
    <col min="8708" max="8708" width="47.5" style="332" customWidth="1"/>
    <col min="8709" max="8709" width="20.1640625" style="332" customWidth="1"/>
    <col min="8710" max="8710" width="9.33203125" style="332"/>
    <col min="8711" max="8711" width="8.33203125" style="332" customWidth="1"/>
    <col min="8712" max="8712" width="19.1640625" style="332" customWidth="1"/>
    <col min="8713" max="8713" width="18.83203125" style="332" customWidth="1"/>
    <col min="8714" max="8714" width="9.33203125" style="332"/>
    <col min="8715" max="8715" width="7" style="332" customWidth="1"/>
    <col min="8716" max="8716" width="4.33203125" style="332" customWidth="1"/>
    <col min="8717" max="8717" width="18.83203125" style="332" customWidth="1"/>
    <col min="8718" max="8718" width="15.1640625" style="332" customWidth="1"/>
    <col min="8719" max="8719" width="9.33203125" style="332"/>
    <col min="8720" max="8720" width="21.6640625" style="332" customWidth="1"/>
    <col min="8721" max="8721" width="17.6640625" style="332" customWidth="1"/>
    <col min="8722" max="8960" width="9.33203125" style="332"/>
    <col min="8961" max="8961" width="4.1640625" style="332" customWidth="1"/>
    <col min="8962" max="8962" width="9.33203125" style="332"/>
    <col min="8963" max="8963" width="47.33203125" style="332" customWidth="1"/>
    <col min="8964" max="8964" width="47.5" style="332" customWidth="1"/>
    <col min="8965" max="8965" width="20.1640625" style="332" customWidth="1"/>
    <col min="8966" max="8966" width="9.33203125" style="332"/>
    <col min="8967" max="8967" width="8.33203125" style="332" customWidth="1"/>
    <col min="8968" max="8968" width="19.1640625" style="332" customWidth="1"/>
    <col min="8969" max="8969" width="18.83203125" style="332" customWidth="1"/>
    <col min="8970" max="8970" width="9.33203125" style="332"/>
    <col min="8971" max="8971" width="7" style="332" customWidth="1"/>
    <col min="8972" max="8972" width="4.33203125" style="332" customWidth="1"/>
    <col min="8973" max="8973" width="18.83203125" style="332" customWidth="1"/>
    <col min="8974" max="8974" width="15.1640625" style="332" customWidth="1"/>
    <col min="8975" max="8975" width="9.33203125" style="332"/>
    <col min="8976" max="8976" width="21.6640625" style="332" customWidth="1"/>
    <col min="8977" max="8977" width="17.6640625" style="332" customWidth="1"/>
    <col min="8978" max="9216" width="9.33203125" style="332"/>
    <col min="9217" max="9217" width="4.1640625" style="332" customWidth="1"/>
    <col min="9218" max="9218" width="9.33203125" style="332"/>
    <col min="9219" max="9219" width="47.33203125" style="332" customWidth="1"/>
    <col min="9220" max="9220" width="47.5" style="332" customWidth="1"/>
    <col min="9221" max="9221" width="20.1640625" style="332" customWidth="1"/>
    <col min="9222" max="9222" width="9.33203125" style="332"/>
    <col min="9223" max="9223" width="8.33203125" style="332" customWidth="1"/>
    <col min="9224" max="9224" width="19.1640625" style="332" customWidth="1"/>
    <col min="9225" max="9225" width="18.83203125" style="332" customWidth="1"/>
    <col min="9226" max="9226" width="9.33203125" style="332"/>
    <col min="9227" max="9227" width="7" style="332" customWidth="1"/>
    <col min="9228" max="9228" width="4.33203125" style="332" customWidth="1"/>
    <col min="9229" max="9229" width="18.83203125" style="332" customWidth="1"/>
    <col min="9230" max="9230" width="15.1640625" style="332" customWidth="1"/>
    <col min="9231" max="9231" width="9.33203125" style="332"/>
    <col min="9232" max="9232" width="21.6640625" style="332" customWidth="1"/>
    <col min="9233" max="9233" width="17.6640625" style="332" customWidth="1"/>
    <col min="9234" max="9472" width="9.33203125" style="332"/>
    <col min="9473" max="9473" width="4.1640625" style="332" customWidth="1"/>
    <col min="9474" max="9474" width="9.33203125" style="332"/>
    <col min="9475" max="9475" width="47.33203125" style="332" customWidth="1"/>
    <col min="9476" max="9476" width="47.5" style="332" customWidth="1"/>
    <col min="9477" max="9477" width="20.1640625" style="332" customWidth="1"/>
    <col min="9478" max="9478" width="9.33203125" style="332"/>
    <col min="9479" max="9479" width="8.33203125" style="332" customWidth="1"/>
    <col min="9480" max="9480" width="19.1640625" style="332" customWidth="1"/>
    <col min="9481" max="9481" width="18.83203125" style="332" customWidth="1"/>
    <col min="9482" max="9482" width="9.33203125" style="332"/>
    <col min="9483" max="9483" width="7" style="332" customWidth="1"/>
    <col min="9484" max="9484" width="4.33203125" style="332" customWidth="1"/>
    <col min="9485" max="9485" width="18.83203125" style="332" customWidth="1"/>
    <col min="9486" max="9486" width="15.1640625" style="332" customWidth="1"/>
    <col min="9487" max="9487" width="9.33203125" style="332"/>
    <col min="9488" max="9488" width="21.6640625" style="332" customWidth="1"/>
    <col min="9489" max="9489" width="17.6640625" style="332" customWidth="1"/>
    <col min="9490" max="9728" width="9.33203125" style="332"/>
    <col min="9729" max="9729" width="4.1640625" style="332" customWidth="1"/>
    <col min="9730" max="9730" width="9.33203125" style="332"/>
    <col min="9731" max="9731" width="47.33203125" style="332" customWidth="1"/>
    <col min="9732" max="9732" width="47.5" style="332" customWidth="1"/>
    <col min="9733" max="9733" width="20.1640625" style="332" customWidth="1"/>
    <col min="9734" max="9734" width="9.33203125" style="332"/>
    <col min="9735" max="9735" width="8.33203125" style="332" customWidth="1"/>
    <col min="9736" max="9736" width="19.1640625" style="332" customWidth="1"/>
    <col min="9737" max="9737" width="18.83203125" style="332" customWidth="1"/>
    <col min="9738" max="9738" width="9.33203125" style="332"/>
    <col min="9739" max="9739" width="7" style="332" customWidth="1"/>
    <col min="9740" max="9740" width="4.33203125" style="332" customWidth="1"/>
    <col min="9741" max="9741" width="18.83203125" style="332" customWidth="1"/>
    <col min="9742" max="9742" width="15.1640625" style="332" customWidth="1"/>
    <col min="9743" max="9743" width="9.33203125" style="332"/>
    <col min="9744" max="9744" width="21.6640625" style="332" customWidth="1"/>
    <col min="9745" max="9745" width="17.6640625" style="332" customWidth="1"/>
    <col min="9746" max="9984" width="9.33203125" style="332"/>
    <col min="9985" max="9985" width="4.1640625" style="332" customWidth="1"/>
    <col min="9986" max="9986" width="9.33203125" style="332"/>
    <col min="9987" max="9987" width="47.33203125" style="332" customWidth="1"/>
    <col min="9988" max="9988" width="47.5" style="332" customWidth="1"/>
    <col min="9989" max="9989" width="20.1640625" style="332" customWidth="1"/>
    <col min="9990" max="9990" width="9.33203125" style="332"/>
    <col min="9991" max="9991" width="8.33203125" style="332" customWidth="1"/>
    <col min="9992" max="9992" width="19.1640625" style="332" customWidth="1"/>
    <col min="9993" max="9993" width="18.83203125" style="332" customWidth="1"/>
    <col min="9994" max="9994" width="9.33203125" style="332"/>
    <col min="9995" max="9995" width="7" style="332" customWidth="1"/>
    <col min="9996" max="9996" width="4.33203125" style="332" customWidth="1"/>
    <col min="9997" max="9997" width="18.83203125" style="332" customWidth="1"/>
    <col min="9998" max="9998" width="15.1640625" style="332" customWidth="1"/>
    <col min="9999" max="9999" width="9.33203125" style="332"/>
    <col min="10000" max="10000" width="21.6640625" style="332" customWidth="1"/>
    <col min="10001" max="10001" width="17.6640625" style="332" customWidth="1"/>
    <col min="10002" max="10240" width="9.33203125" style="332"/>
    <col min="10241" max="10241" width="4.1640625" style="332" customWidth="1"/>
    <col min="10242" max="10242" width="9.33203125" style="332"/>
    <col min="10243" max="10243" width="47.33203125" style="332" customWidth="1"/>
    <col min="10244" max="10244" width="47.5" style="332" customWidth="1"/>
    <col min="10245" max="10245" width="20.1640625" style="332" customWidth="1"/>
    <col min="10246" max="10246" width="9.33203125" style="332"/>
    <col min="10247" max="10247" width="8.33203125" style="332" customWidth="1"/>
    <col min="10248" max="10248" width="19.1640625" style="332" customWidth="1"/>
    <col min="10249" max="10249" width="18.83203125" style="332" customWidth="1"/>
    <col min="10250" max="10250" width="9.33203125" style="332"/>
    <col min="10251" max="10251" width="7" style="332" customWidth="1"/>
    <col min="10252" max="10252" width="4.33203125" style="332" customWidth="1"/>
    <col min="10253" max="10253" width="18.83203125" style="332" customWidth="1"/>
    <col min="10254" max="10254" width="15.1640625" style="332" customWidth="1"/>
    <col min="10255" max="10255" width="9.33203125" style="332"/>
    <col min="10256" max="10256" width="21.6640625" style="332" customWidth="1"/>
    <col min="10257" max="10257" width="17.6640625" style="332" customWidth="1"/>
    <col min="10258" max="10496" width="9.33203125" style="332"/>
    <col min="10497" max="10497" width="4.1640625" style="332" customWidth="1"/>
    <col min="10498" max="10498" width="9.33203125" style="332"/>
    <col min="10499" max="10499" width="47.33203125" style="332" customWidth="1"/>
    <col min="10500" max="10500" width="47.5" style="332" customWidth="1"/>
    <col min="10501" max="10501" width="20.1640625" style="332" customWidth="1"/>
    <col min="10502" max="10502" width="9.33203125" style="332"/>
    <col min="10503" max="10503" width="8.33203125" style="332" customWidth="1"/>
    <col min="10504" max="10504" width="19.1640625" style="332" customWidth="1"/>
    <col min="10505" max="10505" width="18.83203125" style="332" customWidth="1"/>
    <col min="10506" max="10506" width="9.33203125" style="332"/>
    <col min="10507" max="10507" width="7" style="332" customWidth="1"/>
    <col min="10508" max="10508" width="4.33203125" style="332" customWidth="1"/>
    <col min="10509" max="10509" width="18.83203125" style="332" customWidth="1"/>
    <col min="10510" max="10510" width="15.1640625" style="332" customWidth="1"/>
    <col min="10511" max="10511" width="9.33203125" style="332"/>
    <col min="10512" max="10512" width="21.6640625" style="332" customWidth="1"/>
    <col min="10513" max="10513" width="17.6640625" style="332" customWidth="1"/>
    <col min="10514" max="10752" width="9.33203125" style="332"/>
    <col min="10753" max="10753" width="4.1640625" style="332" customWidth="1"/>
    <col min="10754" max="10754" width="9.33203125" style="332"/>
    <col min="10755" max="10755" width="47.33203125" style="332" customWidth="1"/>
    <col min="10756" max="10756" width="47.5" style="332" customWidth="1"/>
    <col min="10757" max="10757" width="20.1640625" style="332" customWidth="1"/>
    <col min="10758" max="10758" width="9.33203125" style="332"/>
    <col min="10759" max="10759" width="8.33203125" style="332" customWidth="1"/>
    <col min="10760" max="10760" width="19.1640625" style="332" customWidth="1"/>
    <col min="10761" max="10761" width="18.83203125" style="332" customWidth="1"/>
    <col min="10762" max="10762" width="9.33203125" style="332"/>
    <col min="10763" max="10763" width="7" style="332" customWidth="1"/>
    <col min="10764" max="10764" width="4.33203125" style="332" customWidth="1"/>
    <col min="10765" max="10765" width="18.83203125" style="332" customWidth="1"/>
    <col min="10766" max="10766" width="15.1640625" style="332" customWidth="1"/>
    <col min="10767" max="10767" width="9.33203125" style="332"/>
    <col min="10768" max="10768" width="21.6640625" style="332" customWidth="1"/>
    <col min="10769" max="10769" width="17.6640625" style="332" customWidth="1"/>
    <col min="10770" max="11008" width="9.33203125" style="332"/>
    <col min="11009" max="11009" width="4.1640625" style="332" customWidth="1"/>
    <col min="11010" max="11010" width="9.33203125" style="332"/>
    <col min="11011" max="11011" width="47.33203125" style="332" customWidth="1"/>
    <col min="11012" max="11012" width="47.5" style="332" customWidth="1"/>
    <col min="11013" max="11013" width="20.1640625" style="332" customWidth="1"/>
    <col min="11014" max="11014" width="9.33203125" style="332"/>
    <col min="11015" max="11015" width="8.33203125" style="332" customWidth="1"/>
    <col min="11016" max="11016" width="19.1640625" style="332" customWidth="1"/>
    <col min="11017" max="11017" width="18.83203125" style="332" customWidth="1"/>
    <col min="11018" max="11018" width="9.33203125" style="332"/>
    <col min="11019" max="11019" width="7" style="332" customWidth="1"/>
    <col min="11020" max="11020" width="4.33203125" style="332" customWidth="1"/>
    <col min="11021" max="11021" width="18.83203125" style="332" customWidth="1"/>
    <col min="11022" max="11022" width="15.1640625" style="332" customWidth="1"/>
    <col min="11023" max="11023" width="9.33203125" style="332"/>
    <col min="11024" max="11024" width="21.6640625" style="332" customWidth="1"/>
    <col min="11025" max="11025" width="17.6640625" style="332" customWidth="1"/>
    <col min="11026" max="11264" width="9.33203125" style="332"/>
    <col min="11265" max="11265" width="4.1640625" style="332" customWidth="1"/>
    <col min="11266" max="11266" width="9.33203125" style="332"/>
    <col min="11267" max="11267" width="47.33203125" style="332" customWidth="1"/>
    <col min="11268" max="11268" width="47.5" style="332" customWidth="1"/>
    <col min="11269" max="11269" width="20.1640625" style="332" customWidth="1"/>
    <col min="11270" max="11270" width="9.33203125" style="332"/>
    <col min="11271" max="11271" width="8.33203125" style="332" customWidth="1"/>
    <col min="11272" max="11272" width="19.1640625" style="332" customWidth="1"/>
    <col min="11273" max="11273" width="18.83203125" style="332" customWidth="1"/>
    <col min="11274" max="11274" width="9.33203125" style="332"/>
    <col min="11275" max="11275" width="7" style="332" customWidth="1"/>
    <col min="11276" max="11276" width="4.33203125" style="332" customWidth="1"/>
    <col min="11277" max="11277" width="18.83203125" style="332" customWidth="1"/>
    <col min="11278" max="11278" width="15.1640625" style="332" customWidth="1"/>
    <col min="11279" max="11279" width="9.33203125" style="332"/>
    <col min="11280" max="11280" width="21.6640625" style="332" customWidth="1"/>
    <col min="11281" max="11281" width="17.6640625" style="332" customWidth="1"/>
    <col min="11282" max="11520" width="9.33203125" style="332"/>
    <col min="11521" max="11521" width="4.1640625" style="332" customWidth="1"/>
    <col min="11522" max="11522" width="9.33203125" style="332"/>
    <col min="11523" max="11523" width="47.33203125" style="332" customWidth="1"/>
    <col min="11524" max="11524" width="47.5" style="332" customWidth="1"/>
    <col min="11525" max="11525" width="20.1640625" style="332" customWidth="1"/>
    <col min="11526" max="11526" width="9.33203125" style="332"/>
    <col min="11527" max="11527" width="8.33203125" style="332" customWidth="1"/>
    <col min="11528" max="11528" width="19.1640625" style="332" customWidth="1"/>
    <col min="11529" max="11529" width="18.83203125" style="332" customWidth="1"/>
    <col min="11530" max="11530" width="9.33203125" style="332"/>
    <col min="11531" max="11531" width="7" style="332" customWidth="1"/>
    <col min="11532" max="11532" width="4.33203125" style="332" customWidth="1"/>
    <col min="11533" max="11533" width="18.83203125" style="332" customWidth="1"/>
    <col min="11534" max="11534" width="15.1640625" style="332" customWidth="1"/>
    <col min="11535" max="11535" width="9.33203125" style="332"/>
    <col min="11536" max="11536" width="21.6640625" style="332" customWidth="1"/>
    <col min="11537" max="11537" width="17.6640625" style="332" customWidth="1"/>
    <col min="11538" max="11776" width="9.33203125" style="332"/>
    <col min="11777" max="11777" width="4.1640625" style="332" customWidth="1"/>
    <col min="11778" max="11778" width="9.33203125" style="332"/>
    <col min="11779" max="11779" width="47.33203125" style="332" customWidth="1"/>
    <col min="11780" max="11780" width="47.5" style="332" customWidth="1"/>
    <col min="11781" max="11781" width="20.1640625" style="332" customWidth="1"/>
    <col min="11782" max="11782" width="9.33203125" style="332"/>
    <col min="11783" max="11783" width="8.33203125" style="332" customWidth="1"/>
    <col min="11784" max="11784" width="19.1640625" style="332" customWidth="1"/>
    <col min="11785" max="11785" width="18.83203125" style="332" customWidth="1"/>
    <col min="11786" max="11786" width="9.33203125" style="332"/>
    <col min="11787" max="11787" width="7" style="332" customWidth="1"/>
    <col min="11788" max="11788" width="4.33203125" style="332" customWidth="1"/>
    <col min="11789" max="11789" width="18.83203125" style="332" customWidth="1"/>
    <col min="11790" max="11790" width="15.1640625" style="332" customWidth="1"/>
    <col min="11791" max="11791" width="9.33203125" style="332"/>
    <col min="11792" max="11792" width="21.6640625" style="332" customWidth="1"/>
    <col min="11793" max="11793" width="17.6640625" style="332" customWidth="1"/>
    <col min="11794" max="12032" width="9.33203125" style="332"/>
    <col min="12033" max="12033" width="4.1640625" style="332" customWidth="1"/>
    <col min="12034" max="12034" width="9.33203125" style="332"/>
    <col min="12035" max="12035" width="47.33203125" style="332" customWidth="1"/>
    <col min="12036" max="12036" width="47.5" style="332" customWidth="1"/>
    <col min="12037" max="12037" width="20.1640625" style="332" customWidth="1"/>
    <col min="12038" max="12038" width="9.33203125" style="332"/>
    <col min="12039" max="12039" width="8.33203125" style="332" customWidth="1"/>
    <col min="12040" max="12040" width="19.1640625" style="332" customWidth="1"/>
    <col min="12041" max="12041" width="18.83203125" style="332" customWidth="1"/>
    <col min="12042" max="12042" width="9.33203125" style="332"/>
    <col min="12043" max="12043" width="7" style="332" customWidth="1"/>
    <col min="12044" max="12044" width="4.33203125" style="332" customWidth="1"/>
    <col min="12045" max="12045" width="18.83203125" style="332" customWidth="1"/>
    <col min="12046" max="12046" width="15.1640625" style="332" customWidth="1"/>
    <col min="12047" max="12047" width="9.33203125" style="332"/>
    <col min="12048" max="12048" width="21.6640625" style="332" customWidth="1"/>
    <col min="12049" max="12049" width="17.6640625" style="332" customWidth="1"/>
    <col min="12050" max="12288" width="9.33203125" style="332"/>
    <col min="12289" max="12289" width="4.1640625" style="332" customWidth="1"/>
    <col min="12290" max="12290" width="9.33203125" style="332"/>
    <col min="12291" max="12291" width="47.33203125" style="332" customWidth="1"/>
    <col min="12292" max="12292" width="47.5" style="332" customWidth="1"/>
    <col min="12293" max="12293" width="20.1640625" style="332" customWidth="1"/>
    <col min="12294" max="12294" width="9.33203125" style="332"/>
    <col min="12295" max="12295" width="8.33203125" style="332" customWidth="1"/>
    <col min="12296" max="12296" width="19.1640625" style="332" customWidth="1"/>
    <col min="12297" max="12297" width="18.83203125" style="332" customWidth="1"/>
    <col min="12298" max="12298" width="9.33203125" style="332"/>
    <col min="12299" max="12299" width="7" style="332" customWidth="1"/>
    <col min="12300" max="12300" width="4.33203125" style="332" customWidth="1"/>
    <col min="12301" max="12301" width="18.83203125" style="332" customWidth="1"/>
    <col min="12302" max="12302" width="15.1640625" style="332" customWidth="1"/>
    <col min="12303" max="12303" width="9.33203125" style="332"/>
    <col min="12304" max="12304" width="21.6640625" style="332" customWidth="1"/>
    <col min="12305" max="12305" width="17.6640625" style="332" customWidth="1"/>
    <col min="12306" max="12544" width="9.33203125" style="332"/>
    <col min="12545" max="12545" width="4.1640625" style="332" customWidth="1"/>
    <col min="12546" max="12546" width="9.33203125" style="332"/>
    <col min="12547" max="12547" width="47.33203125" style="332" customWidth="1"/>
    <col min="12548" max="12548" width="47.5" style="332" customWidth="1"/>
    <col min="12549" max="12549" width="20.1640625" style="332" customWidth="1"/>
    <col min="12550" max="12550" width="9.33203125" style="332"/>
    <col min="12551" max="12551" width="8.33203125" style="332" customWidth="1"/>
    <col min="12552" max="12552" width="19.1640625" style="332" customWidth="1"/>
    <col min="12553" max="12553" width="18.83203125" style="332" customWidth="1"/>
    <col min="12554" max="12554" width="9.33203125" style="332"/>
    <col min="12555" max="12555" width="7" style="332" customWidth="1"/>
    <col min="12556" max="12556" width="4.33203125" style="332" customWidth="1"/>
    <col min="12557" max="12557" width="18.83203125" style="332" customWidth="1"/>
    <col min="12558" max="12558" width="15.1640625" style="332" customWidth="1"/>
    <col min="12559" max="12559" width="9.33203125" style="332"/>
    <col min="12560" max="12560" width="21.6640625" style="332" customWidth="1"/>
    <col min="12561" max="12561" width="17.6640625" style="332" customWidth="1"/>
    <col min="12562" max="12800" width="9.33203125" style="332"/>
    <col min="12801" max="12801" width="4.1640625" style="332" customWidth="1"/>
    <col min="12802" max="12802" width="9.33203125" style="332"/>
    <col min="12803" max="12803" width="47.33203125" style="332" customWidth="1"/>
    <col min="12804" max="12804" width="47.5" style="332" customWidth="1"/>
    <col min="12805" max="12805" width="20.1640625" style="332" customWidth="1"/>
    <col min="12806" max="12806" width="9.33203125" style="332"/>
    <col min="12807" max="12807" width="8.33203125" style="332" customWidth="1"/>
    <col min="12808" max="12808" width="19.1640625" style="332" customWidth="1"/>
    <col min="12809" max="12809" width="18.83203125" style="332" customWidth="1"/>
    <col min="12810" max="12810" width="9.33203125" style="332"/>
    <col min="12811" max="12811" width="7" style="332" customWidth="1"/>
    <col min="12812" max="12812" width="4.33203125" style="332" customWidth="1"/>
    <col min="12813" max="12813" width="18.83203125" style="332" customWidth="1"/>
    <col min="12814" max="12814" width="15.1640625" style="332" customWidth="1"/>
    <col min="12815" max="12815" width="9.33203125" style="332"/>
    <col min="12816" max="12816" width="21.6640625" style="332" customWidth="1"/>
    <col min="12817" max="12817" width="17.6640625" style="332" customWidth="1"/>
    <col min="12818" max="13056" width="9.33203125" style="332"/>
    <col min="13057" max="13057" width="4.1640625" style="332" customWidth="1"/>
    <col min="13058" max="13058" width="9.33203125" style="332"/>
    <col min="13059" max="13059" width="47.33203125" style="332" customWidth="1"/>
    <col min="13060" max="13060" width="47.5" style="332" customWidth="1"/>
    <col min="13061" max="13061" width="20.1640625" style="332" customWidth="1"/>
    <col min="13062" max="13062" width="9.33203125" style="332"/>
    <col min="13063" max="13063" width="8.33203125" style="332" customWidth="1"/>
    <col min="13064" max="13064" width="19.1640625" style="332" customWidth="1"/>
    <col min="13065" max="13065" width="18.83203125" style="332" customWidth="1"/>
    <col min="13066" max="13066" width="9.33203125" style="332"/>
    <col min="13067" max="13067" width="7" style="332" customWidth="1"/>
    <col min="13068" max="13068" width="4.33203125" style="332" customWidth="1"/>
    <col min="13069" max="13069" width="18.83203125" style="332" customWidth="1"/>
    <col min="13070" max="13070" width="15.1640625" style="332" customWidth="1"/>
    <col min="13071" max="13071" width="9.33203125" style="332"/>
    <col min="13072" max="13072" width="21.6640625" style="332" customWidth="1"/>
    <col min="13073" max="13073" width="17.6640625" style="332" customWidth="1"/>
    <col min="13074" max="13312" width="9.33203125" style="332"/>
    <col min="13313" max="13313" width="4.1640625" style="332" customWidth="1"/>
    <col min="13314" max="13314" width="9.33203125" style="332"/>
    <col min="13315" max="13315" width="47.33203125" style="332" customWidth="1"/>
    <col min="13316" max="13316" width="47.5" style="332" customWidth="1"/>
    <col min="13317" max="13317" width="20.1640625" style="332" customWidth="1"/>
    <col min="13318" max="13318" width="9.33203125" style="332"/>
    <col min="13319" max="13319" width="8.33203125" style="332" customWidth="1"/>
    <col min="13320" max="13320" width="19.1640625" style="332" customWidth="1"/>
    <col min="13321" max="13321" width="18.83203125" style="332" customWidth="1"/>
    <col min="13322" max="13322" width="9.33203125" style="332"/>
    <col min="13323" max="13323" width="7" style="332" customWidth="1"/>
    <col min="13324" max="13324" width="4.33203125" style="332" customWidth="1"/>
    <col min="13325" max="13325" width="18.83203125" style="332" customWidth="1"/>
    <col min="13326" max="13326" width="15.1640625" style="332" customWidth="1"/>
    <col min="13327" max="13327" width="9.33203125" style="332"/>
    <col min="13328" max="13328" width="21.6640625" style="332" customWidth="1"/>
    <col min="13329" max="13329" width="17.6640625" style="332" customWidth="1"/>
    <col min="13330" max="13568" width="9.33203125" style="332"/>
    <col min="13569" max="13569" width="4.1640625" style="332" customWidth="1"/>
    <col min="13570" max="13570" width="9.33203125" style="332"/>
    <col min="13571" max="13571" width="47.33203125" style="332" customWidth="1"/>
    <col min="13572" max="13572" width="47.5" style="332" customWidth="1"/>
    <col min="13573" max="13573" width="20.1640625" style="332" customWidth="1"/>
    <col min="13574" max="13574" width="9.33203125" style="332"/>
    <col min="13575" max="13575" width="8.33203125" style="332" customWidth="1"/>
    <col min="13576" max="13576" width="19.1640625" style="332" customWidth="1"/>
    <col min="13577" max="13577" width="18.83203125" style="332" customWidth="1"/>
    <col min="13578" max="13578" width="9.33203125" style="332"/>
    <col min="13579" max="13579" width="7" style="332" customWidth="1"/>
    <col min="13580" max="13580" width="4.33203125" style="332" customWidth="1"/>
    <col min="13581" max="13581" width="18.83203125" style="332" customWidth="1"/>
    <col min="13582" max="13582" width="15.1640625" style="332" customWidth="1"/>
    <col min="13583" max="13583" width="9.33203125" style="332"/>
    <col min="13584" max="13584" width="21.6640625" style="332" customWidth="1"/>
    <col min="13585" max="13585" width="17.6640625" style="332" customWidth="1"/>
    <col min="13586" max="13824" width="9.33203125" style="332"/>
    <col min="13825" max="13825" width="4.1640625" style="332" customWidth="1"/>
    <col min="13826" max="13826" width="9.33203125" style="332"/>
    <col min="13827" max="13827" width="47.33203125" style="332" customWidth="1"/>
    <col min="13828" max="13828" width="47.5" style="332" customWidth="1"/>
    <col min="13829" max="13829" width="20.1640625" style="332" customWidth="1"/>
    <col min="13830" max="13830" width="9.33203125" style="332"/>
    <col min="13831" max="13831" width="8.33203125" style="332" customWidth="1"/>
    <col min="13832" max="13832" width="19.1640625" style="332" customWidth="1"/>
    <col min="13833" max="13833" width="18.83203125" style="332" customWidth="1"/>
    <col min="13834" max="13834" width="9.33203125" style="332"/>
    <col min="13835" max="13835" width="7" style="332" customWidth="1"/>
    <col min="13836" max="13836" width="4.33203125" style="332" customWidth="1"/>
    <col min="13837" max="13837" width="18.83203125" style="332" customWidth="1"/>
    <col min="13838" max="13838" width="15.1640625" style="332" customWidth="1"/>
    <col min="13839" max="13839" width="9.33203125" style="332"/>
    <col min="13840" max="13840" width="21.6640625" style="332" customWidth="1"/>
    <col min="13841" max="13841" width="17.6640625" style="332" customWidth="1"/>
    <col min="13842" max="14080" width="9.33203125" style="332"/>
    <col min="14081" max="14081" width="4.1640625" style="332" customWidth="1"/>
    <col min="14082" max="14082" width="9.33203125" style="332"/>
    <col min="14083" max="14083" width="47.33203125" style="332" customWidth="1"/>
    <col min="14084" max="14084" width="47.5" style="332" customWidth="1"/>
    <col min="14085" max="14085" width="20.1640625" style="332" customWidth="1"/>
    <col min="14086" max="14086" width="9.33203125" style="332"/>
    <col min="14087" max="14087" width="8.33203125" style="332" customWidth="1"/>
    <col min="14088" max="14088" width="19.1640625" style="332" customWidth="1"/>
    <col min="14089" max="14089" width="18.83203125" style="332" customWidth="1"/>
    <col min="14090" max="14090" width="9.33203125" style="332"/>
    <col min="14091" max="14091" width="7" style="332" customWidth="1"/>
    <col min="14092" max="14092" width="4.33203125" style="332" customWidth="1"/>
    <col min="14093" max="14093" width="18.83203125" style="332" customWidth="1"/>
    <col min="14094" max="14094" width="15.1640625" style="332" customWidth="1"/>
    <col min="14095" max="14095" width="9.33203125" style="332"/>
    <col min="14096" max="14096" width="21.6640625" style="332" customWidth="1"/>
    <col min="14097" max="14097" width="17.6640625" style="332" customWidth="1"/>
    <col min="14098" max="14336" width="9.33203125" style="332"/>
    <col min="14337" max="14337" width="4.1640625" style="332" customWidth="1"/>
    <col min="14338" max="14338" width="9.33203125" style="332"/>
    <col min="14339" max="14339" width="47.33203125" style="332" customWidth="1"/>
    <col min="14340" max="14340" width="47.5" style="332" customWidth="1"/>
    <col min="14341" max="14341" width="20.1640625" style="332" customWidth="1"/>
    <col min="14342" max="14342" width="9.33203125" style="332"/>
    <col min="14343" max="14343" width="8.33203125" style="332" customWidth="1"/>
    <col min="14344" max="14344" width="19.1640625" style="332" customWidth="1"/>
    <col min="14345" max="14345" width="18.83203125" style="332" customWidth="1"/>
    <col min="14346" max="14346" width="9.33203125" style="332"/>
    <col min="14347" max="14347" width="7" style="332" customWidth="1"/>
    <col min="14348" max="14348" width="4.33203125" style="332" customWidth="1"/>
    <col min="14349" max="14349" width="18.83203125" style="332" customWidth="1"/>
    <col min="14350" max="14350" width="15.1640625" style="332" customWidth="1"/>
    <col min="14351" max="14351" width="9.33203125" style="332"/>
    <col min="14352" max="14352" width="21.6640625" style="332" customWidth="1"/>
    <col min="14353" max="14353" width="17.6640625" style="332" customWidth="1"/>
    <col min="14354" max="14592" width="9.33203125" style="332"/>
    <col min="14593" max="14593" width="4.1640625" style="332" customWidth="1"/>
    <col min="14594" max="14594" width="9.33203125" style="332"/>
    <col min="14595" max="14595" width="47.33203125" style="332" customWidth="1"/>
    <col min="14596" max="14596" width="47.5" style="332" customWidth="1"/>
    <col min="14597" max="14597" width="20.1640625" style="332" customWidth="1"/>
    <col min="14598" max="14598" width="9.33203125" style="332"/>
    <col min="14599" max="14599" width="8.33203125" style="332" customWidth="1"/>
    <col min="14600" max="14600" width="19.1640625" style="332" customWidth="1"/>
    <col min="14601" max="14601" width="18.83203125" style="332" customWidth="1"/>
    <col min="14602" max="14602" width="9.33203125" style="332"/>
    <col min="14603" max="14603" width="7" style="332" customWidth="1"/>
    <col min="14604" max="14604" width="4.33203125" style="332" customWidth="1"/>
    <col min="14605" max="14605" width="18.83203125" style="332" customWidth="1"/>
    <col min="14606" max="14606" width="15.1640625" style="332" customWidth="1"/>
    <col min="14607" max="14607" width="9.33203125" style="332"/>
    <col min="14608" max="14608" width="21.6640625" style="332" customWidth="1"/>
    <col min="14609" max="14609" width="17.6640625" style="332" customWidth="1"/>
    <col min="14610" max="14848" width="9.33203125" style="332"/>
    <col min="14849" max="14849" width="4.1640625" style="332" customWidth="1"/>
    <col min="14850" max="14850" width="9.33203125" style="332"/>
    <col min="14851" max="14851" width="47.33203125" style="332" customWidth="1"/>
    <col min="14852" max="14852" width="47.5" style="332" customWidth="1"/>
    <col min="14853" max="14853" width="20.1640625" style="332" customWidth="1"/>
    <col min="14854" max="14854" width="9.33203125" style="332"/>
    <col min="14855" max="14855" width="8.33203125" style="332" customWidth="1"/>
    <col min="14856" max="14856" width="19.1640625" style="332" customWidth="1"/>
    <col min="14857" max="14857" width="18.83203125" style="332" customWidth="1"/>
    <col min="14858" max="14858" width="9.33203125" style="332"/>
    <col min="14859" max="14859" width="7" style="332" customWidth="1"/>
    <col min="14860" max="14860" width="4.33203125" style="332" customWidth="1"/>
    <col min="14861" max="14861" width="18.83203125" style="332" customWidth="1"/>
    <col min="14862" max="14862" width="15.1640625" style="332" customWidth="1"/>
    <col min="14863" max="14863" width="9.33203125" style="332"/>
    <col min="14864" max="14864" width="21.6640625" style="332" customWidth="1"/>
    <col min="14865" max="14865" width="17.6640625" style="332" customWidth="1"/>
    <col min="14866" max="15104" width="9.33203125" style="332"/>
    <col min="15105" max="15105" width="4.1640625" style="332" customWidth="1"/>
    <col min="15106" max="15106" width="9.33203125" style="332"/>
    <col min="15107" max="15107" width="47.33203125" style="332" customWidth="1"/>
    <col min="15108" max="15108" width="47.5" style="332" customWidth="1"/>
    <col min="15109" max="15109" width="20.1640625" style="332" customWidth="1"/>
    <col min="15110" max="15110" width="9.33203125" style="332"/>
    <col min="15111" max="15111" width="8.33203125" style="332" customWidth="1"/>
    <col min="15112" max="15112" width="19.1640625" style="332" customWidth="1"/>
    <col min="15113" max="15113" width="18.83203125" style="332" customWidth="1"/>
    <col min="15114" max="15114" width="9.33203125" style="332"/>
    <col min="15115" max="15115" width="7" style="332" customWidth="1"/>
    <col min="15116" max="15116" width="4.33203125" style="332" customWidth="1"/>
    <col min="15117" max="15117" width="18.83203125" style="332" customWidth="1"/>
    <col min="15118" max="15118" width="15.1640625" style="332" customWidth="1"/>
    <col min="15119" max="15119" width="9.33203125" style="332"/>
    <col min="15120" max="15120" width="21.6640625" style="332" customWidth="1"/>
    <col min="15121" max="15121" width="17.6640625" style="332" customWidth="1"/>
    <col min="15122" max="15360" width="9.33203125" style="332"/>
    <col min="15361" max="15361" width="4.1640625" style="332" customWidth="1"/>
    <col min="15362" max="15362" width="9.33203125" style="332"/>
    <col min="15363" max="15363" width="47.33203125" style="332" customWidth="1"/>
    <col min="15364" max="15364" width="47.5" style="332" customWidth="1"/>
    <col min="15365" max="15365" width="20.1640625" style="332" customWidth="1"/>
    <col min="15366" max="15366" width="9.33203125" style="332"/>
    <col min="15367" max="15367" width="8.33203125" style="332" customWidth="1"/>
    <col min="15368" max="15368" width="19.1640625" style="332" customWidth="1"/>
    <col min="15369" max="15369" width="18.83203125" style="332" customWidth="1"/>
    <col min="15370" max="15370" width="9.33203125" style="332"/>
    <col min="15371" max="15371" width="7" style="332" customWidth="1"/>
    <col min="15372" max="15372" width="4.33203125" style="332" customWidth="1"/>
    <col min="15373" max="15373" width="18.83203125" style="332" customWidth="1"/>
    <col min="15374" max="15374" width="15.1640625" style="332" customWidth="1"/>
    <col min="15375" max="15375" width="9.33203125" style="332"/>
    <col min="15376" max="15376" width="21.6640625" style="332" customWidth="1"/>
    <col min="15377" max="15377" width="17.6640625" style="332" customWidth="1"/>
    <col min="15378" max="15616" width="9.33203125" style="332"/>
    <col min="15617" max="15617" width="4.1640625" style="332" customWidth="1"/>
    <col min="15618" max="15618" width="9.33203125" style="332"/>
    <col min="15619" max="15619" width="47.33203125" style="332" customWidth="1"/>
    <col min="15620" max="15620" width="47.5" style="332" customWidth="1"/>
    <col min="15621" max="15621" width="20.1640625" style="332" customWidth="1"/>
    <col min="15622" max="15622" width="9.33203125" style="332"/>
    <col min="15623" max="15623" width="8.33203125" style="332" customWidth="1"/>
    <col min="15624" max="15624" width="19.1640625" style="332" customWidth="1"/>
    <col min="15625" max="15625" width="18.83203125" style="332" customWidth="1"/>
    <col min="15626" max="15626" width="9.33203125" style="332"/>
    <col min="15627" max="15627" width="7" style="332" customWidth="1"/>
    <col min="15628" max="15628" width="4.33203125" style="332" customWidth="1"/>
    <col min="15629" max="15629" width="18.83203125" style="332" customWidth="1"/>
    <col min="15630" max="15630" width="15.1640625" style="332" customWidth="1"/>
    <col min="15631" max="15631" width="9.33203125" style="332"/>
    <col min="15632" max="15632" width="21.6640625" style="332" customWidth="1"/>
    <col min="15633" max="15633" width="17.6640625" style="332" customWidth="1"/>
    <col min="15634" max="15872" width="9.33203125" style="332"/>
    <col min="15873" max="15873" width="4.1640625" style="332" customWidth="1"/>
    <col min="15874" max="15874" width="9.33203125" style="332"/>
    <col min="15875" max="15875" width="47.33203125" style="332" customWidth="1"/>
    <col min="15876" max="15876" width="47.5" style="332" customWidth="1"/>
    <col min="15877" max="15877" width="20.1640625" style="332" customWidth="1"/>
    <col min="15878" max="15878" width="9.33203125" style="332"/>
    <col min="15879" max="15879" width="8.33203125" style="332" customWidth="1"/>
    <col min="15880" max="15880" width="19.1640625" style="332" customWidth="1"/>
    <col min="15881" max="15881" width="18.83203125" style="332" customWidth="1"/>
    <col min="15882" max="15882" width="9.33203125" style="332"/>
    <col min="15883" max="15883" width="7" style="332" customWidth="1"/>
    <col min="15884" max="15884" width="4.33203125" style="332" customWidth="1"/>
    <col min="15885" max="15885" width="18.83203125" style="332" customWidth="1"/>
    <col min="15886" max="15886" width="15.1640625" style="332" customWidth="1"/>
    <col min="15887" max="15887" width="9.33203125" style="332"/>
    <col min="15888" max="15888" width="21.6640625" style="332" customWidth="1"/>
    <col min="15889" max="15889" width="17.6640625" style="332" customWidth="1"/>
    <col min="15890" max="16128" width="9.33203125" style="332"/>
    <col min="16129" max="16129" width="4.1640625" style="332" customWidth="1"/>
    <col min="16130" max="16130" width="9.33203125" style="332"/>
    <col min="16131" max="16131" width="47.33203125" style="332" customWidth="1"/>
    <col min="16132" max="16132" width="47.5" style="332" customWidth="1"/>
    <col min="16133" max="16133" width="20.1640625" style="332" customWidth="1"/>
    <col min="16134" max="16134" width="9.33203125" style="332"/>
    <col min="16135" max="16135" width="8.33203125" style="332" customWidth="1"/>
    <col min="16136" max="16136" width="19.1640625" style="332" customWidth="1"/>
    <col min="16137" max="16137" width="18.83203125" style="332" customWidth="1"/>
    <col min="16138" max="16138" width="9.33203125" style="332"/>
    <col min="16139" max="16139" width="7" style="332" customWidth="1"/>
    <col min="16140" max="16140" width="4.33203125" style="332" customWidth="1"/>
    <col min="16141" max="16141" width="18.83203125" style="332" customWidth="1"/>
    <col min="16142" max="16142" width="15.1640625" style="332" customWidth="1"/>
    <col min="16143" max="16143" width="9.33203125" style="332"/>
    <col min="16144" max="16144" width="21.6640625" style="332" customWidth="1"/>
    <col min="16145" max="16145" width="17.6640625" style="332" customWidth="1"/>
    <col min="16146" max="16384" width="9.33203125" style="332"/>
  </cols>
  <sheetData>
    <row r="1" spans="2:14" ht="18.75">
      <c r="B1" s="332" t="s">
        <v>4692</v>
      </c>
      <c r="C1" s="333" t="s">
        <v>4693</v>
      </c>
      <c r="D1" s="334"/>
      <c r="E1" s="334"/>
      <c r="F1" s="335"/>
      <c r="G1" s="336"/>
    </row>
    <row r="2" spans="2:14" ht="15.75">
      <c r="C2" s="337" t="s">
        <v>4694</v>
      </c>
      <c r="E2" s="338"/>
      <c r="G2" s="340"/>
      <c r="I2" s="341"/>
    </row>
    <row r="3" spans="2:14">
      <c r="C3" s="342" t="s">
        <v>134</v>
      </c>
      <c r="D3" s="342"/>
      <c r="E3" s="338"/>
      <c r="G3" s="340"/>
    </row>
    <row r="4" spans="2:14">
      <c r="C4" s="342"/>
      <c r="D4" s="342"/>
      <c r="E4" s="338"/>
      <c r="G4" s="340"/>
    </row>
    <row r="5" spans="2:14">
      <c r="C5" s="343" t="s">
        <v>4695</v>
      </c>
      <c r="D5" s="342"/>
      <c r="E5" s="338"/>
      <c r="G5" s="340"/>
    </row>
    <row r="6" spans="2:14">
      <c r="C6" s="343" t="s">
        <v>4696</v>
      </c>
      <c r="D6" s="338"/>
      <c r="E6" s="338"/>
      <c r="G6" s="340"/>
    </row>
    <row r="7" spans="2:14" ht="13.5" thickBot="1">
      <c r="C7" s="344"/>
      <c r="D7" s="342"/>
      <c r="E7" s="342"/>
      <c r="F7" s="345"/>
    </row>
    <row r="8" spans="2:14" ht="13.5" thickBot="1">
      <c r="B8" s="347" t="s">
        <v>4697</v>
      </c>
      <c r="C8" s="348" t="s">
        <v>4698</v>
      </c>
      <c r="D8" s="348" t="s">
        <v>4699</v>
      </c>
      <c r="E8" s="348" t="s">
        <v>4700</v>
      </c>
      <c r="F8" s="349" t="s">
        <v>4701</v>
      </c>
      <c r="G8" s="350" t="s">
        <v>4702</v>
      </c>
      <c r="H8" s="351" t="s">
        <v>4703</v>
      </c>
      <c r="I8" s="352" t="s">
        <v>4704</v>
      </c>
    </row>
    <row r="9" spans="2:14">
      <c r="B9" s="353">
        <v>1</v>
      </c>
      <c r="C9" s="354" t="s">
        <v>4705</v>
      </c>
      <c r="D9" s="354" t="s">
        <v>4706</v>
      </c>
      <c r="E9" s="354"/>
      <c r="F9" s="355">
        <v>1</v>
      </c>
      <c r="G9" s="356" t="s">
        <v>4707</v>
      </c>
      <c r="H9" s="357"/>
      <c r="I9" s="358">
        <f t="shared" ref="I9:I64" si="0">F9*H9</f>
        <v>0</v>
      </c>
      <c r="K9" s="359"/>
      <c r="L9" s="360"/>
      <c r="M9" s="361"/>
      <c r="N9" s="361"/>
    </row>
    <row r="10" spans="2:14">
      <c r="B10" s="362">
        <v>2</v>
      </c>
      <c r="C10" s="363" t="s">
        <v>4708</v>
      </c>
      <c r="D10" s="363" t="s">
        <v>4709</v>
      </c>
      <c r="E10" s="363"/>
      <c r="F10" s="364">
        <v>1</v>
      </c>
      <c r="G10" s="365" t="s">
        <v>4707</v>
      </c>
      <c r="H10" s="366"/>
      <c r="I10" s="367">
        <f t="shared" si="0"/>
        <v>0</v>
      </c>
      <c r="K10" s="359"/>
      <c r="L10" s="360"/>
      <c r="M10" s="361"/>
      <c r="N10" s="361"/>
    </row>
    <row r="11" spans="2:14">
      <c r="B11" s="362">
        <v>3</v>
      </c>
      <c r="C11" s="363" t="s">
        <v>4710</v>
      </c>
      <c r="D11" s="363" t="s">
        <v>4711</v>
      </c>
      <c r="E11" s="363" t="s">
        <v>4712</v>
      </c>
      <c r="F11" s="364">
        <v>20</v>
      </c>
      <c r="G11" s="365" t="s">
        <v>476</v>
      </c>
      <c r="H11" s="366"/>
      <c r="I11" s="367">
        <f t="shared" si="0"/>
        <v>0</v>
      </c>
      <c r="K11" s="359"/>
      <c r="L11" s="360"/>
      <c r="M11" s="361"/>
      <c r="N11" s="361"/>
    </row>
    <row r="12" spans="2:14">
      <c r="B12" s="362">
        <v>4</v>
      </c>
      <c r="C12" s="363" t="s">
        <v>4710</v>
      </c>
      <c r="D12" s="363" t="s">
        <v>4713</v>
      </c>
      <c r="E12" s="363" t="s">
        <v>4712</v>
      </c>
      <c r="F12" s="364">
        <v>240</v>
      </c>
      <c r="G12" s="365" t="s">
        <v>476</v>
      </c>
      <c r="H12" s="366"/>
      <c r="I12" s="367">
        <f t="shared" si="0"/>
        <v>0</v>
      </c>
      <c r="K12" s="359"/>
      <c r="L12" s="360"/>
      <c r="M12" s="361"/>
      <c r="N12" s="361"/>
    </row>
    <row r="13" spans="2:14">
      <c r="B13" s="362">
        <v>5</v>
      </c>
      <c r="C13" s="363" t="s">
        <v>4710</v>
      </c>
      <c r="D13" s="363" t="s">
        <v>4714</v>
      </c>
      <c r="E13" s="363" t="s">
        <v>4712</v>
      </c>
      <c r="F13" s="364">
        <v>50</v>
      </c>
      <c r="G13" s="365" t="s">
        <v>476</v>
      </c>
      <c r="H13" s="366"/>
      <c r="I13" s="367">
        <f t="shared" si="0"/>
        <v>0</v>
      </c>
      <c r="K13" s="359"/>
      <c r="L13" s="360"/>
      <c r="M13" s="361"/>
      <c r="N13" s="361"/>
    </row>
    <row r="14" spans="2:14">
      <c r="B14" s="362">
        <v>6</v>
      </c>
      <c r="C14" s="363" t="s">
        <v>4710</v>
      </c>
      <c r="D14" s="363" t="s">
        <v>4715</v>
      </c>
      <c r="E14" s="363" t="s">
        <v>4712</v>
      </c>
      <c r="F14" s="364">
        <v>10</v>
      </c>
      <c r="G14" s="365" t="s">
        <v>476</v>
      </c>
      <c r="H14" s="366"/>
      <c r="I14" s="367">
        <f t="shared" si="0"/>
        <v>0</v>
      </c>
      <c r="K14" s="359"/>
      <c r="L14" s="360"/>
      <c r="M14" s="361"/>
      <c r="N14" s="361"/>
    </row>
    <row r="15" spans="2:14">
      <c r="B15" s="362">
        <v>7</v>
      </c>
      <c r="C15" s="363" t="s">
        <v>4710</v>
      </c>
      <c r="D15" s="363" t="s">
        <v>4716</v>
      </c>
      <c r="E15" s="363" t="s">
        <v>4712</v>
      </c>
      <c r="F15" s="364">
        <v>5</v>
      </c>
      <c r="G15" s="365" t="s">
        <v>476</v>
      </c>
      <c r="H15" s="366"/>
      <c r="I15" s="367">
        <f t="shared" si="0"/>
        <v>0</v>
      </c>
      <c r="K15" s="359"/>
      <c r="L15" s="360"/>
      <c r="M15" s="361"/>
      <c r="N15" s="361"/>
    </row>
    <row r="16" spans="2:14">
      <c r="B16" s="362">
        <v>8</v>
      </c>
      <c r="C16" s="363" t="s">
        <v>4717</v>
      </c>
      <c r="D16" s="363" t="s">
        <v>4718</v>
      </c>
      <c r="E16" s="363" t="s">
        <v>4712</v>
      </c>
      <c r="F16" s="364">
        <v>110</v>
      </c>
      <c r="G16" s="365" t="s">
        <v>476</v>
      </c>
      <c r="H16" s="366"/>
      <c r="I16" s="367">
        <f t="shared" si="0"/>
        <v>0</v>
      </c>
      <c r="K16" s="359"/>
      <c r="L16" s="360"/>
      <c r="M16" s="361"/>
      <c r="N16" s="361"/>
    </row>
    <row r="17" spans="2:14">
      <c r="B17" s="362">
        <v>9</v>
      </c>
      <c r="C17" s="363" t="s">
        <v>4717</v>
      </c>
      <c r="D17" s="363" t="s">
        <v>4719</v>
      </c>
      <c r="E17" s="363" t="s">
        <v>4712</v>
      </c>
      <c r="F17" s="364">
        <v>50</v>
      </c>
      <c r="G17" s="365" t="s">
        <v>476</v>
      </c>
      <c r="H17" s="366"/>
      <c r="I17" s="367">
        <f t="shared" si="0"/>
        <v>0</v>
      </c>
      <c r="K17" s="359"/>
      <c r="L17" s="360"/>
      <c r="M17" s="361"/>
      <c r="N17" s="361"/>
    </row>
    <row r="18" spans="2:14">
      <c r="B18" s="362">
        <v>10</v>
      </c>
      <c r="C18" s="363" t="s">
        <v>4720</v>
      </c>
      <c r="D18" s="368" t="s">
        <v>4721</v>
      </c>
      <c r="E18" s="363" t="s">
        <v>4722</v>
      </c>
      <c r="F18" s="364">
        <v>1</v>
      </c>
      <c r="G18" s="365" t="s">
        <v>4707</v>
      </c>
      <c r="H18" s="366"/>
      <c r="I18" s="367">
        <f t="shared" si="0"/>
        <v>0</v>
      </c>
      <c r="K18" s="359"/>
      <c r="L18" s="360"/>
      <c r="M18" s="361"/>
      <c r="N18" s="361"/>
    </row>
    <row r="19" spans="2:14">
      <c r="B19" s="362">
        <v>11</v>
      </c>
      <c r="C19" s="363" t="s">
        <v>4723</v>
      </c>
      <c r="D19" s="368" t="s">
        <v>4724</v>
      </c>
      <c r="E19" s="363" t="s">
        <v>4725</v>
      </c>
      <c r="F19" s="364">
        <v>80</v>
      </c>
      <c r="G19" s="365" t="s">
        <v>4707</v>
      </c>
      <c r="H19" s="366"/>
      <c r="I19" s="367">
        <f t="shared" si="0"/>
        <v>0</v>
      </c>
      <c r="K19" s="359"/>
      <c r="L19" s="360"/>
      <c r="M19" s="361"/>
      <c r="N19" s="361"/>
    </row>
    <row r="20" spans="2:14">
      <c r="B20" s="362">
        <v>12</v>
      </c>
      <c r="C20" s="363" t="s">
        <v>4726</v>
      </c>
      <c r="D20" s="368" t="s">
        <v>4727</v>
      </c>
      <c r="E20" s="363" t="s">
        <v>4728</v>
      </c>
      <c r="F20" s="364">
        <v>20</v>
      </c>
      <c r="G20" s="365" t="s">
        <v>4707</v>
      </c>
      <c r="H20" s="366"/>
      <c r="I20" s="367">
        <f t="shared" si="0"/>
        <v>0</v>
      </c>
      <c r="K20" s="359"/>
      <c r="L20" s="360"/>
      <c r="M20" s="361"/>
      <c r="N20" s="361"/>
    </row>
    <row r="21" spans="2:14">
      <c r="B21" s="362">
        <v>13</v>
      </c>
      <c r="C21" s="363" t="s">
        <v>4729</v>
      </c>
      <c r="D21" s="368" t="s">
        <v>4730</v>
      </c>
      <c r="E21" s="363" t="s">
        <v>4725</v>
      </c>
      <c r="F21" s="364">
        <v>100</v>
      </c>
      <c r="G21" s="365" t="s">
        <v>4707</v>
      </c>
      <c r="H21" s="366"/>
      <c r="I21" s="367">
        <f t="shared" si="0"/>
        <v>0</v>
      </c>
      <c r="K21" s="359"/>
      <c r="L21" s="360"/>
      <c r="M21" s="361"/>
      <c r="N21" s="361"/>
    </row>
    <row r="22" spans="2:14">
      <c r="B22" s="362">
        <v>14</v>
      </c>
      <c r="C22" s="363" t="s">
        <v>4731</v>
      </c>
      <c r="D22" s="363" t="s">
        <v>4732</v>
      </c>
      <c r="E22" s="363" t="s">
        <v>4725</v>
      </c>
      <c r="F22" s="364">
        <v>60</v>
      </c>
      <c r="G22" s="365" t="s">
        <v>476</v>
      </c>
      <c r="H22" s="366"/>
      <c r="I22" s="367">
        <f t="shared" si="0"/>
        <v>0</v>
      </c>
      <c r="K22" s="359"/>
      <c r="L22" s="360"/>
      <c r="M22" s="361"/>
      <c r="N22" s="361"/>
    </row>
    <row r="23" spans="2:14">
      <c r="B23" s="362">
        <v>15</v>
      </c>
      <c r="C23" s="363" t="s">
        <v>4733</v>
      </c>
      <c r="D23" s="363" t="s">
        <v>4734</v>
      </c>
      <c r="E23" s="363" t="s">
        <v>4725</v>
      </c>
      <c r="F23" s="364">
        <v>30</v>
      </c>
      <c r="G23" s="365" t="s">
        <v>4707</v>
      </c>
      <c r="H23" s="366"/>
      <c r="I23" s="367">
        <f t="shared" si="0"/>
        <v>0</v>
      </c>
      <c r="K23" s="359"/>
      <c r="L23" s="360"/>
      <c r="M23" s="361"/>
      <c r="N23" s="361"/>
    </row>
    <row r="24" spans="2:14">
      <c r="B24" s="362">
        <v>16</v>
      </c>
      <c r="C24" s="363" t="s">
        <v>4735</v>
      </c>
      <c r="D24" s="363" t="s">
        <v>4736</v>
      </c>
      <c r="E24" s="363" t="s">
        <v>4737</v>
      </c>
      <c r="F24" s="364">
        <v>2</v>
      </c>
      <c r="G24" s="365" t="s">
        <v>4707</v>
      </c>
      <c r="H24" s="366"/>
      <c r="I24" s="367">
        <f t="shared" si="0"/>
        <v>0</v>
      </c>
      <c r="K24" s="359"/>
      <c r="L24" s="360"/>
      <c r="M24" s="361"/>
      <c r="N24" s="361"/>
    </row>
    <row r="25" spans="2:14">
      <c r="B25" s="362">
        <v>17</v>
      </c>
      <c r="C25" s="363" t="s">
        <v>4738</v>
      </c>
      <c r="D25" s="363" t="s">
        <v>4739</v>
      </c>
      <c r="E25" s="363" t="s">
        <v>4725</v>
      </c>
      <c r="F25" s="364">
        <v>70</v>
      </c>
      <c r="G25" s="365" t="s">
        <v>4707</v>
      </c>
      <c r="H25" s="366"/>
      <c r="I25" s="367">
        <f t="shared" si="0"/>
        <v>0</v>
      </c>
      <c r="K25" s="359"/>
      <c r="L25" s="360"/>
      <c r="M25" s="361"/>
      <c r="N25" s="361"/>
    </row>
    <row r="26" spans="2:14">
      <c r="B26" s="362">
        <v>18</v>
      </c>
      <c r="C26" s="363" t="s">
        <v>4740</v>
      </c>
      <c r="D26" s="363" t="s">
        <v>4741</v>
      </c>
      <c r="E26" s="363" t="s">
        <v>4725</v>
      </c>
      <c r="F26" s="364">
        <v>16</v>
      </c>
      <c r="G26" s="365" t="s">
        <v>4707</v>
      </c>
      <c r="H26" s="366"/>
      <c r="I26" s="367">
        <f t="shared" si="0"/>
        <v>0</v>
      </c>
      <c r="K26" s="359"/>
      <c r="L26" s="360"/>
      <c r="M26" s="361"/>
      <c r="N26" s="361"/>
    </row>
    <row r="27" spans="2:14">
      <c r="B27" s="362">
        <v>19</v>
      </c>
      <c r="C27" s="363" t="s">
        <v>4742</v>
      </c>
      <c r="D27" s="363" t="s">
        <v>4743</v>
      </c>
      <c r="E27" s="363" t="s">
        <v>4744</v>
      </c>
      <c r="F27" s="364">
        <v>21</v>
      </c>
      <c r="G27" s="365" t="s">
        <v>4707</v>
      </c>
      <c r="H27" s="366"/>
      <c r="I27" s="367">
        <f t="shared" si="0"/>
        <v>0</v>
      </c>
      <c r="K27" s="359"/>
      <c r="L27" s="360"/>
      <c r="M27" s="361"/>
      <c r="N27" s="361"/>
    </row>
    <row r="28" spans="2:14">
      <c r="B28" s="362">
        <v>20</v>
      </c>
      <c r="C28" s="363" t="s">
        <v>4745</v>
      </c>
      <c r="D28" s="363" t="s">
        <v>4746</v>
      </c>
      <c r="E28" s="363" t="s">
        <v>4744</v>
      </c>
      <c r="F28" s="364">
        <v>7</v>
      </c>
      <c r="G28" s="365" t="s">
        <v>4707</v>
      </c>
      <c r="H28" s="366"/>
      <c r="I28" s="367">
        <f t="shared" si="0"/>
        <v>0</v>
      </c>
      <c r="K28" s="359"/>
      <c r="L28" s="360"/>
      <c r="M28" s="361"/>
      <c r="N28" s="361"/>
    </row>
    <row r="29" spans="2:14">
      <c r="B29" s="362">
        <v>21</v>
      </c>
      <c r="C29" s="363" t="s">
        <v>4747</v>
      </c>
      <c r="D29" s="363" t="s">
        <v>4748</v>
      </c>
      <c r="E29" s="363" t="s">
        <v>4744</v>
      </c>
      <c r="F29" s="364">
        <v>10</v>
      </c>
      <c r="G29" s="365" t="s">
        <v>4707</v>
      </c>
      <c r="H29" s="366"/>
      <c r="I29" s="367">
        <f t="shared" si="0"/>
        <v>0</v>
      </c>
      <c r="K29" s="359"/>
      <c r="L29" s="360"/>
      <c r="M29" s="361"/>
      <c r="N29" s="361"/>
    </row>
    <row r="30" spans="2:14">
      <c r="B30" s="362">
        <v>22</v>
      </c>
      <c r="C30" s="363" t="s">
        <v>4749</v>
      </c>
      <c r="D30" s="369" t="s">
        <v>4750</v>
      </c>
      <c r="E30" s="369" t="s">
        <v>4744</v>
      </c>
      <c r="F30" s="370">
        <v>2</v>
      </c>
      <c r="G30" s="365" t="s">
        <v>4707</v>
      </c>
      <c r="H30" s="371"/>
      <c r="I30" s="367">
        <f t="shared" si="0"/>
        <v>0</v>
      </c>
      <c r="K30" s="359"/>
      <c r="L30" s="360"/>
      <c r="M30" s="361"/>
      <c r="N30" s="361"/>
    </row>
    <row r="31" spans="2:14">
      <c r="B31" s="362">
        <v>23</v>
      </c>
      <c r="C31" s="363" t="s">
        <v>4751</v>
      </c>
      <c r="D31" s="369" t="s">
        <v>4752</v>
      </c>
      <c r="E31" s="369" t="s">
        <v>4744</v>
      </c>
      <c r="F31" s="370">
        <v>6</v>
      </c>
      <c r="G31" s="365" t="s">
        <v>4707</v>
      </c>
      <c r="H31" s="371"/>
      <c r="I31" s="367">
        <f t="shared" si="0"/>
        <v>0</v>
      </c>
      <c r="K31" s="359"/>
      <c r="L31" s="360"/>
      <c r="M31" s="361"/>
      <c r="N31" s="361"/>
    </row>
    <row r="32" spans="2:14">
      <c r="B32" s="362">
        <v>23</v>
      </c>
      <c r="C32" s="363" t="s">
        <v>4753</v>
      </c>
      <c r="D32" s="369" t="s">
        <v>4754</v>
      </c>
      <c r="E32" s="369" t="s">
        <v>4744</v>
      </c>
      <c r="F32" s="370">
        <v>1</v>
      </c>
      <c r="G32" s="365" t="s">
        <v>4707</v>
      </c>
      <c r="H32" s="371"/>
      <c r="I32" s="367">
        <f t="shared" si="0"/>
        <v>0</v>
      </c>
      <c r="K32" s="359"/>
      <c r="L32" s="360"/>
      <c r="M32" s="361"/>
      <c r="N32" s="361"/>
    </row>
    <row r="33" spans="2:14">
      <c r="B33" s="362">
        <v>24</v>
      </c>
      <c r="C33" s="363" t="s">
        <v>4755</v>
      </c>
      <c r="D33" s="369" t="s">
        <v>4756</v>
      </c>
      <c r="E33" s="369" t="s">
        <v>4744</v>
      </c>
      <c r="F33" s="370">
        <v>2</v>
      </c>
      <c r="G33" s="365" t="s">
        <v>4707</v>
      </c>
      <c r="H33" s="371"/>
      <c r="I33" s="367">
        <f t="shared" si="0"/>
        <v>0</v>
      </c>
      <c r="K33" s="359"/>
      <c r="L33" s="360"/>
      <c r="M33" s="361"/>
      <c r="N33" s="361"/>
    </row>
    <row r="34" spans="2:14">
      <c r="B34" s="362">
        <v>25</v>
      </c>
      <c r="C34" s="363" t="s">
        <v>4757</v>
      </c>
      <c r="D34" s="363" t="s">
        <v>4758</v>
      </c>
      <c r="E34" s="363" t="s">
        <v>4759</v>
      </c>
      <c r="F34" s="364">
        <v>8</v>
      </c>
      <c r="G34" s="365" t="s">
        <v>4707</v>
      </c>
      <c r="H34" s="366"/>
      <c r="I34" s="367">
        <f t="shared" si="0"/>
        <v>0</v>
      </c>
      <c r="K34" s="359"/>
      <c r="L34" s="360"/>
      <c r="M34" s="361"/>
      <c r="N34" s="361"/>
    </row>
    <row r="35" spans="2:14">
      <c r="B35" s="362">
        <v>26</v>
      </c>
      <c r="C35" s="363" t="s">
        <v>4760</v>
      </c>
      <c r="D35" s="363" t="s">
        <v>4761</v>
      </c>
      <c r="E35" s="363" t="s">
        <v>4759</v>
      </c>
      <c r="F35" s="364">
        <v>71</v>
      </c>
      <c r="G35" s="365" t="s">
        <v>4707</v>
      </c>
      <c r="H35" s="366"/>
      <c r="I35" s="367">
        <f t="shared" si="0"/>
        <v>0</v>
      </c>
      <c r="K35" s="359"/>
      <c r="L35" s="360"/>
      <c r="M35" s="361"/>
      <c r="N35" s="361"/>
    </row>
    <row r="36" spans="2:14">
      <c r="B36" s="362">
        <v>27</v>
      </c>
      <c r="C36" s="363" t="s">
        <v>4762</v>
      </c>
      <c r="D36" s="363" t="s">
        <v>4763</v>
      </c>
      <c r="E36" s="363" t="s">
        <v>4759</v>
      </c>
      <c r="F36" s="364">
        <v>13</v>
      </c>
      <c r="G36" s="365" t="s">
        <v>4707</v>
      </c>
      <c r="H36" s="366"/>
      <c r="I36" s="367">
        <f t="shared" si="0"/>
        <v>0</v>
      </c>
      <c r="K36" s="359"/>
      <c r="L36" s="360"/>
      <c r="M36" s="361"/>
      <c r="N36" s="361"/>
    </row>
    <row r="37" spans="2:14">
      <c r="B37" s="362">
        <v>28</v>
      </c>
      <c r="C37" s="363" t="s">
        <v>4764</v>
      </c>
      <c r="D37" s="363" t="s">
        <v>4765</v>
      </c>
      <c r="E37" s="363" t="s">
        <v>4759</v>
      </c>
      <c r="F37" s="364">
        <v>8</v>
      </c>
      <c r="G37" s="365" t="s">
        <v>4707</v>
      </c>
      <c r="H37" s="366"/>
      <c r="I37" s="367">
        <f t="shared" si="0"/>
        <v>0</v>
      </c>
      <c r="K37" s="359"/>
      <c r="L37" s="360"/>
      <c r="M37" s="361" t="s">
        <v>4502</v>
      </c>
      <c r="N37" s="361"/>
    </row>
    <row r="38" spans="2:14">
      <c r="B38" s="362">
        <v>29</v>
      </c>
      <c r="C38" s="363" t="s">
        <v>4766</v>
      </c>
      <c r="D38" s="363" t="s">
        <v>4767</v>
      </c>
      <c r="E38" s="363" t="s">
        <v>4768</v>
      </c>
      <c r="F38" s="364">
        <v>19</v>
      </c>
      <c r="G38" s="365" t="s">
        <v>4707</v>
      </c>
      <c r="H38" s="366"/>
      <c r="I38" s="367">
        <f t="shared" si="0"/>
        <v>0</v>
      </c>
      <c r="K38" s="359"/>
      <c r="L38" s="360"/>
      <c r="M38" s="361"/>
      <c r="N38" s="361"/>
    </row>
    <row r="39" spans="2:14">
      <c r="B39" s="362">
        <v>30</v>
      </c>
      <c r="C39" s="363" t="s">
        <v>4769</v>
      </c>
      <c r="D39" s="363" t="s">
        <v>4770</v>
      </c>
      <c r="E39" s="363" t="s">
        <v>4771</v>
      </c>
      <c r="F39" s="364">
        <v>16</v>
      </c>
      <c r="G39" s="365" t="s">
        <v>4707</v>
      </c>
      <c r="H39" s="366"/>
      <c r="I39" s="367">
        <f t="shared" si="0"/>
        <v>0</v>
      </c>
      <c r="K39" s="359"/>
      <c r="L39" s="360"/>
      <c r="M39" s="361"/>
      <c r="N39" s="361"/>
    </row>
    <row r="40" spans="2:14">
      <c r="B40" s="362">
        <v>31</v>
      </c>
      <c r="C40" s="363" t="s">
        <v>4772</v>
      </c>
      <c r="D40" s="363" t="s">
        <v>4773</v>
      </c>
      <c r="E40" s="363"/>
      <c r="F40" s="364">
        <v>2500</v>
      </c>
      <c r="G40" s="365" t="s">
        <v>4707</v>
      </c>
      <c r="H40" s="366"/>
      <c r="I40" s="367">
        <f t="shared" si="0"/>
        <v>0</v>
      </c>
      <c r="K40" s="359"/>
      <c r="L40" s="360"/>
      <c r="M40" s="361"/>
      <c r="N40" s="361"/>
    </row>
    <row r="41" spans="2:14">
      <c r="B41" s="362">
        <v>32</v>
      </c>
      <c r="C41" s="363" t="s">
        <v>4774</v>
      </c>
      <c r="D41" s="363" t="s">
        <v>4775</v>
      </c>
      <c r="E41" s="363" t="s">
        <v>4776</v>
      </c>
      <c r="F41" s="364">
        <v>460</v>
      </c>
      <c r="G41" s="365" t="s">
        <v>4707</v>
      </c>
      <c r="H41" s="366"/>
      <c r="I41" s="367">
        <f t="shared" si="0"/>
        <v>0</v>
      </c>
      <c r="K41" s="359"/>
      <c r="L41" s="360"/>
      <c r="M41" s="361"/>
      <c r="N41" s="361"/>
    </row>
    <row r="42" spans="2:14">
      <c r="B42" s="362">
        <v>33</v>
      </c>
      <c r="C42" s="363" t="s">
        <v>4777</v>
      </c>
      <c r="D42" s="363" t="s">
        <v>4778</v>
      </c>
      <c r="E42" s="363"/>
      <c r="F42" s="364">
        <v>5</v>
      </c>
      <c r="G42" s="365" t="s">
        <v>1630</v>
      </c>
      <c r="H42" s="366"/>
      <c r="I42" s="367">
        <f t="shared" si="0"/>
        <v>0</v>
      </c>
      <c r="K42" s="359"/>
      <c r="L42" s="360"/>
      <c r="M42" s="361"/>
      <c r="N42" s="361"/>
    </row>
    <row r="43" spans="2:14">
      <c r="B43" s="362">
        <v>34</v>
      </c>
      <c r="C43" s="372" t="s">
        <v>4779</v>
      </c>
      <c r="D43" s="372" t="s">
        <v>4780</v>
      </c>
      <c r="E43" s="372" t="s">
        <v>4781</v>
      </c>
      <c r="F43" s="372">
        <v>15</v>
      </c>
      <c r="G43" s="373" t="s">
        <v>476</v>
      </c>
      <c r="H43" s="374"/>
      <c r="I43" s="375">
        <f t="shared" si="0"/>
        <v>0</v>
      </c>
      <c r="K43" s="359"/>
      <c r="L43" s="360"/>
      <c r="M43" s="361"/>
      <c r="N43" s="361"/>
    </row>
    <row r="44" spans="2:14">
      <c r="B44" s="362">
        <v>35</v>
      </c>
      <c r="C44" s="363" t="s">
        <v>4782</v>
      </c>
      <c r="D44" s="363" t="s">
        <v>4783</v>
      </c>
      <c r="E44" s="376" t="s">
        <v>4781</v>
      </c>
      <c r="F44" s="376">
        <v>130</v>
      </c>
      <c r="G44" s="365" t="s">
        <v>476</v>
      </c>
      <c r="H44" s="377"/>
      <c r="I44" s="378">
        <f t="shared" si="0"/>
        <v>0</v>
      </c>
      <c r="K44" s="359"/>
      <c r="L44" s="360"/>
      <c r="M44" s="361"/>
      <c r="N44" s="361"/>
    </row>
    <row r="45" spans="2:14">
      <c r="B45" s="362">
        <v>36</v>
      </c>
      <c r="C45" s="363" t="s">
        <v>4784</v>
      </c>
      <c r="D45" s="363" t="s">
        <v>4785</v>
      </c>
      <c r="E45" s="376" t="s">
        <v>4781</v>
      </c>
      <c r="F45" s="376">
        <v>15</v>
      </c>
      <c r="G45" s="365" t="s">
        <v>476</v>
      </c>
      <c r="H45" s="377"/>
      <c r="I45" s="378">
        <f t="shared" si="0"/>
        <v>0</v>
      </c>
      <c r="K45" s="359"/>
      <c r="L45" s="360"/>
      <c r="M45" s="361"/>
      <c r="N45" s="361"/>
    </row>
    <row r="46" spans="2:14">
      <c r="B46" s="362">
        <v>37</v>
      </c>
      <c r="C46" s="376" t="s">
        <v>4786</v>
      </c>
      <c r="D46" s="363" t="s">
        <v>4787</v>
      </c>
      <c r="E46" s="376" t="s">
        <v>4781</v>
      </c>
      <c r="F46" s="376">
        <v>6</v>
      </c>
      <c r="G46" s="365" t="s">
        <v>4707</v>
      </c>
      <c r="H46" s="377"/>
      <c r="I46" s="378">
        <f t="shared" si="0"/>
        <v>0</v>
      </c>
      <c r="K46" s="359"/>
      <c r="L46" s="360"/>
      <c r="M46" s="361"/>
      <c r="N46" s="361"/>
    </row>
    <row r="47" spans="2:14">
      <c r="B47" s="362">
        <v>38</v>
      </c>
      <c r="C47" s="363" t="s">
        <v>4788</v>
      </c>
      <c r="D47" s="363" t="s">
        <v>4789</v>
      </c>
      <c r="E47" s="376" t="s">
        <v>4781</v>
      </c>
      <c r="F47" s="376">
        <v>6</v>
      </c>
      <c r="G47" s="365" t="s">
        <v>4707</v>
      </c>
      <c r="H47" s="377"/>
      <c r="I47" s="378">
        <f t="shared" si="0"/>
        <v>0</v>
      </c>
      <c r="K47" s="359"/>
      <c r="L47" s="360"/>
      <c r="M47" s="361"/>
      <c r="N47" s="361"/>
    </row>
    <row r="48" spans="2:14">
      <c r="B48" s="362">
        <v>39</v>
      </c>
      <c r="C48" s="363" t="s">
        <v>4790</v>
      </c>
      <c r="D48" s="363" t="s">
        <v>4791</v>
      </c>
      <c r="E48" s="376" t="s">
        <v>4781</v>
      </c>
      <c r="F48" s="376">
        <v>6</v>
      </c>
      <c r="G48" s="365" t="s">
        <v>4707</v>
      </c>
      <c r="H48" s="377"/>
      <c r="I48" s="378">
        <f t="shared" si="0"/>
        <v>0</v>
      </c>
      <c r="K48" s="359"/>
      <c r="L48" s="360"/>
      <c r="M48" s="361"/>
      <c r="N48" s="361"/>
    </row>
    <row r="49" spans="2:14">
      <c r="B49" s="362">
        <v>40</v>
      </c>
      <c r="C49" s="363" t="s">
        <v>4792</v>
      </c>
      <c r="D49" s="363" t="s">
        <v>4793</v>
      </c>
      <c r="E49" s="376" t="s">
        <v>4781</v>
      </c>
      <c r="F49" s="376">
        <v>6</v>
      </c>
      <c r="G49" s="365" t="s">
        <v>4707</v>
      </c>
      <c r="H49" s="377"/>
      <c r="I49" s="378">
        <f t="shared" si="0"/>
        <v>0</v>
      </c>
      <c r="K49" s="359"/>
      <c r="L49" s="360"/>
      <c r="M49" s="361"/>
      <c r="N49" s="361"/>
    </row>
    <row r="50" spans="2:14">
      <c r="B50" s="362">
        <v>41</v>
      </c>
      <c r="C50" s="363" t="s">
        <v>4794</v>
      </c>
      <c r="D50" s="363" t="s">
        <v>4795</v>
      </c>
      <c r="E50" s="376" t="s">
        <v>4781</v>
      </c>
      <c r="F50" s="376">
        <v>20</v>
      </c>
      <c r="G50" s="365" t="s">
        <v>4707</v>
      </c>
      <c r="H50" s="377"/>
      <c r="I50" s="378">
        <f t="shared" si="0"/>
        <v>0</v>
      </c>
      <c r="K50" s="359"/>
      <c r="L50" s="360"/>
      <c r="M50" s="361"/>
      <c r="N50" s="361"/>
    </row>
    <row r="51" spans="2:14">
      <c r="B51" s="362">
        <v>42</v>
      </c>
      <c r="C51" s="363" t="s">
        <v>4796</v>
      </c>
      <c r="D51" s="363" t="s">
        <v>4797</v>
      </c>
      <c r="E51" s="376" t="s">
        <v>4781</v>
      </c>
      <c r="F51" s="376">
        <v>100</v>
      </c>
      <c r="G51" s="365" t="s">
        <v>4707</v>
      </c>
      <c r="H51" s="377"/>
      <c r="I51" s="378">
        <f t="shared" si="0"/>
        <v>0</v>
      </c>
      <c r="K51" s="359"/>
      <c r="L51" s="360"/>
      <c r="M51" s="361"/>
      <c r="N51" s="361"/>
    </row>
    <row r="52" spans="2:14">
      <c r="B52" s="362">
        <v>43</v>
      </c>
      <c r="C52" s="363" t="s">
        <v>4798</v>
      </c>
      <c r="D52" s="363" t="s">
        <v>4799</v>
      </c>
      <c r="E52" s="376" t="s">
        <v>4781</v>
      </c>
      <c r="F52" s="376">
        <v>3</v>
      </c>
      <c r="G52" s="365" t="s">
        <v>4707</v>
      </c>
      <c r="H52" s="377"/>
      <c r="I52" s="378">
        <f t="shared" si="0"/>
        <v>0</v>
      </c>
      <c r="K52" s="359"/>
      <c r="L52" s="360"/>
      <c r="M52" s="361"/>
      <c r="N52" s="361"/>
    </row>
    <row r="53" spans="2:14">
      <c r="B53" s="362">
        <v>44</v>
      </c>
      <c r="C53" s="363" t="s">
        <v>4800</v>
      </c>
      <c r="D53" s="363" t="s">
        <v>4801</v>
      </c>
      <c r="E53" s="376" t="s">
        <v>4781</v>
      </c>
      <c r="F53" s="376">
        <v>6</v>
      </c>
      <c r="G53" s="365" t="s">
        <v>4707</v>
      </c>
      <c r="H53" s="377"/>
      <c r="I53" s="378">
        <f t="shared" si="0"/>
        <v>0</v>
      </c>
      <c r="K53" s="359"/>
      <c r="L53" s="360"/>
      <c r="M53" s="361"/>
      <c r="N53" s="361"/>
    </row>
    <row r="54" spans="2:14">
      <c r="B54" s="362">
        <v>45</v>
      </c>
      <c r="C54" s="363" t="s">
        <v>4802</v>
      </c>
      <c r="D54" s="363" t="s">
        <v>4803</v>
      </c>
      <c r="E54" s="376" t="s">
        <v>4781</v>
      </c>
      <c r="F54" s="376">
        <v>3</v>
      </c>
      <c r="G54" s="365" t="s">
        <v>4707</v>
      </c>
      <c r="H54" s="377"/>
      <c r="I54" s="378">
        <f t="shared" si="0"/>
        <v>0</v>
      </c>
      <c r="K54" s="359"/>
      <c r="L54" s="360"/>
      <c r="M54" s="361"/>
      <c r="N54" s="361"/>
    </row>
    <row r="55" spans="2:14">
      <c r="B55" s="362">
        <v>46</v>
      </c>
      <c r="C55" s="363" t="s">
        <v>4804</v>
      </c>
      <c r="D55" s="363" t="s">
        <v>4805</v>
      </c>
      <c r="E55" s="376" t="s">
        <v>4781</v>
      </c>
      <c r="F55" s="376">
        <v>1</v>
      </c>
      <c r="G55" s="365" t="s">
        <v>4707</v>
      </c>
      <c r="H55" s="377"/>
      <c r="I55" s="378">
        <f t="shared" si="0"/>
        <v>0</v>
      </c>
      <c r="K55" s="359"/>
      <c r="L55" s="360"/>
      <c r="M55" s="361"/>
      <c r="N55" s="361"/>
    </row>
    <row r="56" spans="2:14">
      <c r="B56" s="362">
        <v>47</v>
      </c>
      <c r="C56" s="363" t="s">
        <v>4806</v>
      </c>
      <c r="D56" s="363" t="s">
        <v>4807</v>
      </c>
      <c r="E56" s="363" t="s">
        <v>4781</v>
      </c>
      <c r="F56" s="376">
        <v>1</v>
      </c>
      <c r="G56" s="365" t="s">
        <v>4707</v>
      </c>
      <c r="H56" s="377"/>
      <c r="I56" s="378">
        <f t="shared" si="0"/>
        <v>0</v>
      </c>
      <c r="K56" s="359"/>
      <c r="L56" s="360"/>
      <c r="M56" s="361"/>
      <c r="N56" s="361"/>
    </row>
    <row r="57" spans="2:14">
      <c r="B57" s="362">
        <v>48</v>
      </c>
      <c r="C57" s="363" t="s">
        <v>4808</v>
      </c>
      <c r="D57" s="363" t="s">
        <v>4809</v>
      </c>
      <c r="E57" s="363" t="s">
        <v>4781</v>
      </c>
      <c r="F57" s="376">
        <v>3</v>
      </c>
      <c r="G57" s="365" t="s">
        <v>4707</v>
      </c>
      <c r="H57" s="377"/>
      <c r="I57" s="378">
        <f t="shared" si="0"/>
        <v>0</v>
      </c>
      <c r="K57" s="359"/>
      <c r="L57" s="360"/>
      <c r="M57" s="361"/>
      <c r="N57" s="361"/>
    </row>
    <row r="58" spans="2:14">
      <c r="B58" s="362">
        <v>49</v>
      </c>
      <c r="C58" s="363" t="s">
        <v>4810</v>
      </c>
      <c r="D58" s="363" t="s">
        <v>4811</v>
      </c>
      <c r="E58" s="363" t="s">
        <v>4781</v>
      </c>
      <c r="F58" s="376">
        <v>3</v>
      </c>
      <c r="G58" s="365" t="s">
        <v>4707</v>
      </c>
      <c r="H58" s="377"/>
      <c r="I58" s="378">
        <f t="shared" si="0"/>
        <v>0</v>
      </c>
      <c r="K58" s="359"/>
      <c r="L58" s="360"/>
      <c r="M58" s="361"/>
      <c r="N58" s="361"/>
    </row>
    <row r="59" spans="2:14">
      <c r="B59" s="362">
        <v>50</v>
      </c>
      <c r="C59" s="363" t="s">
        <v>4812</v>
      </c>
      <c r="D59" s="363"/>
      <c r="E59" s="363"/>
      <c r="F59" s="364">
        <v>1</v>
      </c>
      <c r="G59" s="365"/>
      <c r="H59" s="366"/>
      <c r="I59" s="367">
        <f t="shared" si="0"/>
        <v>0</v>
      </c>
      <c r="K59" s="359"/>
      <c r="L59" s="360"/>
      <c r="M59" s="361"/>
      <c r="N59" s="361"/>
    </row>
    <row r="60" spans="2:14">
      <c r="B60" s="362">
        <v>51</v>
      </c>
      <c r="C60" s="363" t="s">
        <v>4813</v>
      </c>
      <c r="D60" s="363"/>
      <c r="E60" s="363"/>
      <c r="F60" s="364">
        <v>1</v>
      </c>
      <c r="G60" s="365"/>
      <c r="H60" s="366"/>
      <c r="I60" s="367">
        <f t="shared" si="0"/>
        <v>0</v>
      </c>
      <c r="K60" s="359"/>
      <c r="L60" s="360"/>
      <c r="M60" s="361"/>
      <c r="N60" s="361"/>
    </row>
    <row r="61" spans="2:14">
      <c r="B61" s="362">
        <v>52</v>
      </c>
      <c r="C61" s="363" t="s">
        <v>4814</v>
      </c>
      <c r="D61" s="363"/>
      <c r="E61" s="363"/>
      <c r="F61" s="364">
        <v>320</v>
      </c>
      <c r="G61" s="365" t="s">
        <v>4815</v>
      </c>
      <c r="H61" s="366"/>
      <c r="I61" s="367">
        <f t="shared" si="0"/>
        <v>0</v>
      </c>
      <c r="K61" s="359"/>
      <c r="L61" s="360"/>
      <c r="M61" s="361"/>
      <c r="N61" s="361"/>
    </row>
    <row r="62" spans="2:14">
      <c r="B62" s="362">
        <v>53</v>
      </c>
      <c r="C62" s="363" t="s">
        <v>4816</v>
      </c>
      <c r="D62" s="363"/>
      <c r="E62" s="363"/>
      <c r="F62" s="364">
        <v>1</v>
      </c>
      <c r="G62" s="365"/>
      <c r="H62" s="366"/>
      <c r="I62" s="367">
        <f t="shared" si="0"/>
        <v>0</v>
      </c>
      <c r="K62" s="359"/>
      <c r="L62" s="360"/>
      <c r="M62" s="361"/>
      <c r="N62" s="361"/>
    </row>
    <row r="63" spans="2:14">
      <c r="B63" s="362">
        <v>54</v>
      </c>
      <c r="C63" s="363" t="s">
        <v>4817</v>
      </c>
      <c r="D63" s="363"/>
      <c r="E63" s="363"/>
      <c r="F63" s="364">
        <v>1</v>
      </c>
      <c r="G63" s="365"/>
      <c r="H63" s="366"/>
      <c r="I63" s="367">
        <f t="shared" si="0"/>
        <v>0</v>
      </c>
      <c r="K63" s="359"/>
      <c r="L63" s="360"/>
      <c r="M63" s="361"/>
      <c r="N63" s="361"/>
    </row>
    <row r="64" spans="2:14" ht="13.5" thickBot="1">
      <c r="B64" s="379">
        <v>55</v>
      </c>
      <c r="C64" s="380" t="s">
        <v>4818</v>
      </c>
      <c r="D64" s="380"/>
      <c r="E64" s="381"/>
      <c r="F64" s="382">
        <v>1</v>
      </c>
      <c r="G64" s="383"/>
      <c r="H64" s="384"/>
      <c r="I64" s="385">
        <f t="shared" si="0"/>
        <v>0</v>
      </c>
      <c r="K64" s="360"/>
      <c r="L64" s="360"/>
      <c r="M64" s="361"/>
      <c r="N64" s="361"/>
    </row>
    <row r="65" spans="6:14" ht="13.5" thickBot="1">
      <c r="F65" s="345"/>
      <c r="H65" s="386" t="s">
        <v>4819</v>
      </c>
      <c r="I65" s="387">
        <f>SUM(I13:I64)</f>
        <v>0</v>
      </c>
      <c r="K65" s="359"/>
      <c r="L65" s="360"/>
      <c r="M65" s="361"/>
      <c r="N65" s="360"/>
    </row>
  </sheetData>
  <pageMargins left="0.70866141732283472" right="0.70866141732283472" top="0.78740157480314965" bottom="0.78740157480314965" header="0.31496062992125984" footer="0.31496062992125984"/>
  <pageSetup paperSize="9" scale="69" fitToHeight="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6"/>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138</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3837</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ROUND(J93,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ROUND((SUM(BE93:BE445)),  2)</f>
        <v>0</v>
      </c>
      <c r="G33" s="34"/>
      <c r="H33" s="34"/>
      <c r="I33" s="98">
        <v>0.21</v>
      </c>
      <c r="J33" s="97">
        <f>ROUND(((SUM(BE93:BE445))*I33),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ROUND((SUM(BF93:BF445)),  2)</f>
        <v>0</v>
      </c>
      <c r="G34" s="34"/>
      <c r="H34" s="34"/>
      <c r="I34" s="98">
        <v>0.15</v>
      </c>
      <c r="J34" s="97">
        <f>ROUND(((SUM(BF93:BF445))*I34),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ROUND((SUM(BG93:BG445)),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ROUND((SUM(BH93:BH445)),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ROUND((SUM(BI93:BI445)),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SO 4 - ZTI</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J93</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153</v>
      </c>
      <c r="E60" s="110"/>
      <c r="F60" s="110"/>
      <c r="G60" s="110"/>
      <c r="H60" s="110"/>
      <c r="I60" s="110"/>
      <c r="J60" s="111">
        <f>J94</f>
        <v>0</v>
      </c>
      <c r="L60" s="108"/>
    </row>
    <row r="61" spans="1:47" s="10" customFormat="1" ht="19.899999999999999" customHeight="1">
      <c r="B61" s="112"/>
      <c r="D61" s="113" t="s">
        <v>2309</v>
      </c>
      <c r="E61" s="114"/>
      <c r="F61" s="114"/>
      <c r="G61" s="114"/>
      <c r="H61" s="114"/>
      <c r="I61" s="114"/>
      <c r="J61" s="115">
        <f>J95</f>
        <v>0</v>
      </c>
      <c r="L61" s="112"/>
    </row>
    <row r="62" spans="1:47" s="10" customFormat="1" ht="19.899999999999999" customHeight="1">
      <c r="B62" s="112"/>
      <c r="D62" s="113" t="s">
        <v>1570</v>
      </c>
      <c r="E62" s="114"/>
      <c r="F62" s="114"/>
      <c r="G62" s="114"/>
      <c r="H62" s="114"/>
      <c r="I62" s="114"/>
      <c r="J62" s="115">
        <f>J131</f>
        <v>0</v>
      </c>
      <c r="L62" s="112"/>
    </row>
    <row r="63" spans="1:47" s="10" customFormat="1" ht="19.899999999999999" customHeight="1">
      <c r="B63" s="112"/>
      <c r="D63" s="113" t="s">
        <v>3838</v>
      </c>
      <c r="E63" s="114"/>
      <c r="F63" s="114"/>
      <c r="G63" s="114"/>
      <c r="H63" s="114"/>
      <c r="I63" s="114"/>
      <c r="J63" s="115">
        <f>J137</f>
        <v>0</v>
      </c>
      <c r="L63" s="112"/>
    </row>
    <row r="64" spans="1:47" s="10" customFormat="1" ht="19.899999999999999" customHeight="1">
      <c r="B64" s="112"/>
      <c r="D64" s="113" t="s">
        <v>325</v>
      </c>
      <c r="E64" s="114"/>
      <c r="F64" s="114"/>
      <c r="G64" s="114"/>
      <c r="H64" s="114"/>
      <c r="I64" s="114"/>
      <c r="J64" s="115">
        <f>J144</f>
        <v>0</v>
      </c>
      <c r="L64" s="112"/>
    </row>
    <row r="65" spans="1:31" s="10" customFormat="1" ht="19.899999999999999" customHeight="1">
      <c r="B65" s="112"/>
      <c r="D65" s="113" t="s">
        <v>326</v>
      </c>
      <c r="E65" s="114"/>
      <c r="F65" s="114"/>
      <c r="G65" s="114"/>
      <c r="H65" s="114"/>
      <c r="I65" s="114"/>
      <c r="J65" s="115">
        <f>J153</f>
        <v>0</v>
      </c>
      <c r="L65" s="112"/>
    </row>
    <row r="66" spans="1:31" s="9" customFormat="1" ht="24.95" customHeight="1">
      <c r="B66" s="108"/>
      <c r="D66" s="109" t="s">
        <v>155</v>
      </c>
      <c r="E66" s="110"/>
      <c r="F66" s="110"/>
      <c r="G66" s="110"/>
      <c r="H66" s="110"/>
      <c r="I66" s="110"/>
      <c r="J66" s="111">
        <f>J158</f>
        <v>0</v>
      </c>
      <c r="L66" s="108"/>
    </row>
    <row r="67" spans="1:31" s="10" customFormat="1" ht="19.899999999999999" customHeight="1">
      <c r="B67" s="112"/>
      <c r="D67" s="113" t="s">
        <v>156</v>
      </c>
      <c r="E67" s="114"/>
      <c r="F67" s="114"/>
      <c r="G67" s="114"/>
      <c r="H67" s="114"/>
      <c r="I67" s="114"/>
      <c r="J67" s="115">
        <f>J159</f>
        <v>0</v>
      </c>
      <c r="L67" s="112"/>
    </row>
    <row r="68" spans="1:31" s="10" customFormat="1" ht="19.899999999999999" customHeight="1">
      <c r="B68" s="112"/>
      <c r="D68" s="113" t="s">
        <v>157</v>
      </c>
      <c r="E68" s="114"/>
      <c r="F68" s="114"/>
      <c r="G68" s="114"/>
      <c r="H68" s="114"/>
      <c r="I68" s="114"/>
      <c r="J68" s="115">
        <f>J247</f>
        <v>0</v>
      </c>
      <c r="L68" s="112"/>
    </row>
    <row r="69" spans="1:31" s="10" customFormat="1" ht="19.899999999999999" customHeight="1">
      <c r="B69" s="112"/>
      <c r="D69" s="113" t="s">
        <v>158</v>
      </c>
      <c r="E69" s="114"/>
      <c r="F69" s="114"/>
      <c r="G69" s="114"/>
      <c r="H69" s="114"/>
      <c r="I69" s="114"/>
      <c r="J69" s="115">
        <f>J327</f>
        <v>0</v>
      </c>
      <c r="L69" s="112"/>
    </row>
    <row r="70" spans="1:31" s="10" customFormat="1" ht="19.899999999999999" customHeight="1">
      <c r="B70" s="112"/>
      <c r="D70" s="113" t="s">
        <v>3839</v>
      </c>
      <c r="E70" s="114"/>
      <c r="F70" s="114"/>
      <c r="G70" s="114"/>
      <c r="H70" s="114"/>
      <c r="I70" s="114"/>
      <c r="J70" s="115">
        <f>J404</f>
        <v>0</v>
      </c>
      <c r="L70" s="112"/>
    </row>
    <row r="71" spans="1:31" s="10" customFormat="1" ht="19.899999999999999" customHeight="1">
      <c r="B71" s="112"/>
      <c r="D71" s="113" t="s">
        <v>3840</v>
      </c>
      <c r="E71" s="114"/>
      <c r="F71" s="114"/>
      <c r="G71" s="114"/>
      <c r="H71" s="114"/>
      <c r="I71" s="114"/>
      <c r="J71" s="115">
        <f>J425</f>
        <v>0</v>
      </c>
      <c r="L71" s="112"/>
    </row>
    <row r="72" spans="1:31" s="10" customFormat="1" ht="19.899999999999999" customHeight="1">
      <c r="B72" s="112"/>
      <c r="D72" s="113" t="s">
        <v>3841</v>
      </c>
      <c r="E72" s="114"/>
      <c r="F72" s="114"/>
      <c r="G72" s="114"/>
      <c r="H72" s="114"/>
      <c r="I72" s="114"/>
      <c r="J72" s="115">
        <f>J428</f>
        <v>0</v>
      </c>
      <c r="L72" s="112"/>
    </row>
    <row r="73" spans="1:31" s="9" customFormat="1" ht="24.95" customHeight="1">
      <c r="B73" s="108"/>
      <c r="D73" s="109" t="s">
        <v>161</v>
      </c>
      <c r="E73" s="110"/>
      <c r="F73" s="110"/>
      <c r="G73" s="110"/>
      <c r="H73" s="110"/>
      <c r="I73" s="110"/>
      <c r="J73" s="111">
        <f>J440</f>
        <v>0</v>
      </c>
      <c r="L73" s="108"/>
    </row>
    <row r="74" spans="1:31" s="2" customFormat="1" ht="21.75" customHeight="1">
      <c r="A74" s="34"/>
      <c r="B74" s="35"/>
      <c r="C74" s="34"/>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6.95" customHeight="1">
      <c r="A75" s="34"/>
      <c r="B75" s="44"/>
      <c r="C75" s="45"/>
      <c r="D75" s="45"/>
      <c r="E75" s="45"/>
      <c r="F75" s="45"/>
      <c r="G75" s="45"/>
      <c r="H75" s="45"/>
      <c r="I75" s="45"/>
      <c r="J75" s="45"/>
      <c r="K75" s="45"/>
      <c r="L75" s="91"/>
      <c r="S75" s="34"/>
      <c r="T75" s="34"/>
      <c r="U75" s="34"/>
      <c r="V75" s="34"/>
      <c r="W75" s="34"/>
      <c r="X75" s="34"/>
      <c r="Y75" s="34"/>
      <c r="Z75" s="34"/>
      <c r="AA75" s="34"/>
      <c r="AB75" s="34"/>
      <c r="AC75" s="34"/>
      <c r="AD75" s="34"/>
      <c r="AE75" s="34"/>
    </row>
    <row r="79" spans="1:31" s="2" customFormat="1" ht="6.95" customHeight="1">
      <c r="A79" s="34"/>
      <c r="B79" s="46"/>
      <c r="C79" s="47"/>
      <c r="D79" s="47"/>
      <c r="E79" s="47"/>
      <c r="F79" s="47"/>
      <c r="G79" s="47"/>
      <c r="H79" s="47"/>
      <c r="I79" s="47"/>
      <c r="J79" s="47"/>
      <c r="K79" s="47"/>
      <c r="L79" s="91"/>
      <c r="S79" s="34"/>
      <c r="T79" s="34"/>
      <c r="U79" s="34"/>
      <c r="V79" s="34"/>
      <c r="W79" s="34"/>
      <c r="X79" s="34"/>
      <c r="Y79" s="34"/>
      <c r="Z79" s="34"/>
      <c r="AA79" s="34"/>
      <c r="AB79" s="34"/>
      <c r="AC79" s="34"/>
      <c r="AD79" s="34"/>
      <c r="AE79" s="34"/>
    </row>
    <row r="80" spans="1:31" s="2" customFormat="1" ht="24.95" customHeight="1">
      <c r="A80" s="34"/>
      <c r="B80" s="35"/>
      <c r="C80" s="23" t="s">
        <v>162</v>
      </c>
      <c r="D80" s="34"/>
      <c r="E80" s="34"/>
      <c r="F80" s="34"/>
      <c r="G80" s="34"/>
      <c r="H80" s="34"/>
      <c r="I80" s="34"/>
      <c r="J80" s="34"/>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2" customHeight="1">
      <c r="A82" s="34"/>
      <c r="B82" s="35"/>
      <c r="C82" s="29" t="s">
        <v>17</v>
      </c>
      <c r="D82" s="34"/>
      <c r="E82" s="34"/>
      <c r="F82" s="34"/>
      <c r="G82" s="34"/>
      <c r="H82" s="34"/>
      <c r="I82" s="34"/>
      <c r="J82" s="34"/>
      <c r="K82" s="34"/>
      <c r="L82" s="91"/>
      <c r="S82" s="34"/>
      <c r="T82" s="34"/>
      <c r="U82" s="34"/>
      <c r="V82" s="34"/>
      <c r="W82" s="34"/>
      <c r="X82" s="34"/>
      <c r="Y82" s="34"/>
      <c r="Z82" s="34"/>
      <c r="AA82" s="34"/>
      <c r="AB82" s="34"/>
      <c r="AC82" s="34"/>
      <c r="AD82" s="34"/>
      <c r="AE82" s="34"/>
    </row>
    <row r="83" spans="1:65" s="2" customFormat="1" ht="16.5" customHeight="1">
      <c r="A83" s="34"/>
      <c r="B83" s="35"/>
      <c r="C83" s="34"/>
      <c r="D83" s="34"/>
      <c r="E83" s="436" t="str">
        <f>E7</f>
        <v>ZŠ P. HOLÉHO - PŘESTAVBA PLAVECKÉHO PAVILONU</v>
      </c>
      <c r="F83" s="437"/>
      <c r="G83" s="437"/>
      <c r="H83" s="437"/>
      <c r="I83" s="34"/>
      <c r="J83" s="34"/>
      <c r="K83" s="34"/>
      <c r="L83" s="91"/>
      <c r="S83" s="34"/>
      <c r="T83" s="34"/>
      <c r="U83" s="34"/>
      <c r="V83" s="34"/>
      <c r="W83" s="34"/>
      <c r="X83" s="34"/>
      <c r="Y83" s="34"/>
      <c r="Z83" s="34"/>
      <c r="AA83" s="34"/>
      <c r="AB83" s="34"/>
      <c r="AC83" s="34"/>
      <c r="AD83" s="34"/>
      <c r="AE83" s="34"/>
    </row>
    <row r="84" spans="1:65" s="2" customFormat="1" ht="12" customHeight="1">
      <c r="A84" s="34"/>
      <c r="B84" s="35"/>
      <c r="C84" s="29" t="s">
        <v>146</v>
      </c>
      <c r="D84" s="34"/>
      <c r="E84" s="34"/>
      <c r="F84" s="34"/>
      <c r="G84" s="34"/>
      <c r="H84" s="34"/>
      <c r="I84" s="34"/>
      <c r="J84" s="34"/>
      <c r="K84" s="34"/>
      <c r="L84" s="91"/>
      <c r="S84" s="34"/>
      <c r="T84" s="34"/>
      <c r="U84" s="34"/>
      <c r="V84" s="34"/>
      <c r="W84" s="34"/>
      <c r="X84" s="34"/>
      <c r="Y84" s="34"/>
      <c r="Z84" s="34"/>
      <c r="AA84" s="34"/>
      <c r="AB84" s="34"/>
      <c r="AC84" s="34"/>
      <c r="AD84" s="34"/>
      <c r="AE84" s="34"/>
    </row>
    <row r="85" spans="1:65" s="2" customFormat="1" ht="16.5" customHeight="1">
      <c r="A85" s="34"/>
      <c r="B85" s="35"/>
      <c r="C85" s="34"/>
      <c r="D85" s="34"/>
      <c r="E85" s="432" t="str">
        <f>E9</f>
        <v>SO 4 - ZTI</v>
      </c>
      <c r="F85" s="435"/>
      <c r="G85" s="435"/>
      <c r="H85" s="435"/>
      <c r="I85" s="34"/>
      <c r="J85" s="34"/>
      <c r="K85" s="34"/>
      <c r="L85" s="91"/>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F12</f>
        <v>Prokopa Holého 2632, Louny, 440 01</v>
      </c>
      <c r="G87" s="34"/>
      <c r="H87" s="34"/>
      <c r="I87" s="29" t="s">
        <v>23</v>
      </c>
      <c r="J87" s="52" t="str">
        <f>IF(J12="","",J12)</f>
        <v>21. 9. 2022</v>
      </c>
      <c r="K87" s="34"/>
      <c r="L87" s="91"/>
      <c r="S87" s="34"/>
      <c r="T87" s="34"/>
      <c r="U87" s="34"/>
      <c r="V87" s="34"/>
      <c r="W87" s="34"/>
      <c r="X87" s="34"/>
      <c r="Y87" s="34"/>
      <c r="Z87" s="34"/>
      <c r="AA87" s="34"/>
      <c r="AB87" s="34"/>
      <c r="AC87" s="34"/>
      <c r="AD87" s="34"/>
      <c r="AE87" s="34"/>
    </row>
    <row r="88" spans="1:65" s="2" customFormat="1" ht="6.95" customHeight="1">
      <c r="A88" s="34"/>
      <c r="B88" s="35"/>
      <c r="C88" s="34"/>
      <c r="D88" s="34"/>
      <c r="E88" s="34"/>
      <c r="F88" s="34"/>
      <c r="G88" s="34"/>
      <c r="H88" s="34"/>
      <c r="I88" s="34"/>
      <c r="J88" s="34"/>
      <c r="K88" s="34"/>
      <c r="L88" s="91"/>
      <c r="S88" s="34"/>
      <c r="T88" s="34"/>
      <c r="U88" s="34"/>
      <c r="V88" s="34"/>
      <c r="W88" s="34"/>
      <c r="X88" s="34"/>
      <c r="Y88" s="34"/>
      <c r="Z88" s="34"/>
      <c r="AA88" s="34"/>
      <c r="AB88" s="34"/>
      <c r="AC88" s="34"/>
      <c r="AD88" s="34"/>
      <c r="AE88" s="34"/>
    </row>
    <row r="89" spans="1:65" s="2" customFormat="1" ht="15.2" customHeight="1">
      <c r="A89" s="34"/>
      <c r="B89" s="35"/>
      <c r="C89" s="29" t="s">
        <v>25</v>
      </c>
      <c r="D89" s="34"/>
      <c r="E89" s="34"/>
      <c r="F89" s="27" t="str">
        <f>E15</f>
        <v>Město Louny</v>
      </c>
      <c r="G89" s="34"/>
      <c r="H89" s="34"/>
      <c r="I89" s="29" t="s">
        <v>32</v>
      </c>
      <c r="J89" s="32" t="str">
        <f>E21</f>
        <v>RYSIK Design s.r.o.</v>
      </c>
      <c r="K89" s="34"/>
      <c r="L89" s="91"/>
      <c r="S89" s="34"/>
      <c r="T89" s="34"/>
      <c r="U89" s="34"/>
      <c r="V89" s="34"/>
      <c r="W89" s="34"/>
      <c r="X89" s="34"/>
      <c r="Y89" s="34"/>
      <c r="Z89" s="34"/>
      <c r="AA89" s="34"/>
      <c r="AB89" s="34"/>
      <c r="AC89" s="34"/>
      <c r="AD89" s="34"/>
      <c r="AE89" s="34"/>
    </row>
    <row r="90" spans="1:65" s="2" customFormat="1" ht="25.7" customHeight="1">
      <c r="A90" s="34"/>
      <c r="B90" s="35"/>
      <c r="C90" s="29" t="s">
        <v>30</v>
      </c>
      <c r="D90" s="34"/>
      <c r="E90" s="34"/>
      <c r="F90" s="27" t="str">
        <f>IF(E18="","",E18)</f>
        <v>Vyplň údaj</v>
      </c>
      <c r="G90" s="34"/>
      <c r="H90" s="34"/>
      <c r="I90" s="29" t="s">
        <v>37</v>
      </c>
      <c r="J90" s="32" t="str">
        <f>E24</f>
        <v>ing. Kateřina Tumpachová</v>
      </c>
      <c r="K90" s="34"/>
      <c r="L90" s="91"/>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1"/>
      <c r="S91" s="34"/>
      <c r="T91" s="34"/>
      <c r="U91" s="34"/>
      <c r="V91" s="34"/>
      <c r="W91" s="34"/>
      <c r="X91" s="34"/>
      <c r="Y91" s="34"/>
      <c r="Z91" s="34"/>
      <c r="AA91" s="34"/>
      <c r="AB91" s="34"/>
      <c r="AC91" s="34"/>
      <c r="AD91" s="34"/>
      <c r="AE91" s="34"/>
    </row>
    <row r="92" spans="1:65" s="11" customFormat="1" ht="29.25" customHeight="1">
      <c r="A92" s="116"/>
      <c r="B92" s="117"/>
      <c r="C92" s="118" t="s">
        <v>163</v>
      </c>
      <c r="D92" s="119" t="s">
        <v>62</v>
      </c>
      <c r="E92" s="119" t="s">
        <v>58</v>
      </c>
      <c r="F92" s="119" t="s">
        <v>59</v>
      </c>
      <c r="G92" s="119" t="s">
        <v>164</v>
      </c>
      <c r="H92" s="119" t="s">
        <v>165</v>
      </c>
      <c r="I92" s="119" t="s">
        <v>166</v>
      </c>
      <c r="J92" s="119" t="s">
        <v>151</v>
      </c>
      <c r="K92" s="120" t="s">
        <v>167</v>
      </c>
      <c r="L92" s="121"/>
      <c r="M92" s="59" t="s">
        <v>3</v>
      </c>
      <c r="N92" s="60" t="s">
        <v>47</v>
      </c>
      <c r="O92" s="60" t="s">
        <v>168</v>
      </c>
      <c r="P92" s="60" t="s">
        <v>169</v>
      </c>
      <c r="Q92" s="60" t="s">
        <v>170</v>
      </c>
      <c r="R92" s="60" t="s">
        <v>171</v>
      </c>
      <c r="S92" s="60" t="s">
        <v>172</v>
      </c>
      <c r="T92" s="61" t="s">
        <v>173</v>
      </c>
      <c r="U92" s="116"/>
      <c r="V92" s="116"/>
      <c r="W92" s="116"/>
      <c r="X92" s="116"/>
      <c r="Y92" s="116"/>
      <c r="Z92" s="116"/>
      <c r="AA92" s="116"/>
      <c r="AB92" s="116"/>
      <c r="AC92" s="116"/>
      <c r="AD92" s="116"/>
      <c r="AE92" s="116"/>
    </row>
    <row r="93" spans="1:65" s="2" customFormat="1" ht="22.9" customHeight="1">
      <c r="A93" s="34"/>
      <c r="B93" s="35"/>
      <c r="C93" s="66" t="s">
        <v>174</v>
      </c>
      <c r="D93" s="34"/>
      <c r="E93" s="34"/>
      <c r="F93" s="34"/>
      <c r="G93" s="34"/>
      <c r="H93" s="34"/>
      <c r="I93" s="34"/>
      <c r="J93" s="122">
        <f>BK93</f>
        <v>0</v>
      </c>
      <c r="K93" s="34"/>
      <c r="L93" s="35"/>
      <c r="M93" s="62"/>
      <c r="N93" s="53"/>
      <c r="O93" s="63"/>
      <c r="P93" s="123">
        <f>P94+P158+P440</f>
        <v>0</v>
      </c>
      <c r="Q93" s="63"/>
      <c r="R93" s="123">
        <f>R94+R158+R440</f>
        <v>5.7041489684000011</v>
      </c>
      <c r="S93" s="63"/>
      <c r="T93" s="124">
        <f>T94+T158+T440</f>
        <v>1.8000000000000002E-3</v>
      </c>
      <c r="U93" s="34"/>
      <c r="V93" s="34"/>
      <c r="W93" s="34"/>
      <c r="X93" s="34"/>
      <c r="Y93" s="34"/>
      <c r="Z93" s="34"/>
      <c r="AA93" s="34"/>
      <c r="AB93" s="34"/>
      <c r="AC93" s="34"/>
      <c r="AD93" s="34"/>
      <c r="AE93" s="34"/>
      <c r="AT93" s="19" t="s">
        <v>76</v>
      </c>
      <c r="AU93" s="19" t="s">
        <v>152</v>
      </c>
      <c r="BK93" s="125">
        <f>BK94+BK158+BK440</f>
        <v>0</v>
      </c>
    </row>
    <row r="94" spans="1:65" s="12" customFormat="1" ht="25.9" customHeight="1">
      <c r="B94" s="126"/>
      <c r="D94" s="127" t="s">
        <v>76</v>
      </c>
      <c r="E94" s="128" t="s">
        <v>175</v>
      </c>
      <c r="F94" s="128" t="s">
        <v>176</v>
      </c>
      <c r="I94" s="129"/>
      <c r="J94" s="130">
        <f>BK94</f>
        <v>0</v>
      </c>
      <c r="L94" s="126"/>
      <c r="M94" s="131"/>
      <c r="N94" s="132"/>
      <c r="O94" s="132"/>
      <c r="P94" s="133">
        <f>P95+P131+P137+P144+P153</f>
        <v>0</v>
      </c>
      <c r="Q94" s="132"/>
      <c r="R94" s="133">
        <f>R95+R131+R137+R144+R153</f>
        <v>4.3052308000000004</v>
      </c>
      <c r="S94" s="132"/>
      <c r="T94" s="134">
        <f>T95+T131+T137+T144+T153</f>
        <v>0</v>
      </c>
      <c r="AR94" s="127" t="s">
        <v>85</v>
      </c>
      <c r="AT94" s="135" t="s">
        <v>76</v>
      </c>
      <c r="AU94" s="135" t="s">
        <v>77</v>
      </c>
      <c r="AY94" s="127" t="s">
        <v>177</v>
      </c>
      <c r="BK94" s="136">
        <f>BK95+BK131+BK137+BK144+BK153</f>
        <v>0</v>
      </c>
    </row>
    <row r="95" spans="1:65" s="12" customFormat="1" ht="22.9" customHeight="1">
      <c r="B95" s="126"/>
      <c r="D95" s="127" t="s">
        <v>76</v>
      </c>
      <c r="E95" s="137" t="s">
        <v>85</v>
      </c>
      <c r="F95" s="137" t="s">
        <v>2311</v>
      </c>
      <c r="I95" s="129"/>
      <c r="J95" s="138">
        <f>BK95</f>
        <v>0</v>
      </c>
      <c r="L95" s="126"/>
      <c r="M95" s="131"/>
      <c r="N95" s="132"/>
      <c r="O95" s="132"/>
      <c r="P95" s="133">
        <f>SUM(P96:P130)</f>
        <v>0</v>
      </c>
      <c r="Q95" s="132"/>
      <c r="R95" s="133">
        <f>SUM(R96:R130)</f>
        <v>2.16</v>
      </c>
      <c r="S95" s="132"/>
      <c r="T95" s="134">
        <f>SUM(T96:T130)</f>
        <v>0</v>
      </c>
      <c r="AR95" s="127" t="s">
        <v>85</v>
      </c>
      <c r="AT95" s="135" t="s">
        <v>76</v>
      </c>
      <c r="AU95" s="135" t="s">
        <v>85</v>
      </c>
      <c r="AY95" s="127" t="s">
        <v>177</v>
      </c>
      <c r="BK95" s="136">
        <f>SUM(BK96:BK130)</f>
        <v>0</v>
      </c>
    </row>
    <row r="96" spans="1:65" s="2" customFormat="1" ht="21.75" customHeight="1">
      <c r="A96" s="34"/>
      <c r="B96" s="139"/>
      <c r="C96" s="140" t="s">
        <v>85</v>
      </c>
      <c r="D96" s="140" t="s">
        <v>180</v>
      </c>
      <c r="E96" s="141" t="s">
        <v>3842</v>
      </c>
      <c r="F96" s="142" t="s">
        <v>3843</v>
      </c>
      <c r="G96" s="143" t="s">
        <v>808</v>
      </c>
      <c r="H96" s="144">
        <v>18</v>
      </c>
      <c r="I96" s="145"/>
      <c r="J96" s="146">
        <f>ROUND(I96*H96,2)</f>
        <v>0</v>
      </c>
      <c r="K96" s="142" t="s">
        <v>184</v>
      </c>
      <c r="L96" s="35"/>
      <c r="M96" s="147" t="s">
        <v>3</v>
      </c>
      <c r="N96" s="148" t="s">
        <v>48</v>
      </c>
      <c r="O96" s="55"/>
      <c r="P96" s="149">
        <f>O96*H96</f>
        <v>0</v>
      </c>
      <c r="Q96" s="149">
        <v>0</v>
      </c>
      <c r="R96" s="149">
        <f>Q96*H96</f>
        <v>0</v>
      </c>
      <c r="S96" s="149">
        <v>0</v>
      </c>
      <c r="T96" s="150">
        <f>S96*H96</f>
        <v>0</v>
      </c>
      <c r="U96" s="34"/>
      <c r="V96" s="34"/>
      <c r="W96" s="34"/>
      <c r="X96" s="34"/>
      <c r="Y96" s="34"/>
      <c r="Z96" s="34"/>
      <c r="AA96" s="34"/>
      <c r="AB96" s="34"/>
      <c r="AC96" s="34"/>
      <c r="AD96" s="34"/>
      <c r="AE96" s="34"/>
      <c r="AR96" s="151" t="s">
        <v>185</v>
      </c>
      <c r="AT96" s="151" t="s">
        <v>180</v>
      </c>
      <c r="AU96" s="151" t="s">
        <v>87</v>
      </c>
      <c r="AY96" s="19" t="s">
        <v>177</v>
      </c>
      <c r="BE96" s="152">
        <f>IF(N96="základní",J96,0)</f>
        <v>0</v>
      </c>
      <c r="BF96" s="152">
        <f>IF(N96="snížená",J96,0)</f>
        <v>0</v>
      </c>
      <c r="BG96" s="152">
        <f>IF(N96="zákl. přenesená",J96,0)</f>
        <v>0</v>
      </c>
      <c r="BH96" s="152">
        <f>IF(N96="sníž. přenesená",J96,0)</f>
        <v>0</v>
      </c>
      <c r="BI96" s="152">
        <f>IF(N96="nulová",J96,0)</f>
        <v>0</v>
      </c>
      <c r="BJ96" s="19" t="s">
        <v>85</v>
      </c>
      <c r="BK96" s="152">
        <f>ROUND(I96*H96,2)</f>
        <v>0</v>
      </c>
      <c r="BL96" s="19" t="s">
        <v>185</v>
      </c>
      <c r="BM96" s="151" t="s">
        <v>3844</v>
      </c>
    </row>
    <row r="97" spans="1:65" s="2" customFormat="1" ht="19.5">
      <c r="A97" s="34"/>
      <c r="B97" s="35"/>
      <c r="C97" s="34"/>
      <c r="D97" s="153" t="s">
        <v>187</v>
      </c>
      <c r="E97" s="34"/>
      <c r="F97" s="154" t="s">
        <v>3845</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187</v>
      </c>
      <c r="AU97" s="19" t="s">
        <v>87</v>
      </c>
    </row>
    <row r="98" spans="1:65" s="2" customFormat="1">
      <c r="A98" s="34"/>
      <c r="B98" s="35"/>
      <c r="C98" s="34"/>
      <c r="D98" s="158" t="s">
        <v>189</v>
      </c>
      <c r="E98" s="34"/>
      <c r="F98" s="159" t="s">
        <v>3846</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189</v>
      </c>
      <c r="AU98" s="19" t="s">
        <v>87</v>
      </c>
    </row>
    <row r="99" spans="1:65" s="2" customFormat="1" ht="39">
      <c r="A99" s="34"/>
      <c r="B99" s="35"/>
      <c r="C99" s="34"/>
      <c r="D99" s="153" t="s">
        <v>191</v>
      </c>
      <c r="E99" s="34"/>
      <c r="F99" s="160" t="s">
        <v>3847</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191</v>
      </c>
      <c r="AU99" s="19" t="s">
        <v>87</v>
      </c>
    </row>
    <row r="100" spans="1:65" s="2" customFormat="1" ht="21.75" customHeight="1">
      <c r="A100" s="34"/>
      <c r="B100" s="139"/>
      <c r="C100" s="140" t="s">
        <v>87</v>
      </c>
      <c r="D100" s="140" t="s">
        <v>180</v>
      </c>
      <c r="E100" s="141" t="s">
        <v>2334</v>
      </c>
      <c r="F100" s="142" t="s">
        <v>2335</v>
      </c>
      <c r="G100" s="143" t="s">
        <v>808</v>
      </c>
      <c r="H100" s="144">
        <v>2.2000000000000002</v>
      </c>
      <c r="I100" s="145"/>
      <c r="J100" s="146">
        <f>ROUND(I100*H100,2)</f>
        <v>0</v>
      </c>
      <c r="K100" s="142" t="s">
        <v>184</v>
      </c>
      <c r="L100" s="35"/>
      <c r="M100" s="147" t="s">
        <v>3</v>
      </c>
      <c r="N100" s="148" t="s">
        <v>48</v>
      </c>
      <c r="O100" s="55"/>
      <c r="P100" s="149">
        <f>O100*H100</f>
        <v>0</v>
      </c>
      <c r="Q100" s="149">
        <v>0</v>
      </c>
      <c r="R100" s="149">
        <f>Q100*H100</f>
        <v>0</v>
      </c>
      <c r="S100" s="149">
        <v>0</v>
      </c>
      <c r="T100" s="150">
        <f>S100*H100</f>
        <v>0</v>
      </c>
      <c r="U100" s="34"/>
      <c r="V100" s="34"/>
      <c r="W100" s="34"/>
      <c r="X100" s="34"/>
      <c r="Y100" s="34"/>
      <c r="Z100" s="34"/>
      <c r="AA100" s="34"/>
      <c r="AB100" s="34"/>
      <c r="AC100" s="34"/>
      <c r="AD100" s="34"/>
      <c r="AE100" s="34"/>
      <c r="AR100" s="151" t="s">
        <v>185</v>
      </c>
      <c r="AT100" s="151" t="s">
        <v>180</v>
      </c>
      <c r="AU100" s="151" t="s">
        <v>87</v>
      </c>
      <c r="AY100" s="19" t="s">
        <v>177</v>
      </c>
      <c r="BE100" s="152">
        <f>IF(N100="základní",J100,0)</f>
        <v>0</v>
      </c>
      <c r="BF100" s="152">
        <f>IF(N100="snížená",J100,0)</f>
        <v>0</v>
      </c>
      <c r="BG100" s="152">
        <f>IF(N100="zákl. přenesená",J100,0)</f>
        <v>0</v>
      </c>
      <c r="BH100" s="152">
        <f>IF(N100="sníž. přenesená",J100,0)</f>
        <v>0</v>
      </c>
      <c r="BI100" s="152">
        <f>IF(N100="nulová",J100,0)</f>
        <v>0</v>
      </c>
      <c r="BJ100" s="19" t="s">
        <v>85</v>
      </c>
      <c r="BK100" s="152">
        <f>ROUND(I100*H100,2)</f>
        <v>0</v>
      </c>
      <c r="BL100" s="19" t="s">
        <v>185</v>
      </c>
      <c r="BM100" s="151" t="s">
        <v>3848</v>
      </c>
    </row>
    <row r="101" spans="1:65" s="2" customFormat="1" ht="19.5">
      <c r="A101" s="34"/>
      <c r="B101" s="35"/>
      <c r="C101" s="34"/>
      <c r="D101" s="153" t="s">
        <v>187</v>
      </c>
      <c r="E101" s="34"/>
      <c r="F101" s="154" t="s">
        <v>2337</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187</v>
      </c>
      <c r="AU101" s="19" t="s">
        <v>87</v>
      </c>
    </row>
    <row r="102" spans="1:65" s="2" customFormat="1">
      <c r="A102" s="34"/>
      <c r="B102" s="35"/>
      <c r="C102" s="34"/>
      <c r="D102" s="158" t="s">
        <v>189</v>
      </c>
      <c r="E102" s="34"/>
      <c r="F102" s="159" t="s">
        <v>2338</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189</v>
      </c>
      <c r="AU102" s="19" t="s">
        <v>87</v>
      </c>
    </row>
    <row r="103" spans="1:65" s="2" customFormat="1" ht="58.5">
      <c r="A103" s="34"/>
      <c r="B103" s="35"/>
      <c r="C103" s="34"/>
      <c r="D103" s="153" t="s">
        <v>191</v>
      </c>
      <c r="E103" s="34"/>
      <c r="F103" s="160" t="s">
        <v>2339</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191</v>
      </c>
      <c r="AU103" s="19" t="s">
        <v>87</v>
      </c>
    </row>
    <row r="104" spans="1:65" s="2" customFormat="1" ht="24.2" customHeight="1">
      <c r="A104" s="34"/>
      <c r="B104" s="139"/>
      <c r="C104" s="140" t="s">
        <v>198</v>
      </c>
      <c r="D104" s="140" t="s">
        <v>180</v>
      </c>
      <c r="E104" s="141" t="s">
        <v>2340</v>
      </c>
      <c r="F104" s="142" t="s">
        <v>2341</v>
      </c>
      <c r="G104" s="143" t="s">
        <v>808</v>
      </c>
      <c r="H104" s="144">
        <v>11</v>
      </c>
      <c r="I104" s="145"/>
      <c r="J104" s="146">
        <f>ROUND(I104*H104,2)</f>
        <v>0</v>
      </c>
      <c r="K104" s="142" t="s">
        <v>184</v>
      </c>
      <c r="L104" s="35"/>
      <c r="M104" s="147" t="s">
        <v>3</v>
      </c>
      <c r="N104" s="148" t="s">
        <v>48</v>
      </c>
      <c r="O104" s="55"/>
      <c r="P104" s="149">
        <f>O104*H104</f>
        <v>0</v>
      </c>
      <c r="Q104" s="149">
        <v>0</v>
      </c>
      <c r="R104" s="149">
        <f>Q104*H104</f>
        <v>0</v>
      </c>
      <c r="S104" s="149">
        <v>0</v>
      </c>
      <c r="T104" s="150">
        <f>S104*H104</f>
        <v>0</v>
      </c>
      <c r="U104" s="34"/>
      <c r="V104" s="34"/>
      <c r="W104" s="34"/>
      <c r="X104" s="34"/>
      <c r="Y104" s="34"/>
      <c r="Z104" s="34"/>
      <c r="AA104" s="34"/>
      <c r="AB104" s="34"/>
      <c r="AC104" s="34"/>
      <c r="AD104" s="34"/>
      <c r="AE104" s="34"/>
      <c r="AR104" s="151" t="s">
        <v>185</v>
      </c>
      <c r="AT104" s="151" t="s">
        <v>180</v>
      </c>
      <c r="AU104" s="151" t="s">
        <v>87</v>
      </c>
      <c r="AY104" s="19" t="s">
        <v>177</v>
      </c>
      <c r="BE104" s="152">
        <f>IF(N104="základní",J104,0)</f>
        <v>0</v>
      </c>
      <c r="BF104" s="152">
        <f>IF(N104="snížená",J104,0)</f>
        <v>0</v>
      </c>
      <c r="BG104" s="152">
        <f>IF(N104="zákl. přenesená",J104,0)</f>
        <v>0</v>
      </c>
      <c r="BH104" s="152">
        <f>IF(N104="sníž. přenesená",J104,0)</f>
        <v>0</v>
      </c>
      <c r="BI104" s="152">
        <f>IF(N104="nulová",J104,0)</f>
        <v>0</v>
      </c>
      <c r="BJ104" s="19" t="s">
        <v>85</v>
      </c>
      <c r="BK104" s="152">
        <f>ROUND(I104*H104,2)</f>
        <v>0</v>
      </c>
      <c r="BL104" s="19" t="s">
        <v>185</v>
      </c>
      <c r="BM104" s="151" t="s">
        <v>3849</v>
      </c>
    </row>
    <row r="105" spans="1:65" s="2" customFormat="1" ht="19.5">
      <c r="A105" s="34"/>
      <c r="B105" s="35"/>
      <c r="C105" s="34"/>
      <c r="D105" s="153" t="s">
        <v>187</v>
      </c>
      <c r="E105" s="34"/>
      <c r="F105" s="154" t="s">
        <v>2343</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187</v>
      </c>
      <c r="AU105" s="19" t="s">
        <v>87</v>
      </c>
    </row>
    <row r="106" spans="1:65" s="2" customFormat="1">
      <c r="A106" s="34"/>
      <c r="B106" s="35"/>
      <c r="C106" s="34"/>
      <c r="D106" s="158" t="s">
        <v>189</v>
      </c>
      <c r="E106" s="34"/>
      <c r="F106" s="159" t="s">
        <v>2344</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189</v>
      </c>
      <c r="AU106" s="19" t="s">
        <v>87</v>
      </c>
    </row>
    <row r="107" spans="1:65" s="2" customFormat="1" ht="58.5">
      <c r="A107" s="34"/>
      <c r="B107" s="35"/>
      <c r="C107" s="34"/>
      <c r="D107" s="153" t="s">
        <v>191</v>
      </c>
      <c r="E107" s="34"/>
      <c r="F107" s="160" t="s">
        <v>2339</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191</v>
      </c>
      <c r="AU107" s="19" t="s">
        <v>87</v>
      </c>
    </row>
    <row r="108" spans="1:65" s="13" customFormat="1">
      <c r="B108" s="161"/>
      <c r="D108" s="153" t="s">
        <v>193</v>
      </c>
      <c r="F108" s="163" t="s">
        <v>3850</v>
      </c>
      <c r="H108" s="164">
        <v>11</v>
      </c>
      <c r="I108" s="165"/>
      <c r="L108" s="161"/>
      <c r="M108" s="166"/>
      <c r="N108" s="167"/>
      <c r="O108" s="167"/>
      <c r="P108" s="167"/>
      <c r="Q108" s="167"/>
      <c r="R108" s="167"/>
      <c r="S108" s="167"/>
      <c r="T108" s="168"/>
      <c r="AT108" s="162" t="s">
        <v>193</v>
      </c>
      <c r="AU108" s="162" t="s">
        <v>87</v>
      </c>
      <c r="AV108" s="13" t="s">
        <v>87</v>
      </c>
      <c r="AW108" s="13" t="s">
        <v>4</v>
      </c>
      <c r="AX108" s="13" t="s">
        <v>85</v>
      </c>
      <c r="AY108" s="162" t="s">
        <v>177</v>
      </c>
    </row>
    <row r="109" spans="1:65" s="2" customFormat="1" ht="16.5" customHeight="1">
      <c r="A109" s="34"/>
      <c r="B109" s="139"/>
      <c r="C109" s="140" t="s">
        <v>185</v>
      </c>
      <c r="D109" s="140" t="s">
        <v>180</v>
      </c>
      <c r="E109" s="141" t="s">
        <v>2346</v>
      </c>
      <c r="F109" s="142" t="s">
        <v>2347</v>
      </c>
      <c r="G109" s="143" t="s">
        <v>183</v>
      </c>
      <c r="H109" s="144">
        <v>3.96</v>
      </c>
      <c r="I109" s="145"/>
      <c r="J109" s="146">
        <f>ROUND(I109*H109,2)</f>
        <v>0</v>
      </c>
      <c r="K109" s="142" t="s">
        <v>184</v>
      </c>
      <c r="L109" s="35"/>
      <c r="M109" s="147" t="s">
        <v>3</v>
      </c>
      <c r="N109" s="148" t="s">
        <v>48</v>
      </c>
      <c r="O109" s="55"/>
      <c r="P109" s="149">
        <f>O109*H109</f>
        <v>0</v>
      </c>
      <c r="Q109" s="149">
        <v>0</v>
      </c>
      <c r="R109" s="149">
        <f>Q109*H109</f>
        <v>0</v>
      </c>
      <c r="S109" s="149">
        <v>0</v>
      </c>
      <c r="T109" s="150">
        <f>S109*H109</f>
        <v>0</v>
      </c>
      <c r="U109" s="34"/>
      <c r="V109" s="34"/>
      <c r="W109" s="34"/>
      <c r="X109" s="34"/>
      <c r="Y109" s="34"/>
      <c r="Z109" s="34"/>
      <c r="AA109" s="34"/>
      <c r="AB109" s="34"/>
      <c r="AC109" s="34"/>
      <c r="AD109" s="34"/>
      <c r="AE109" s="34"/>
      <c r="AR109" s="151" t="s">
        <v>185</v>
      </c>
      <c r="AT109" s="151" t="s">
        <v>180</v>
      </c>
      <c r="AU109" s="151" t="s">
        <v>87</v>
      </c>
      <c r="AY109" s="19" t="s">
        <v>177</v>
      </c>
      <c r="BE109" s="152">
        <f>IF(N109="základní",J109,0)</f>
        <v>0</v>
      </c>
      <c r="BF109" s="152">
        <f>IF(N109="snížená",J109,0)</f>
        <v>0</v>
      </c>
      <c r="BG109" s="152">
        <f>IF(N109="zákl. přenesená",J109,0)</f>
        <v>0</v>
      </c>
      <c r="BH109" s="152">
        <f>IF(N109="sníž. přenesená",J109,0)</f>
        <v>0</v>
      </c>
      <c r="BI109" s="152">
        <f>IF(N109="nulová",J109,0)</f>
        <v>0</v>
      </c>
      <c r="BJ109" s="19" t="s">
        <v>85</v>
      </c>
      <c r="BK109" s="152">
        <f>ROUND(I109*H109,2)</f>
        <v>0</v>
      </c>
      <c r="BL109" s="19" t="s">
        <v>185</v>
      </c>
      <c r="BM109" s="151" t="s">
        <v>3851</v>
      </c>
    </row>
    <row r="110" spans="1:65" s="2" customFormat="1" ht="19.5">
      <c r="A110" s="34"/>
      <c r="B110" s="35"/>
      <c r="C110" s="34"/>
      <c r="D110" s="153" t="s">
        <v>187</v>
      </c>
      <c r="E110" s="34"/>
      <c r="F110" s="154" t="s">
        <v>2349</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187</v>
      </c>
      <c r="AU110" s="19" t="s">
        <v>87</v>
      </c>
    </row>
    <row r="111" spans="1:65" s="2" customFormat="1">
      <c r="A111" s="34"/>
      <c r="B111" s="35"/>
      <c r="C111" s="34"/>
      <c r="D111" s="158" t="s">
        <v>189</v>
      </c>
      <c r="E111" s="34"/>
      <c r="F111" s="159" t="s">
        <v>2350</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189</v>
      </c>
      <c r="AU111" s="19" t="s">
        <v>87</v>
      </c>
    </row>
    <row r="112" spans="1:65" s="2" customFormat="1" ht="39">
      <c r="A112" s="34"/>
      <c r="B112" s="35"/>
      <c r="C112" s="34"/>
      <c r="D112" s="153" t="s">
        <v>191</v>
      </c>
      <c r="E112" s="34"/>
      <c r="F112" s="160" t="s">
        <v>228</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191</v>
      </c>
      <c r="AU112" s="19" t="s">
        <v>87</v>
      </c>
    </row>
    <row r="113" spans="1:65" s="13" customFormat="1">
      <c r="B113" s="161"/>
      <c r="D113" s="153" t="s">
        <v>193</v>
      </c>
      <c r="F113" s="163" t="s">
        <v>3852</v>
      </c>
      <c r="H113" s="164">
        <v>3.96</v>
      </c>
      <c r="I113" s="165"/>
      <c r="L113" s="161"/>
      <c r="M113" s="166"/>
      <c r="N113" s="167"/>
      <c r="O113" s="167"/>
      <c r="P113" s="167"/>
      <c r="Q113" s="167"/>
      <c r="R113" s="167"/>
      <c r="S113" s="167"/>
      <c r="T113" s="168"/>
      <c r="AT113" s="162" t="s">
        <v>193</v>
      </c>
      <c r="AU113" s="162" t="s">
        <v>87</v>
      </c>
      <c r="AV113" s="13" t="s">
        <v>87</v>
      </c>
      <c r="AW113" s="13" t="s">
        <v>4</v>
      </c>
      <c r="AX113" s="13" t="s">
        <v>85</v>
      </c>
      <c r="AY113" s="162" t="s">
        <v>177</v>
      </c>
    </row>
    <row r="114" spans="1:65" s="2" customFormat="1" ht="16.5" customHeight="1">
      <c r="A114" s="34"/>
      <c r="B114" s="139"/>
      <c r="C114" s="140" t="s">
        <v>200</v>
      </c>
      <c r="D114" s="140" t="s">
        <v>180</v>
      </c>
      <c r="E114" s="141" t="s">
        <v>2352</v>
      </c>
      <c r="F114" s="142" t="s">
        <v>2353</v>
      </c>
      <c r="G114" s="143" t="s">
        <v>808</v>
      </c>
      <c r="H114" s="144">
        <v>2.2000000000000002</v>
      </c>
      <c r="I114" s="145"/>
      <c r="J114" s="146">
        <f>ROUND(I114*H114,2)</f>
        <v>0</v>
      </c>
      <c r="K114" s="142" t="s">
        <v>184</v>
      </c>
      <c r="L114" s="35"/>
      <c r="M114" s="147" t="s">
        <v>3</v>
      </c>
      <c r="N114" s="148" t="s">
        <v>48</v>
      </c>
      <c r="O114" s="55"/>
      <c r="P114" s="149">
        <f>O114*H114</f>
        <v>0</v>
      </c>
      <c r="Q114" s="149">
        <v>0</v>
      </c>
      <c r="R114" s="149">
        <f>Q114*H114</f>
        <v>0</v>
      </c>
      <c r="S114" s="149">
        <v>0</v>
      </c>
      <c r="T114" s="150">
        <f>S114*H114</f>
        <v>0</v>
      </c>
      <c r="U114" s="34"/>
      <c r="V114" s="34"/>
      <c r="W114" s="34"/>
      <c r="X114" s="34"/>
      <c r="Y114" s="34"/>
      <c r="Z114" s="34"/>
      <c r="AA114" s="34"/>
      <c r="AB114" s="34"/>
      <c r="AC114" s="34"/>
      <c r="AD114" s="34"/>
      <c r="AE114" s="34"/>
      <c r="AR114" s="151" t="s">
        <v>185</v>
      </c>
      <c r="AT114" s="151" t="s">
        <v>180</v>
      </c>
      <c r="AU114" s="151" t="s">
        <v>87</v>
      </c>
      <c r="AY114" s="19" t="s">
        <v>177</v>
      </c>
      <c r="BE114" s="152">
        <f>IF(N114="základní",J114,0)</f>
        <v>0</v>
      </c>
      <c r="BF114" s="152">
        <f>IF(N114="snížená",J114,0)</f>
        <v>0</v>
      </c>
      <c r="BG114" s="152">
        <f>IF(N114="zákl. přenesená",J114,0)</f>
        <v>0</v>
      </c>
      <c r="BH114" s="152">
        <f>IF(N114="sníž. přenesená",J114,0)</f>
        <v>0</v>
      </c>
      <c r="BI114" s="152">
        <f>IF(N114="nulová",J114,0)</f>
        <v>0</v>
      </c>
      <c r="BJ114" s="19" t="s">
        <v>85</v>
      </c>
      <c r="BK114" s="152">
        <f>ROUND(I114*H114,2)</f>
        <v>0</v>
      </c>
      <c r="BL114" s="19" t="s">
        <v>185</v>
      </c>
      <c r="BM114" s="151" t="s">
        <v>3853</v>
      </c>
    </row>
    <row r="115" spans="1:65" s="2" customFormat="1">
      <c r="A115" s="34"/>
      <c r="B115" s="35"/>
      <c r="C115" s="34"/>
      <c r="D115" s="153" t="s">
        <v>187</v>
      </c>
      <c r="E115" s="34"/>
      <c r="F115" s="154" t="s">
        <v>2355</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187</v>
      </c>
      <c r="AU115" s="19" t="s">
        <v>87</v>
      </c>
    </row>
    <row r="116" spans="1:65" s="2" customFormat="1">
      <c r="A116" s="34"/>
      <c r="B116" s="35"/>
      <c r="C116" s="34"/>
      <c r="D116" s="158" t="s">
        <v>189</v>
      </c>
      <c r="E116" s="34"/>
      <c r="F116" s="159" t="s">
        <v>2356</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189</v>
      </c>
      <c r="AU116" s="19" t="s">
        <v>87</v>
      </c>
    </row>
    <row r="117" spans="1:65" s="2" customFormat="1" ht="97.5">
      <c r="A117" s="34"/>
      <c r="B117" s="35"/>
      <c r="C117" s="34"/>
      <c r="D117" s="153" t="s">
        <v>191</v>
      </c>
      <c r="E117" s="34"/>
      <c r="F117" s="160" t="s">
        <v>2357</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191</v>
      </c>
      <c r="AU117" s="19" t="s">
        <v>87</v>
      </c>
    </row>
    <row r="118" spans="1:65" s="2" customFormat="1" ht="16.5" customHeight="1">
      <c r="A118" s="34"/>
      <c r="B118" s="139"/>
      <c r="C118" s="140" t="s">
        <v>233</v>
      </c>
      <c r="D118" s="140" t="s">
        <v>180</v>
      </c>
      <c r="E118" s="141" t="s">
        <v>3854</v>
      </c>
      <c r="F118" s="142" t="s">
        <v>3855</v>
      </c>
      <c r="G118" s="143" t="s">
        <v>808</v>
      </c>
      <c r="H118" s="144">
        <v>15.8</v>
      </c>
      <c r="I118" s="145"/>
      <c r="J118" s="146">
        <f>ROUND(I118*H118,2)</f>
        <v>0</v>
      </c>
      <c r="K118" s="142" t="s">
        <v>184</v>
      </c>
      <c r="L118" s="35"/>
      <c r="M118" s="147" t="s">
        <v>3</v>
      </c>
      <c r="N118" s="148" t="s">
        <v>48</v>
      </c>
      <c r="O118" s="55"/>
      <c r="P118" s="149">
        <f>O118*H118</f>
        <v>0</v>
      </c>
      <c r="Q118" s="149">
        <v>0</v>
      </c>
      <c r="R118" s="149">
        <f>Q118*H118</f>
        <v>0</v>
      </c>
      <c r="S118" s="149">
        <v>0</v>
      </c>
      <c r="T118" s="150">
        <f>S118*H118</f>
        <v>0</v>
      </c>
      <c r="U118" s="34"/>
      <c r="V118" s="34"/>
      <c r="W118" s="34"/>
      <c r="X118" s="34"/>
      <c r="Y118" s="34"/>
      <c r="Z118" s="34"/>
      <c r="AA118" s="34"/>
      <c r="AB118" s="34"/>
      <c r="AC118" s="34"/>
      <c r="AD118" s="34"/>
      <c r="AE118" s="34"/>
      <c r="AR118" s="151" t="s">
        <v>185</v>
      </c>
      <c r="AT118" s="151" t="s">
        <v>180</v>
      </c>
      <c r="AU118" s="151" t="s">
        <v>87</v>
      </c>
      <c r="AY118" s="19" t="s">
        <v>177</v>
      </c>
      <c r="BE118" s="152">
        <f>IF(N118="základní",J118,0)</f>
        <v>0</v>
      </c>
      <c r="BF118" s="152">
        <f>IF(N118="snížená",J118,0)</f>
        <v>0</v>
      </c>
      <c r="BG118" s="152">
        <f>IF(N118="zákl. přenesená",J118,0)</f>
        <v>0</v>
      </c>
      <c r="BH118" s="152">
        <f>IF(N118="sníž. přenesená",J118,0)</f>
        <v>0</v>
      </c>
      <c r="BI118" s="152">
        <f>IF(N118="nulová",J118,0)</f>
        <v>0</v>
      </c>
      <c r="BJ118" s="19" t="s">
        <v>85</v>
      </c>
      <c r="BK118" s="152">
        <f>ROUND(I118*H118,2)</f>
        <v>0</v>
      </c>
      <c r="BL118" s="19" t="s">
        <v>185</v>
      </c>
      <c r="BM118" s="151" t="s">
        <v>3856</v>
      </c>
    </row>
    <row r="119" spans="1:65" s="2" customFormat="1" ht="19.5">
      <c r="A119" s="34"/>
      <c r="B119" s="35"/>
      <c r="C119" s="34"/>
      <c r="D119" s="153" t="s">
        <v>187</v>
      </c>
      <c r="E119" s="34"/>
      <c r="F119" s="154" t="s">
        <v>3857</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187</v>
      </c>
      <c r="AU119" s="19" t="s">
        <v>87</v>
      </c>
    </row>
    <row r="120" spans="1:65" s="2" customFormat="1">
      <c r="A120" s="34"/>
      <c r="B120" s="35"/>
      <c r="C120" s="34"/>
      <c r="D120" s="158" t="s">
        <v>189</v>
      </c>
      <c r="E120" s="34"/>
      <c r="F120" s="159" t="s">
        <v>3858</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189</v>
      </c>
      <c r="AU120" s="19" t="s">
        <v>87</v>
      </c>
    </row>
    <row r="121" spans="1:65" s="2" customFormat="1" ht="126.75">
      <c r="A121" s="34"/>
      <c r="B121" s="35"/>
      <c r="C121" s="34"/>
      <c r="D121" s="153" t="s">
        <v>191</v>
      </c>
      <c r="E121" s="34"/>
      <c r="F121" s="160" t="s">
        <v>3859</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191</v>
      </c>
      <c r="AU121" s="19" t="s">
        <v>87</v>
      </c>
    </row>
    <row r="122" spans="1:65" s="13" customFormat="1">
      <c r="B122" s="161"/>
      <c r="D122" s="153" t="s">
        <v>193</v>
      </c>
      <c r="E122" s="162" t="s">
        <v>3</v>
      </c>
      <c r="F122" s="163" t="s">
        <v>3860</v>
      </c>
      <c r="H122" s="164">
        <v>15.8</v>
      </c>
      <c r="I122" s="165"/>
      <c r="L122" s="161"/>
      <c r="M122" s="166"/>
      <c r="N122" s="167"/>
      <c r="O122" s="167"/>
      <c r="P122" s="167"/>
      <c r="Q122" s="167"/>
      <c r="R122" s="167"/>
      <c r="S122" s="167"/>
      <c r="T122" s="168"/>
      <c r="AT122" s="162" t="s">
        <v>193</v>
      </c>
      <c r="AU122" s="162" t="s">
        <v>87</v>
      </c>
      <c r="AV122" s="13" t="s">
        <v>87</v>
      </c>
      <c r="AW122" s="13" t="s">
        <v>36</v>
      </c>
      <c r="AX122" s="13" t="s">
        <v>85</v>
      </c>
      <c r="AY122" s="162" t="s">
        <v>177</v>
      </c>
    </row>
    <row r="123" spans="1:65" s="2" customFormat="1" ht="16.5" customHeight="1">
      <c r="A123" s="34"/>
      <c r="B123" s="139"/>
      <c r="C123" s="140" t="s">
        <v>241</v>
      </c>
      <c r="D123" s="140" t="s">
        <v>180</v>
      </c>
      <c r="E123" s="141" t="s">
        <v>3861</v>
      </c>
      <c r="F123" s="142" t="s">
        <v>3862</v>
      </c>
      <c r="G123" s="143" t="s">
        <v>808</v>
      </c>
      <c r="H123" s="144">
        <v>1.08</v>
      </c>
      <c r="I123" s="145"/>
      <c r="J123" s="146">
        <f>ROUND(I123*H123,2)</f>
        <v>0</v>
      </c>
      <c r="K123" s="142" t="s">
        <v>184</v>
      </c>
      <c r="L123" s="35"/>
      <c r="M123" s="147" t="s">
        <v>3</v>
      </c>
      <c r="N123" s="148" t="s">
        <v>48</v>
      </c>
      <c r="O123" s="55"/>
      <c r="P123" s="149">
        <f>O123*H123</f>
        <v>0</v>
      </c>
      <c r="Q123" s="149">
        <v>0</v>
      </c>
      <c r="R123" s="149">
        <f>Q123*H123</f>
        <v>0</v>
      </c>
      <c r="S123" s="149">
        <v>0</v>
      </c>
      <c r="T123" s="150">
        <f>S123*H123</f>
        <v>0</v>
      </c>
      <c r="U123" s="34"/>
      <c r="V123" s="34"/>
      <c r="W123" s="34"/>
      <c r="X123" s="34"/>
      <c r="Y123" s="34"/>
      <c r="Z123" s="34"/>
      <c r="AA123" s="34"/>
      <c r="AB123" s="34"/>
      <c r="AC123" s="34"/>
      <c r="AD123" s="34"/>
      <c r="AE123" s="34"/>
      <c r="AR123" s="151" t="s">
        <v>185</v>
      </c>
      <c r="AT123" s="151" t="s">
        <v>180</v>
      </c>
      <c r="AU123" s="151" t="s">
        <v>87</v>
      </c>
      <c r="AY123" s="19" t="s">
        <v>177</v>
      </c>
      <c r="BE123" s="152">
        <f>IF(N123="základní",J123,0)</f>
        <v>0</v>
      </c>
      <c r="BF123" s="152">
        <f>IF(N123="snížená",J123,0)</f>
        <v>0</v>
      </c>
      <c r="BG123" s="152">
        <f>IF(N123="zákl. přenesená",J123,0)</f>
        <v>0</v>
      </c>
      <c r="BH123" s="152">
        <f>IF(N123="sníž. přenesená",J123,0)</f>
        <v>0</v>
      </c>
      <c r="BI123" s="152">
        <f>IF(N123="nulová",J123,0)</f>
        <v>0</v>
      </c>
      <c r="BJ123" s="19" t="s">
        <v>85</v>
      </c>
      <c r="BK123" s="152">
        <f>ROUND(I123*H123,2)</f>
        <v>0</v>
      </c>
      <c r="BL123" s="19" t="s">
        <v>185</v>
      </c>
      <c r="BM123" s="151" t="s">
        <v>3863</v>
      </c>
    </row>
    <row r="124" spans="1:65" s="2" customFormat="1" ht="19.5">
      <c r="A124" s="34"/>
      <c r="B124" s="35"/>
      <c r="C124" s="34"/>
      <c r="D124" s="153" t="s">
        <v>187</v>
      </c>
      <c r="E124" s="34"/>
      <c r="F124" s="154" t="s">
        <v>3864</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187</v>
      </c>
      <c r="AU124" s="19" t="s">
        <v>87</v>
      </c>
    </row>
    <row r="125" spans="1:65" s="2" customFormat="1">
      <c r="A125" s="34"/>
      <c r="B125" s="35"/>
      <c r="C125" s="34"/>
      <c r="D125" s="158" t="s">
        <v>189</v>
      </c>
      <c r="E125" s="34"/>
      <c r="F125" s="159" t="s">
        <v>3865</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189</v>
      </c>
      <c r="AU125" s="19" t="s">
        <v>87</v>
      </c>
    </row>
    <row r="126" spans="1:65" s="2" customFormat="1" ht="58.5">
      <c r="A126" s="34"/>
      <c r="B126" s="35"/>
      <c r="C126" s="34"/>
      <c r="D126" s="153" t="s">
        <v>191</v>
      </c>
      <c r="E126" s="34"/>
      <c r="F126" s="160" t="s">
        <v>3866</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191</v>
      </c>
      <c r="AU126" s="19" t="s">
        <v>87</v>
      </c>
    </row>
    <row r="127" spans="1:65" s="13" customFormat="1">
      <c r="B127" s="161"/>
      <c r="D127" s="153" t="s">
        <v>193</v>
      </c>
      <c r="E127" s="162" t="s">
        <v>3</v>
      </c>
      <c r="F127" s="163" t="s">
        <v>3867</v>
      </c>
      <c r="H127" s="164">
        <v>1.08</v>
      </c>
      <c r="I127" s="165"/>
      <c r="L127" s="161"/>
      <c r="M127" s="166"/>
      <c r="N127" s="167"/>
      <c r="O127" s="167"/>
      <c r="P127" s="167"/>
      <c r="Q127" s="167"/>
      <c r="R127" s="167"/>
      <c r="S127" s="167"/>
      <c r="T127" s="168"/>
      <c r="AT127" s="162" t="s">
        <v>193</v>
      </c>
      <c r="AU127" s="162" t="s">
        <v>87</v>
      </c>
      <c r="AV127" s="13" t="s">
        <v>87</v>
      </c>
      <c r="AW127" s="13" t="s">
        <v>36</v>
      </c>
      <c r="AX127" s="13" t="s">
        <v>85</v>
      </c>
      <c r="AY127" s="162" t="s">
        <v>177</v>
      </c>
    </row>
    <row r="128" spans="1:65" s="2" customFormat="1" ht="16.5" customHeight="1">
      <c r="A128" s="34"/>
      <c r="B128" s="139"/>
      <c r="C128" s="195" t="s">
        <v>248</v>
      </c>
      <c r="D128" s="195" t="s">
        <v>484</v>
      </c>
      <c r="E128" s="196" t="s">
        <v>3868</v>
      </c>
      <c r="F128" s="197" t="s">
        <v>3869</v>
      </c>
      <c r="G128" s="198" t="s">
        <v>183</v>
      </c>
      <c r="H128" s="199">
        <v>2.16</v>
      </c>
      <c r="I128" s="200"/>
      <c r="J128" s="201">
        <f>ROUND(I128*H128,2)</f>
        <v>0</v>
      </c>
      <c r="K128" s="197" t="s">
        <v>184</v>
      </c>
      <c r="L128" s="202"/>
      <c r="M128" s="203" t="s">
        <v>3</v>
      </c>
      <c r="N128" s="204" t="s">
        <v>48</v>
      </c>
      <c r="O128" s="55"/>
      <c r="P128" s="149">
        <f>O128*H128</f>
        <v>0</v>
      </c>
      <c r="Q128" s="149">
        <v>1</v>
      </c>
      <c r="R128" s="149">
        <f>Q128*H128</f>
        <v>2.16</v>
      </c>
      <c r="S128" s="149">
        <v>0</v>
      </c>
      <c r="T128" s="150">
        <f>S128*H128</f>
        <v>0</v>
      </c>
      <c r="U128" s="34"/>
      <c r="V128" s="34"/>
      <c r="W128" s="34"/>
      <c r="X128" s="34"/>
      <c r="Y128" s="34"/>
      <c r="Z128" s="34"/>
      <c r="AA128" s="34"/>
      <c r="AB128" s="34"/>
      <c r="AC128" s="34"/>
      <c r="AD128" s="34"/>
      <c r="AE128" s="34"/>
      <c r="AR128" s="151" t="s">
        <v>248</v>
      </c>
      <c r="AT128" s="151" t="s">
        <v>484</v>
      </c>
      <c r="AU128" s="151" t="s">
        <v>87</v>
      </c>
      <c r="AY128" s="19" t="s">
        <v>177</v>
      </c>
      <c r="BE128" s="152">
        <f>IF(N128="základní",J128,0)</f>
        <v>0</v>
      </c>
      <c r="BF128" s="152">
        <f>IF(N128="snížená",J128,0)</f>
        <v>0</v>
      </c>
      <c r="BG128" s="152">
        <f>IF(N128="zákl. přenesená",J128,0)</f>
        <v>0</v>
      </c>
      <c r="BH128" s="152">
        <f>IF(N128="sníž. přenesená",J128,0)</f>
        <v>0</v>
      </c>
      <c r="BI128" s="152">
        <f>IF(N128="nulová",J128,0)</f>
        <v>0</v>
      </c>
      <c r="BJ128" s="19" t="s">
        <v>85</v>
      </c>
      <c r="BK128" s="152">
        <f>ROUND(I128*H128,2)</f>
        <v>0</v>
      </c>
      <c r="BL128" s="19" t="s">
        <v>185</v>
      </c>
      <c r="BM128" s="151" t="s">
        <v>3870</v>
      </c>
    </row>
    <row r="129" spans="1:65" s="2" customFormat="1">
      <c r="A129" s="34"/>
      <c r="B129" s="35"/>
      <c r="C129" s="34"/>
      <c r="D129" s="153" t="s">
        <v>187</v>
      </c>
      <c r="E129" s="34"/>
      <c r="F129" s="154" t="s">
        <v>3871</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187</v>
      </c>
      <c r="AU129" s="19" t="s">
        <v>87</v>
      </c>
    </row>
    <row r="130" spans="1:65" s="13" customFormat="1">
      <c r="B130" s="161"/>
      <c r="D130" s="153" t="s">
        <v>193</v>
      </c>
      <c r="F130" s="163" t="s">
        <v>3872</v>
      </c>
      <c r="H130" s="164">
        <v>2.16</v>
      </c>
      <c r="I130" s="165"/>
      <c r="L130" s="161"/>
      <c r="M130" s="166"/>
      <c r="N130" s="167"/>
      <c r="O130" s="167"/>
      <c r="P130" s="167"/>
      <c r="Q130" s="167"/>
      <c r="R130" s="167"/>
      <c r="S130" s="167"/>
      <c r="T130" s="168"/>
      <c r="AT130" s="162" t="s">
        <v>193</v>
      </c>
      <c r="AU130" s="162" t="s">
        <v>87</v>
      </c>
      <c r="AV130" s="13" t="s">
        <v>87</v>
      </c>
      <c r="AW130" s="13" t="s">
        <v>4</v>
      </c>
      <c r="AX130" s="13" t="s">
        <v>85</v>
      </c>
      <c r="AY130" s="162" t="s">
        <v>177</v>
      </c>
    </row>
    <row r="131" spans="1:65" s="12" customFormat="1" ht="22.9" customHeight="1">
      <c r="B131" s="126"/>
      <c r="D131" s="127" t="s">
        <v>76</v>
      </c>
      <c r="E131" s="137" t="s">
        <v>185</v>
      </c>
      <c r="F131" s="137" t="s">
        <v>1577</v>
      </c>
      <c r="I131" s="129"/>
      <c r="J131" s="138">
        <f>BK131</f>
        <v>0</v>
      </c>
      <c r="L131" s="126"/>
      <c r="M131" s="131"/>
      <c r="N131" s="132"/>
      <c r="O131" s="132"/>
      <c r="P131" s="133">
        <f>SUM(P132:P136)</f>
        <v>0</v>
      </c>
      <c r="Q131" s="132"/>
      <c r="R131" s="133">
        <f>SUM(R132:R136)</f>
        <v>2.1176624000000004</v>
      </c>
      <c r="S131" s="132"/>
      <c r="T131" s="134">
        <f>SUM(T132:T136)</f>
        <v>0</v>
      </c>
      <c r="AR131" s="127" t="s">
        <v>85</v>
      </c>
      <c r="AT131" s="135" t="s">
        <v>76</v>
      </c>
      <c r="AU131" s="135" t="s">
        <v>85</v>
      </c>
      <c r="AY131" s="127" t="s">
        <v>177</v>
      </c>
      <c r="BK131" s="136">
        <f>SUM(BK132:BK136)</f>
        <v>0</v>
      </c>
    </row>
    <row r="132" spans="1:65" s="2" customFormat="1" ht="16.5" customHeight="1">
      <c r="A132" s="34"/>
      <c r="B132" s="139"/>
      <c r="C132" s="140" t="s">
        <v>252</v>
      </c>
      <c r="D132" s="140" t="s">
        <v>180</v>
      </c>
      <c r="E132" s="141" t="s">
        <v>3873</v>
      </c>
      <c r="F132" s="142" t="s">
        <v>3874</v>
      </c>
      <c r="G132" s="143" t="s">
        <v>808</v>
      </c>
      <c r="H132" s="144">
        <v>1.1200000000000001</v>
      </c>
      <c r="I132" s="145"/>
      <c r="J132" s="146">
        <f>ROUND(I132*H132,2)</f>
        <v>0</v>
      </c>
      <c r="K132" s="142" t="s">
        <v>184</v>
      </c>
      <c r="L132" s="35"/>
      <c r="M132" s="147" t="s">
        <v>3</v>
      </c>
      <c r="N132" s="148" t="s">
        <v>48</v>
      </c>
      <c r="O132" s="55"/>
      <c r="P132" s="149">
        <f>O132*H132</f>
        <v>0</v>
      </c>
      <c r="Q132" s="149">
        <v>1.8907700000000001</v>
      </c>
      <c r="R132" s="149">
        <f>Q132*H132</f>
        <v>2.1176624000000004</v>
      </c>
      <c r="S132" s="149">
        <v>0</v>
      </c>
      <c r="T132" s="150">
        <f>S132*H132</f>
        <v>0</v>
      </c>
      <c r="U132" s="34"/>
      <c r="V132" s="34"/>
      <c r="W132" s="34"/>
      <c r="X132" s="34"/>
      <c r="Y132" s="34"/>
      <c r="Z132" s="34"/>
      <c r="AA132" s="34"/>
      <c r="AB132" s="34"/>
      <c r="AC132" s="34"/>
      <c r="AD132" s="34"/>
      <c r="AE132" s="34"/>
      <c r="AR132" s="151" t="s">
        <v>185</v>
      </c>
      <c r="AT132" s="151" t="s">
        <v>180</v>
      </c>
      <c r="AU132" s="151" t="s">
        <v>87</v>
      </c>
      <c r="AY132" s="19" t="s">
        <v>177</v>
      </c>
      <c r="BE132" s="152">
        <f>IF(N132="základní",J132,0)</f>
        <v>0</v>
      </c>
      <c r="BF132" s="152">
        <f>IF(N132="snížená",J132,0)</f>
        <v>0</v>
      </c>
      <c r="BG132" s="152">
        <f>IF(N132="zákl. přenesená",J132,0)</f>
        <v>0</v>
      </c>
      <c r="BH132" s="152">
        <f>IF(N132="sníž. přenesená",J132,0)</f>
        <v>0</v>
      </c>
      <c r="BI132" s="152">
        <f>IF(N132="nulová",J132,0)</f>
        <v>0</v>
      </c>
      <c r="BJ132" s="19" t="s">
        <v>85</v>
      </c>
      <c r="BK132" s="152">
        <f>ROUND(I132*H132,2)</f>
        <v>0</v>
      </c>
      <c r="BL132" s="19" t="s">
        <v>185</v>
      </c>
      <c r="BM132" s="151" t="s">
        <v>3875</v>
      </c>
    </row>
    <row r="133" spans="1:65" s="2" customFormat="1">
      <c r="A133" s="34"/>
      <c r="B133" s="35"/>
      <c r="C133" s="34"/>
      <c r="D133" s="153" t="s">
        <v>187</v>
      </c>
      <c r="E133" s="34"/>
      <c r="F133" s="154" t="s">
        <v>3876</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187</v>
      </c>
      <c r="AU133" s="19" t="s">
        <v>87</v>
      </c>
    </row>
    <row r="134" spans="1:65" s="2" customFormat="1">
      <c r="A134" s="34"/>
      <c r="B134" s="35"/>
      <c r="C134" s="34"/>
      <c r="D134" s="158" t="s">
        <v>189</v>
      </c>
      <c r="E134" s="34"/>
      <c r="F134" s="159" t="s">
        <v>3877</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189</v>
      </c>
      <c r="AU134" s="19" t="s">
        <v>87</v>
      </c>
    </row>
    <row r="135" spans="1:65" s="2" customFormat="1" ht="39">
      <c r="A135" s="34"/>
      <c r="B135" s="35"/>
      <c r="C135" s="34"/>
      <c r="D135" s="153" t="s">
        <v>191</v>
      </c>
      <c r="E135" s="34"/>
      <c r="F135" s="160" t="s">
        <v>3878</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191</v>
      </c>
      <c r="AU135" s="19" t="s">
        <v>87</v>
      </c>
    </row>
    <row r="136" spans="1:65" s="13" customFormat="1">
      <c r="B136" s="161"/>
      <c r="D136" s="153" t="s">
        <v>193</v>
      </c>
      <c r="E136" s="162" t="s">
        <v>3</v>
      </c>
      <c r="F136" s="163" t="s">
        <v>3879</v>
      </c>
      <c r="H136" s="164">
        <v>1.1200000000000001</v>
      </c>
      <c r="I136" s="165"/>
      <c r="L136" s="161"/>
      <c r="M136" s="166"/>
      <c r="N136" s="167"/>
      <c r="O136" s="167"/>
      <c r="P136" s="167"/>
      <c r="Q136" s="167"/>
      <c r="R136" s="167"/>
      <c r="S136" s="167"/>
      <c r="T136" s="168"/>
      <c r="AT136" s="162" t="s">
        <v>193</v>
      </c>
      <c r="AU136" s="162" t="s">
        <v>87</v>
      </c>
      <c r="AV136" s="13" t="s">
        <v>87</v>
      </c>
      <c r="AW136" s="13" t="s">
        <v>36</v>
      </c>
      <c r="AX136" s="13" t="s">
        <v>85</v>
      </c>
      <c r="AY136" s="162" t="s">
        <v>177</v>
      </c>
    </row>
    <row r="137" spans="1:65" s="12" customFormat="1" ht="22.9" customHeight="1">
      <c r="B137" s="126"/>
      <c r="D137" s="127" t="s">
        <v>76</v>
      </c>
      <c r="E137" s="137" t="s">
        <v>248</v>
      </c>
      <c r="F137" s="137" t="s">
        <v>3880</v>
      </c>
      <c r="I137" s="129"/>
      <c r="J137" s="138">
        <f>BK137</f>
        <v>0</v>
      </c>
      <c r="L137" s="126"/>
      <c r="M137" s="131"/>
      <c r="N137" s="132"/>
      <c r="O137" s="132"/>
      <c r="P137" s="133">
        <f>SUM(P138:P143)</f>
        <v>0</v>
      </c>
      <c r="Q137" s="132"/>
      <c r="R137" s="133">
        <f>SUM(R138:R143)</f>
        <v>4.2084000000000002E-3</v>
      </c>
      <c r="S137" s="132"/>
      <c r="T137" s="134">
        <f>SUM(T138:T143)</f>
        <v>0</v>
      </c>
      <c r="AR137" s="127" t="s">
        <v>85</v>
      </c>
      <c r="AT137" s="135" t="s">
        <v>76</v>
      </c>
      <c r="AU137" s="135" t="s">
        <v>85</v>
      </c>
      <c r="AY137" s="127" t="s">
        <v>177</v>
      </c>
      <c r="BK137" s="136">
        <f>SUM(BK138:BK143)</f>
        <v>0</v>
      </c>
    </row>
    <row r="138" spans="1:65" s="2" customFormat="1" ht="16.5" customHeight="1">
      <c r="A138" s="34"/>
      <c r="B138" s="139"/>
      <c r="C138" s="140" t="s">
        <v>258</v>
      </c>
      <c r="D138" s="140" t="s">
        <v>180</v>
      </c>
      <c r="E138" s="141" t="s">
        <v>3881</v>
      </c>
      <c r="F138" s="142" t="s">
        <v>3882</v>
      </c>
      <c r="G138" s="143" t="s">
        <v>476</v>
      </c>
      <c r="H138" s="144">
        <v>15</v>
      </c>
      <c r="I138" s="145"/>
      <c r="J138" s="146">
        <f>ROUND(I138*H138,2)</f>
        <v>0</v>
      </c>
      <c r="K138" s="142" t="s">
        <v>184</v>
      </c>
      <c r="L138" s="35"/>
      <c r="M138" s="147" t="s">
        <v>3</v>
      </c>
      <c r="N138" s="148" t="s">
        <v>48</v>
      </c>
      <c r="O138" s="55"/>
      <c r="P138" s="149">
        <f>O138*H138</f>
        <v>0</v>
      </c>
      <c r="Q138" s="149">
        <v>1.9236000000000001E-4</v>
      </c>
      <c r="R138" s="149">
        <f>Q138*H138</f>
        <v>2.8854000000000002E-3</v>
      </c>
      <c r="S138" s="149">
        <v>0</v>
      </c>
      <c r="T138" s="150">
        <f>S138*H138</f>
        <v>0</v>
      </c>
      <c r="U138" s="34"/>
      <c r="V138" s="34"/>
      <c r="W138" s="34"/>
      <c r="X138" s="34"/>
      <c r="Y138" s="34"/>
      <c r="Z138" s="34"/>
      <c r="AA138" s="34"/>
      <c r="AB138" s="34"/>
      <c r="AC138" s="34"/>
      <c r="AD138" s="34"/>
      <c r="AE138" s="34"/>
      <c r="AR138" s="151" t="s">
        <v>185</v>
      </c>
      <c r="AT138" s="151" t="s">
        <v>180</v>
      </c>
      <c r="AU138" s="151" t="s">
        <v>87</v>
      </c>
      <c r="AY138" s="19" t="s">
        <v>177</v>
      </c>
      <c r="BE138" s="152">
        <f>IF(N138="základní",J138,0)</f>
        <v>0</v>
      </c>
      <c r="BF138" s="152">
        <f>IF(N138="snížená",J138,0)</f>
        <v>0</v>
      </c>
      <c r="BG138" s="152">
        <f>IF(N138="zákl. přenesená",J138,0)</f>
        <v>0</v>
      </c>
      <c r="BH138" s="152">
        <f>IF(N138="sníž. přenesená",J138,0)</f>
        <v>0</v>
      </c>
      <c r="BI138" s="152">
        <f>IF(N138="nulová",J138,0)</f>
        <v>0</v>
      </c>
      <c r="BJ138" s="19" t="s">
        <v>85</v>
      </c>
      <c r="BK138" s="152">
        <f>ROUND(I138*H138,2)</f>
        <v>0</v>
      </c>
      <c r="BL138" s="19" t="s">
        <v>185</v>
      </c>
      <c r="BM138" s="151" t="s">
        <v>3883</v>
      </c>
    </row>
    <row r="139" spans="1:65" s="2" customFormat="1">
      <c r="A139" s="34"/>
      <c r="B139" s="35"/>
      <c r="C139" s="34"/>
      <c r="D139" s="153" t="s">
        <v>187</v>
      </c>
      <c r="E139" s="34"/>
      <c r="F139" s="154" t="s">
        <v>3884</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187</v>
      </c>
      <c r="AU139" s="19" t="s">
        <v>87</v>
      </c>
    </row>
    <row r="140" spans="1:65" s="2" customFormat="1">
      <c r="A140" s="34"/>
      <c r="B140" s="35"/>
      <c r="C140" s="34"/>
      <c r="D140" s="158" t="s">
        <v>189</v>
      </c>
      <c r="E140" s="34"/>
      <c r="F140" s="159" t="s">
        <v>3885</v>
      </c>
      <c r="G140" s="34"/>
      <c r="H140" s="34"/>
      <c r="I140" s="155"/>
      <c r="J140" s="34"/>
      <c r="K140" s="34"/>
      <c r="L140" s="35"/>
      <c r="M140" s="156"/>
      <c r="N140" s="157"/>
      <c r="O140" s="55"/>
      <c r="P140" s="55"/>
      <c r="Q140" s="55"/>
      <c r="R140" s="55"/>
      <c r="S140" s="55"/>
      <c r="T140" s="56"/>
      <c r="U140" s="34"/>
      <c r="V140" s="34"/>
      <c r="W140" s="34"/>
      <c r="X140" s="34"/>
      <c r="Y140" s="34"/>
      <c r="Z140" s="34"/>
      <c r="AA140" s="34"/>
      <c r="AB140" s="34"/>
      <c r="AC140" s="34"/>
      <c r="AD140" s="34"/>
      <c r="AE140" s="34"/>
      <c r="AT140" s="19" t="s">
        <v>189</v>
      </c>
      <c r="AU140" s="19" t="s">
        <v>87</v>
      </c>
    </row>
    <row r="141" spans="1:65" s="2" customFormat="1" ht="16.5" customHeight="1">
      <c r="A141" s="34"/>
      <c r="B141" s="139"/>
      <c r="C141" s="140" t="s">
        <v>265</v>
      </c>
      <c r="D141" s="140" t="s">
        <v>180</v>
      </c>
      <c r="E141" s="141" t="s">
        <v>3886</v>
      </c>
      <c r="F141" s="142" t="s">
        <v>3887</v>
      </c>
      <c r="G141" s="143" t="s">
        <v>476</v>
      </c>
      <c r="H141" s="144">
        <v>14</v>
      </c>
      <c r="I141" s="145"/>
      <c r="J141" s="146">
        <f>ROUND(I141*H141,2)</f>
        <v>0</v>
      </c>
      <c r="K141" s="142" t="s">
        <v>184</v>
      </c>
      <c r="L141" s="35"/>
      <c r="M141" s="147" t="s">
        <v>3</v>
      </c>
      <c r="N141" s="148" t="s">
        <v>48</v>
      </c>
      <c r="O141" s="55"/>
      <c r="P141" s="149">
        <f>O141*H141</f>
        <v>0</v>
      </c>
      <c r="Q141" s="149">
        <v>9.4500000000000007E-5</v>
      </c>
      <c r="R141" s="149">
        <f>Q141*H141</f>
        <v>1.3230000000000002E-3</v>
      </c>
      <c r="S141" s="149">
        <v>0</v>
      </c>
      <c r="T141" s="150">
        <f>S141*H141</f>
        <v>0</v>
      </c>
      <c r="U141" s="34"/>
      <c r="V141" s="34"/>
      <c r="W141" s="34"/>
      <c r="X141" s="34"/>
      <c r="Y141" s="34"/>
      <c r="Z141" s="34"/>
      <c r="AA141" s="34"/>
      <c r="AB141" s="34"/>
      <c r="AC141" s="34"/>
      <c r="AD141" s="34"/>
      <c r="AE141" s="34"/>
      <c r="AR141" s="151" t="s">
        <v>185</v>
      </c>
      <c r="AT141" s="151" t="s">
        <v>180</v>
      </c>
      <c r="AU141" s="151" t="s">
        <v>87</v>
      </c>
      <c r="AY141" s="19" t="s">
        <v>177</v>
      </c>
      <c r="BE141" s="152">
        <f>IF(N141="základní",J141,0)</f>
        <v>0</v>
      </c>
      <c r="BF141" s="152">
        <f>IF(N141="snížená",J141,0)</f>
        <v>0</v>
      </c>
      <c r="BG141" s="152">
        <f>IF(N141="zákl. přenesená",J141,0)</f>
        <v>0</v>
      </c>
      <c r="BH141" s="152">
        <f>IF(N141="sníž. přenesená",J141,0)</f>
        <v>0</v>
      </c>
      <c r="BI141" s="152">
        <f>IF(N141="nulová",J141,0)</f>
        <v>0</v>
      </c>
      <c r="BJ141" s="19" t="s">
        <v>85</v>
      </c>
      <c r="BK141" s="152">
        <f>ROUND(I141*H141,2)</f>
        <v>0</v>
      </c>
      <c r="BL141" s="19" t="s">
        <v>185</v>
      </c>
      <c r="BM141" s="151" t="s">
        <v>3888</v>
      </c>
    </row>
    <row r="142" spans="1:65" s="2" customFormat="1">
      <c r="A142" s="34"/>
      <c r="B142" s="35"/>
      <c r="C142" s="34"/>
      <c r="D142" s="153" t="s">
        <v>187</v>
      </c>
      <c r="E142" s="34"/>
      <c r="F142" s="154" t="s">
        <v>3889</v>
      </c>
      <c r="G142" s="34"/>
      <c r="H142" s="34"/>
      <c r="I142" s="155"/>
      <c r="J142" s="34"/>
      <c r="K142" s="34"/>
      <c r="L142" s="35"/>
      <c r="M142" s="156"/>
      <c r="N142" s="157"/>
      <c r="O142" s="55"/>
      <c r="P142" s="55"/>
      <c r="Q142" s="55"/>
      <c r="R142" s="55"/>
      <c r="S142" s="55"/>
      <c r="T142" s="56"/>
      <c r="U142" s="34"/>
      <c r="V142" s="34"/>
      <c r="W142" s="34"/>
      <c r="X142" s="34"/>
      <c r="Y142" s="34"/>
      <c r="Z142" s="34"/>
      <c r="AA142" s="34"/>
      <c r="AB142" s="34"/>
      <c r="AC142" s="34"/>
      <c r="AD142" s="34"/>
      <c r="AE142" s="34"/>
      <c r="AT142" s="19" t="s">
        <v>187</v>
      </c>
      <c r="AU142" s="19" t="s">
        <v>87</v>
      </c>
    </row>
    <row r="143" spans="1:65" s="2" customFormat="1">
      <c r="A143" s="34"/>
      <c r="B143" s="35"/>
      <c r="C143" s="34"/>
      <c r="D143" s="158" t="s">
        <v>189</v>
      </c>
      <c r="E143" s="34"/>
      <c r="F143" s="159" t="s">
        <v>3890</v>
      </c>
      <c r="G143" s="34"/>
      <c r="H143" s="34"/>
      <c r="I143" s="155"/>
      <c r="J143" s="34"/>
      <c r="K143" s="34"/>
      <c r="L143" s="35"/>
      <c r="M143" s="156"/>
      <c r="N143" s="157"/>
      <c r="O143" s="55"/>
      <c r="P143" s="55"/>
      <c r="Q143" s="55"/>
      <c r="R143" s="55"/>
      <c r="S143" s="55"/>
      <c r="T143" s="56"/>
      <c r="U143" s="34"/>
      <c r="V143" s="34"/>
      <c r="W143" s="34"/>
      <c r="X143" s="34"/>
      <c r="Y143" s="34"/>
      <c r="Z143" s="34"/>
      <c r="AA143" s="34"/>
      <c r="AB143" s="34"/>
      <c r="AC143" s="34"/>
      <c r="AD143" s="34"/>
      <c r="AE143" s="34"/>
      <c r="AT143" s="19" t="s">
        <v>189</v>
      </c>
      <c r="AU143" s="19" t="s">
        <v>87</v>
      </c>
    </row>
    <row r="144" spans="1:65" s="12" customFormat="1" ht="22.9" customHeight="1">
      <c r="B144" s="126"/>
      <c r="D144" s="127" t="s">
        <v>76</v>
      </c>
      <c r="E144" s="137" t="s">
        <v>252</v>
      </c>
      <c r="F144" s="137" t="s">
        <v>329</v>
      </c>
      <c r="I144" s="129"/>
      <c r="J144" s="138">
        <f>BK144</f>
        <v>0</v>
      </c>
      <c r="L144" s="126"/>
      <c r="M144" s="131"/>
      <c r="N144" s="132"/>
      <c r="O144" s="132"/>
      <c r="P144" s="133">
        <f>SUM(P145:P152)</f>
        <v>0</v>
      </c>
      <c r="Q144" s="132"/>
      <c r="R144" s="133">
        <f>SUM(R145:R152)</f>
        <v>2.3359999999999999E-2</v>
      </c>
      <c r="S144" s="132"/>
      <c r="T144" s="134">
        <f>SUM(T145:T152)</f>
        <v>0</v>
      </c>
      <c r="AR144" s="127" t="s">
        <v>85</v>
      </c>
      <c r="AT144" s="135" t="s">
        <v>76</v>
      </c>
      <c r="AU144" s="135" t="s">
        <v>85</v>
      </c>
      <c r="AY144" s="127" t="s">
        <v>177</v>
      </c>
      <c r="BK144" s="136">
        <f>SUM(BK145:BK152)</f>
        <v>0</v>
      </c>
    </row>
    <row r="145" spans="1:65" s="2" customFormat="1" ht="16.5" customHeight="1">
      <c r="A145" s="34"/>
      <c r="B145" s="139"/>
      <c r="C145" s="140" t="s">
        <v>271</v>
      </c>
      <c r="D145" s="140" t="s">
        <v>180</v>
      </c>
      <c r="E145" s="141" t="s">
        <v>3891</v>
      </c>
      <c r="F145" s="142" t="s">
        <v>3892</v>
      </c>
      <c r="G145" s="143" t="s">
        <v>236</v>
      </c>
      <c r="H145" s="144">
        <v>2</v>
      </c>
      <c r="I145" s="145"/>
      <c r="J145" s="146">
        <f>ROUND(I145*H145,2)</f>
        <v>0</v>
      </c>
      <c r="K145" s="142" t="s">
        <v>184</v>
      </c>
      <c r="L145" s="35"/>
      <c r="M145" s="147" t="s">
        <v>3</v>
      </c>
      <c r="N145" s="148" t="s">
        <v>48</v>
      </c>
      <c r="O145" s="55"/>
      <c r="P145" s="149">
        <f>O145*H145</f>
        <v>0</v>
      </c>
      <c r="Q145" s="149">
        <v>4.6800000000000001E-3</v>
      </c>
      <c r="R145" s="149">
        <f>Q145*H145</f>
        <v>9.3600000000000003E-3</v>
      </c>
      <c r="S145" s="149">
        <v>0</v>
      </c>
      <c r="T145" s="150">
        <f>S145*H145</f>
        <v>0</v>
      </c>
      <c r="U145" s="34"/>
      <c r="V145" s="34"/>
      <c r="W145" s="34"/>
      <c r="X145" s="34"/>
      <c r="Y145" s="34"/>
      <c r="Z145" s="34"/>
      <c r="AA145" s="34"/>
      <c r="AB145" s="34"/>
      <c r="AC145" s="34"/>
      <c r="AD145" s="34"/>
      <c r="AE145" s="34"/>
      <c r="AR145" s="151" t="s">
        <v>185</v>
      </c>
      <c r="AT145" s="151" t="s">
        <v>180</v>
      </c>
      <c r="AU145" s="151" t="s">
        <v>87</v>
      </c>
      <c r="AY145" s="19" t="s">
        <v>177</v>
      </c>
      <c r="BE145" s="152">
        <f>IF(N145="základní",J145,0)</f>
        <v>0</v>
      </c>
      <c r="BF145" s="152">
        <f>IF(N145="snížená",J145,0)</f>
        <v>0</v>
      </c>
      <c r="BG145" s="152">
        <f>IF(N145="zákl. přenesená",J145,0)</f>
        <v>0</v>
      </c>
      <c r="BH145" s="152">
        <f>IF(N145="sníž. přenesená",J145,0)</f>
        <v>0</v>
      </c>
      <c r="BI145" s="152">
        <f>IF(N145="nulová",J145,0)</f>
        <v>0</v>
      </c>
      <c r="BJ145" s="19" t="s">
        <v>85</v>
      </c>
      <c r="BK145" s="152">
        <f>ROUND(I145*H145,2)</f>
        <v>0</v>
      </c>
      <c r="BL145" s="19" t="s">
        <v>185</v>
      </c>
      <c r="BM145" s="151" t="s">
        <v>3893</v>
      </c>
    </row>
    <row r="146" spans="1:65" s="2" customFormat="1" ht="19.5">
      <c r="A146" s="34"/>
      <c r="B146" s="35"/>
      <c r="C146" s="34"/>
      <c r="D146" s="153" t="s">
        <v>187</v>
      </c>
      <c r="E146" s="34"/>
      <c r="F146" s="154" t="s">
        <v>3894</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187</v>
      </c>
      <c r="AU146" s="19" t="s">
        <v>87</v>
      </c>
    </row>
    <row r="147" spans="1:65" s="2" customFormat="1">
      <c r="A147" s="34"/>
      <c r="B147" s="35"/>
      <c r="C147" s="34"/>
      <c r="D147" s="158" t="s">
        <v>189</v>
      </c>
      <c r="E147" s="34"/>
      <c r="F147" s="159" t="s">
        <v>3895</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189</v>
      </c>
      <c r="AU147" s="19" t="s">
        <v>87</v>
      </c>
    </row>
    <row r="148" spans="1:65" s="2" customFormat="1" ht="68.25">
      <c r="A148" s="34"/>
      <c r="B148" s="35"/>
      <c r="C148" s="34"/>
      <c r="D148" s="153" t="s">
        <v>191</v>
      </c>
      <c r="E148" s="34"/>
      <c r="F148" s="160" t="s">
        <v>3141</v>
      </c>
      <c r="G148" s="34"/>
      <c r="H148" s="34"/>
      <c r="I148" s="155"/>
      <c r="J148" s="34"/>
      <c r="K148" s="34"/>
      <c r="L148" s="35"/>
      <c r="M148" s="156"/>
      <c r="N148" s="157"/>
      <c r="O148" s="55"/>
      <c r="P148" s="55"/>
      <c r="Q148" s="55"/>
      <c r="R148" s="55"/>
      <c r="S148" s="55"/>
      <c r="T148" s="56"/>
      <c r="U148" s="34"/>
      <c r="V148" s="34"/>
      <c r="W148" s="34"/>
      <c r="X148" s="34"/>
      <c r="Y148" s="34"/>
      <c r="Z148" s="34"/>
      <c r="AA148" s="34"/>
      <c r="AB148" s="34"/>
      <c r="AC148" s="34"/>
      <c r="AD148" s="34"/>
      <c r="AE148" s="34"/>
      <c r="AT148" s="19" t="s">
        <v>191</v>
      </c>
      <c r="AU148" s="19" t="s">
        <v>87</v>
      </c>
    </row>
    <row r="149" spans="1:65" s="2" customFormat="1" ht="16.5" customHeight="1">
      <c r="A149" s="34"/>
      <c r="B149" s="139"/>
      <c r="C149" s="195" t="s">
        <v>277</v>
      </c>
      <c r="D149" s="195" t="s">
        <v>484</v>
      </c>
      <c r="E149" s="196" t="s">
        <v>3896</v>
      </c>
      <c r="F149" s="197" t="s">
        <v>3897</v>
      </c>
      <c r="G149" s="198" t="s">
        <v>236</v>
      </c>
      <c r="H149" s="199">
        <v>2</v>
      </c>
      <c r="I149" s="200"/>
      <c r="J149" s="201">
        <f>ROUND(I149*H149,2)</f>
        <v>0</v>
      </c>
      <c r="K149" s="197" t="s">
        <v>244</v>
      </c>
      <c r="L149" s="202"/>
      <c r="M149" s="203" t="s">
        <v>3</v>
      </c>
      <c r="N149" s="204" t="s">
        <v>48</v>
      </c>
      <c r="O149" s="55"/>
      <c r="P149" s="149">
        <f>O149*H149</f>
        <v>0</v>
      </c>
      <c r="Q149" s="149">
        <v>7.0000000000000001E-3</v>
      </c>
      <c r="R149" s="149">
        <f>Q149*H149</f>
        <v>1.4E-2</v>
      </c>
      <c r="S149" s="149">
        <v>0</v>
      </c>
      <c r="T149" s="150">
        <f>S149*H149</f>
        <v>0</v>
      </c>
      <c r="U149" s="34"/>
      <c r="V149" s="34"/>
      <c r="W149" s="34"/>
      <c r="X149" s="34"/>
      <c r="Y149" s="34"/>
      <c r="Z149" s="34"/>
      <c r="AA149" s="34"/>
      <c r="AB149" s="34"/>
      <c r="AC149" s="34"/>
      <c r="AD149" s="34"/>
      <c r="AE149" s="34"/>
      <c r="AR149" s="151" t="s">
        <v>248</v>
      </c>
      <c r="AT149" s="151" t="s">
        <v>484</v>
      </c>
      <c r="AU149" s="151" t="s">
        <v>87</v>
      </c>
      <c r="AY149" s="19" t="s">
        <v>177</v>
      </c>
      <c r="BE149" s="152">
        <f>IF(N149="základní",J149,0)</f>
        <v>0</v>
      </c>
      <c r="BF149" s="152">
        <f>IF(N149="snížená",J149,0)</f>
        <v>0</v>
      </c>
      <c r="BG149" s="152">
        <f>IF(N149="zákl. přenesená",J149,0)</f>
        <v>0</v>
      </c>
      <c r="BH149" s="152">
        <f>IF(N149="sníž. přenesená",J149,0)</f>
        <v>0</v>
      </c>
      <c r="BI149" s="152">
        <f>IF(N149="nulová",J149,0)</f>
        <v>0</v>
      </c>
      <c r="BJ149" s="19" t="s">
        <v>85</v>
      </c>
      <c r="BK149" s="152">
        <f>ROUND(I149*H149,2)</f>
        <v>0</v>
      </c>
      <c r="BL149" s="19" t="s">
        <v>185</v>
      </c>
      <c r="BM149" s="151" t="s">
        <v>3898</v>
      </c>
    </row>
    <row r="150" spans="1:65" s="2" customFormat="1">
      <c r="A150" s="34"/>
      <c r="B150" s="35"/>
      <c r="C150" s="34"/>
      <c r="D150" s="153" t="s">
        <v>187</v>
      </c>
      <c r="E150" s="34"/>
      <c r="F150" s="154" t="s">
        <v>3897</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187</v>
      </c>
      <c r="AU150" s="19" t="s">
        <v>87</v>
      </c>
    </row>
    <row r="151" spans="1:65" s="2" customFormat="1" ht="16.5" customHeight="1">
      <c r="A151" s="34"/>
      <c r="B151" s="139"/>
      <c r="C151" s="140" t="s">
        <v>283</v>
      </c>
      <c r="D151" s="140" t="s">
        <v>180</v>
      </c>
      <c r="E151" s="141" t="s">
        <v>3825</v>
      </c>
      <c r="F151" s="142" t="s">
        <v>3826</v>
      </c>
      <c r="G151" s="143" t="s">
        <v>243</v>
      </c>
      <c r="H151" s="144">
        <v>1</v>
      </c>
      <c r="I151" s="145"/>
      <c r="J151" s="146">
        <f>ROUND(I151*H151,2)</f>
        <v>0</v>
      </c>
      <c r="K151" s="142" t="s">
        <v>244</v>
      </c>
      <c r="L151" s="35"/>
      <c r="M151" s="147" t="s">
        <v>3</v>
      </c>
      <c r="N151" s="148" t="s">
        <v>48</v>
      </c>
      <c r="O151" s="55"/>
      <c r="P151" s="149">
        <f>O151*H151</f>
        <v>0</v>
      </c>
      <c r="Q151" s="149">
        <v>0</v>
      </c>
      <c r="R151" s="149">
        <f>Q151*H151</f>
        <v>0</v>
      </c>
      <c r="S151" s="149">
        <v>0</v>
      </c>
      <c r="T151" s="150">
        <f>S151*H151</f>
        <v>0</v>
      </c>
      <c r="U151" s="34"/>
      <c r="V151" s="34"/>
      <c r="W151" s="34"/>
      <c r="X151" s="34"/>
      <c r="Y151" s="34"/>
      <c r="Z151" s="34"/>
      <c r="AA151" s="34"/>
      <c r="AB151" s="34"/>
      <c r="AC151" s="34"/>
      <c r="AD151" s="34"/>
      <c r="AE151" s="34"/>
      <c r="AR151" s="151" t="s">
        <v>237</v>
      </c>
      <c r="AT151" s="151" t="s">
        <v>180</v>
      </c>
      <c r="AU151" s="151" t="s">
        <v>87</v>
      </c>
      <c r="AY151" s="19" t="s">
        <v>177</v>
      </c>
      <c r="BE151" s="152">
        <f>IF(N151="základní",J151,0)</f>
        <v>0</v>
      </c>
      <c r="BF151" s="152">
        <f>IF(N151="snížená",J151,0)</f>
        <v>0</v>
      </c>
      <c r="BG151" s="152">
        <f>IF(N151="zákl. přenesená",J151,0)</f>
        <v>0</v>
      </c>
      <c r="BH151" s="152">
        <f>IF(N151="sníž. přenesená",J151,0)</f>
        <v>0</v>
      </c>
      <c r="BI151" s="152">
        <f>IF(N151="nulová",J151,0)</f>
        <v>0</v>
      </c>
      <c r="BJ151" s="19" t="s">
        <v>85</v>
      </c>
      <c r="BK151" s="152">
        <f>ROUND(I151*H151,2)</f>
        <v>0</v>
      </c>
      <c r="BL151" s="19" t="s">
        <v>237</v>
      </c>
      <c r="BM151" s="151" t="s">
        <v>3899</v>
      </c>
    </row>
    <row r="152" spans="1:65" s="2" customFormat="1">
      <c r="A152" s="34"/>
      <c r="B152" s="35"/>
      <c r="C152" s="34"/>
      <c r="D152" s="153" t="s">
        <v>187</v>
      </c>
      <c r="E152" s="34"/>
      <c r="F152" s="154" t="s">
        <v>3826</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187</v>
      </c>
      <c r="AU152" s="19" t="s">
        <v>87</v>
      </c>
    </row>
    <row r="153" spans="1:65" s="12" customFormat="1" ht="22.9" customHeight="1">
      <c r="B153" s="126"/>
      <c r="D153" s="127" t="s">
        <v>76</v>
      </c>
      <c r="E153" s="137" t="s">
        <v>518</v>
      </c>
      <c r="F153" s="137" t="s">
        <v>519</v>
      </c>
      <c r="I153" s="129"/>
      <c r="J153" s="138">
        <f>BK153</f>
        <v>0</v>
      </c>
      <c r="L153" s="126"/>
      <c r="M153" s="131"/>
      <c r="N153" s="132"/>
      <c r="O153" s="132"/>
      <c r="P153" s="133">
        <f>SUM(P154:P157)</f>
        <v>0</v>
      </c>
      <c r="Q153" s="132"/>
      <c r="R153" s="133">
        <f>SUM(R154:R157)</f>
        <v>0</v>
      </c>
      <c r="S153" s="132"/>
      <c r="T153" s="134">
        <f>SUM(T154:T157)</f>
        <v>0</v>
      </c>
      <c r="AR153" s="127" t="s">
        <v>85</v>
      </c>
      <c r="AT153" s="135" t="s">
        <v>76</v>
      </c>
      <c r="AU153" s="135" t="s">
        <v>85</v>
      </c>
      <c r="AY153" s="127" t="s">
        <v>177</v>
      </c>
      <c r="BK153" s="136">
        <f>SUM(BK154:BK157)</f>
        <v>0</v>
      </c>
    </row>
    <row r="154" spans="1:65" s="2" customFormat="1" ht="16.5" customHeight="1">
      <c r="A154" s="34"/>
      <c r="B154" s="139"/>
      <c r="C154" s="140" t="s">
        <v>9</v>
      </c>
      <c r="D154" s="140" t="s">
        <v>180</v>
      </c>
      <c r="E154" s="141" t="s">
        <v>521</v>
      </c>
      <c r="F154" s="142" t="s">
        <v>522</v>
      </c>
      <c r="G154" s="143" t="s">
        <v>183</v>
      </c>
      <c r="H154" s="144">
        <v>4.3049999999999997</v>
      </c>
      <c r="I154" s="145"/>
      <c r="J154" s="146">
        <f>ROUND(I154*H154,2)</f>
        <v>0</v>
      </c>
      <c r="K154" s="142" t="s">
        <v>184</v>
      </c>
      <c r="L154" s="35"/>
      <c r="M154" s="147" t="s">
        <v>3</v>
      </c>
      <c r="N154" s="148" t="s">
        <v>48</v>
      </c>
      <c r="O154" s="55"/>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185</v>
      </c>
      <c r="AT154" s="151" t="s">
        <v>180</v>
      </c>
      <c r="AU154" s="151" t="s">
        <v>87</v>
      </c>
      <c r="AY154" s="19" t="s">
        <v>177</v>
      </c>
      <c r="BE154" s="152">
        <f>IF(N154="základní",J154,0)</f>
        <v>0</v>
      </c>
      <c r="BF154" s="152">
        <f>IF(N154="snížená",J154,0)</f>
        <v>0</v>
      </c>
      <c r="BG154" s="152">
        <f>IF(N154="zákl. přenesená",J154,0)</f>
        <v>0</v>
      </c>
      <c r="BH154" s="152">
        <f>IF(N154="sníž. přenesená",J154,0)</f>
        <v>0</v>
      </c>
      <c r="BI154" s="152">
        <f>IF(N154="nulová",J154,0)</f>
        <v>0</v>
      </c>
      <c r="BJ154" s="19" t="s">
        <v>85</v>
      </c>
      <c r="BK154" s="152">
        <f>ROUND(I154*H154,2)</f>
        <v>0</v>
      </c>
      <c r="BL154" s="19" t="s">
        <v>185</v>
      </c>
      <c r="BM154" s="151" t="s">
        <v>3900</v>
      </c>
    </row>
    <row r="155" spans="1:65" s="2" customFormat="1" ht="19.5">
      <c r="A155" s="34"/>
      <c r="B155" s="35"/>
      <c r="C155" s="34"/>
      <c r="D155" s="153" t="s">
        <v>187</v>
      </c>
      <c r="E155" s="34"/>
      <c r="F155" s="154" t="s">
        <v>524</v>
      </c>
      <c r="G155" s="34"/>
      <c r="H155" s="34"/>
      <c r="I155" s="155"/>
      <c r="J155" s="34"/>
      <c r="K155" s="34"/>
      <c r="L155" s="35"/>
      <c r="M155" s="156"/>
      <c r="N155" s="157"/>
      <c r="O155" s="55"/>
      <c r="P155" s="55"/>
      <c r="Q155" s="55"/>
      <c r="R155" s="55"/>
      <c r="S155" s="55"/>
      <c r="T155" s="56"/>
      <c r="U155" s="34"/>
      <c r="V155" s="34"/>
      <c r="W155" s="34"/>
      <c r="X155" s="34"/>
      <c r="Y155" s="34"/>
      <c r="Z155" s="34"/>
      <c r="AA155" s="34"/>
      <c r="AB155" s="34"/>
      <c r="AC155" s="34"/>
      <c r="AD155" s="34"/>
      <c r="AE155" s="34"/>
      <c r="AT155" s="19" t="s">
        <v>187</v>
      </c>
      <c r="AU155" s="19" t="s">
        <v>87</v>
      </c>
    </row>
    <row r="156" spans="1:65" s="2" customFormat="1">
      <c r="A156" s="34"/>
      <c r="B156" s="35"/>
      <c r="C156" s="34"/>
      <c r="D156" s="158" t="s">
        <v>189</v>
      </c>
      <c r="E156" s="34"/>
      <c r="F156" s="159" t="s">
        <v>525</v>
      </c>
      <c r="G156" s="34"/>
      <c r="H156" s="34"/>
      <c r="I156" s="155"/>
      <c r="J156" s="34"/>
      <c r="K156" s="34"/>
      <c r="L156" s="35"/>
      <c r="M156" s="156"/>
      <c r="N156" s="157"/>
      <c r="O156" s="55"/>
      <c r="P156" s="55"/>
      <c r="Q156" s="55"/>
      <c r="R156" s="55"/>
      <c r="S156" s="55"/>
      <c r="T156" s="56"/>
      <c r="U156" s="34"/>
      <c r="V156" s="34"/>
      <c r="W156" s="34"/>
      <c r="X156" s="34"/>
      <c r="Y156" s="34"/>
      <c r="Z156" s="34"/>
      <c r="AA156" s="34"/>
      <c r="AB156" s="34"/>
      <c r="AC156" s="34"/>
      <c r="AD156" s="34"/>
      <c r="AE156" s="34"/>
      <c r="AT156" s="19" t="s">
        <v>189</v>
      </c>
      <c r="AU156" s="19" t="s">
        <v>87</v>
      </c>
    </row>
    <row r="157" spans="1:65" s="2" customFormat="1" ht="58.5">
      <c r="A157" s="34"/>
      <c r="B157" s="35"/>
      <c r="C157" s="34"/>
      <c r="D157" s="153" t="s">
        <v>191</v>
      </c>
      <c r="E157" s="34"/>
      <c r="F157" s="160" t="s">
        <v>526</v>
      </c>
      <c r="G157" s="34"/>
      <c r="H157" s="34"/>
      <c r="I157" s="155"/>
      <c r="J157" s="34"/>
      <c r="K157" s="34"/>
      <c r="L157" s="35"/>
      <c r="M157" s="156"/>
      <c r="N157" s="157"/>
      <c r="O157" s="55"/>
      <c r="P157" s="55"/>
      <c r="Q157" s="55"/>
      <c r="R157" s="55"/>
      <c r="S157" s="55"/>
      <c r="T157" s="56"/>
      <c r="U157" s="34"/>
      <c r="V157" s="34"/>
      <c r="W157" s="34"/>
      <c r="X157" s="34"/>
      <c r="Y157" s="34"/>
      <c r="Z157" s="34"/>
      <c r="AA157" s="34"/>
      <c r="AB157" s="34"/>
      <c r="AC157" s="34"/>
      <c r="AD157" s="34"/>
      <c r="AE157" s="34"/>
      <c r="AT157" s="19" t="s">
        <v>191</v>
      </c>
      <c r="AU157" s="19" t="s">
        <v>87</v>
      </c>
    </row>
    <row r="158" spans="1:65" s="12" customFormat="1" ht="25.9" customHeight="1">
      <c r="B158" s="126"/>
      <c r="D158" s="127" t="s">
        <v>76</v>
      </c>
      <c r="E158" s="128" t="s">
        <v>229</v>
      </c>
      <c r="F158" s="128" t="s">
        <v>230</v>
      </c>
      <c r="I158" s="129"/>
      <c r="J158" s="130">
        <f>BK158</f>
        <v>0</v>
      </c>
      <c r="L158" s="126"/>
      <c r="M158" s="131"/>
      <c r="N158" s="132"/>
      <c r="O158" s="132"/>
      <c r="P158" s="133">
        <f>P159+P247+P327+P404+P425+P428</f>
        <v>0</v>
      </c>
      <c r="Q158" s="132"/>
      <c r="R158" s="133">
        <f>R159+R247+R327+R404+R425+R428</f>
        <v>1.3989181684000005</v>
      </c>
      <c r="S158" s="132"/>
      <c r="T158" s="134">
        <f>T159+T247+T327+T404+T425+T428</f>
        <v>1.8000000000000002E-3</v>
      </c>
      <c r="AR158" s="127" t="s">
        <v>87</v>
      </c>
      <c r="AT158" s="135" t="s">
        <v>76</v>
      </c>
      <c r="AU158" s="135" t="s">
        <v>77</v>
      </c>
      <c r="AY158" s="127" t="s">
        <v>177</v>
      </c>
      <c r="BK158" s="136">
        <f>BK159+BK247+BK327+BK404+BK425+BK428</f>
        <v>0</v>
      </c>
    </row>
    <row r="159" spans="1:65" s="12" customFormat="1" ht="22.9" customHeight="1">
      <c r="B159" s="126"/>
      <c r="D159" s="127" t="s">
        <v>76</v>
      </c>
      <c r="E159" s="137" t="s">
        <v>231</v>
      </c>
      <c r="F159" s="137" t="s">
        <v>232</v>
      </c>
      <c r="I159" s="129"/>
      <c r="J159" s="138">
        <f>BK159</f>
        <v>0</v>
      </c>
      <c r="L159" s="126"/>
      <c r="M159" s="131"/>
      <c r="N159" s="132"/>
      <c r="O159" s="132"/>
      <c r="P159" s="133">
        <f>SUM(P160:P246)</f>
        <v>0</v>
      </c>
      <c r="Q159" s="132"/>
      <c r="R159" s="133">
        <f>SUM(R160:R246)</f>
        <v>0.38650512000000009</v>
      </c>
      <c r="S159" s="132"/>
      <c r="T159" s="134">
        <f>SUM(T160:T246)</f>
        <v>0</v>
      </c>
      <c r="AR159" s="127" t="s">
        <v>87</v>
      </c>
      <c r="AT159" s="135" t="s">
        <v>76</v>
      </c>
      <c r="AU159" s="135" t="s">
        <v>85</v>
      </c>
      <c r="AY159" s="127" t="s">
        <v>177</v>
      </c>
      <c r="BK159" s="136">
        <f>SUM(BK160:BK246)</f>
        <v>0</v>
      </c>
    </row>
    <row r="160" spans="1:65" s="2" customFormat="1" ht="16.5" customHeight="1">
      <c r="A160" s="34"/>
      <c r="B160" s="139"/>
      <c r="C160" s="140" t="s">
        <v>237</v>
      </c>
      <c r="D160" s="140" t="s">
        <v>180</v>
      </c>
      <c r="E160" s="141" t="s">
        <v>3901</v>
      </c>
      <c r="F160" s="142" t="s">
        <v>3902</v>
      </c>
      <c r="G160" s="143" t="s">
        <v>476</v>
      </c>
      <c r="H160" s="144">
        <v>14.8</v>
      </c>
      <c r="I160" s="145"/>
      <c r="J160" s="146">
        <f>ROUND(I160*H160,2)</f>
        <v>0</v>
      </c>
      <c r="K160" s="142" t="s">
        <v>184</v>
      </c>
      <c r="L160" s="35"/>
      <c r="M160" s="147" t="s">
        <v>3</v>
      </c>
      <c r="N160" s="148" t="s">
        <v>48</v>
      </c>
      <c r="O160" s="55"/>
      <c r="P160" s="149">
        <f>O160*H160</f>
        <v>0</v>
      </c>
      <c r="Q160" s="149">
        <v>1.232225E-2</v>
      </c>
      <c r="R160" s="149">
        <f>Q160*H160</f>
        <v>0.18236930000000001</v>
      </c>
      <c r="S160" s="149">
        <v>0</v>
      </c>
      <c r="T160" s="150">
        <f>S160*H160</f>
        <v>0</v>
      </c>
      <c r="U160" s="34"/>
      <c r="V160" s="34"/>
      <c r="W160" s="34"/>
      <c r="X160" s="34"/>
      <c r="Y160" s="34"/>
      <c r="Z160" s="34"/>
      <c r="AA160" s="34"/>
      <c r="AB160" s="34"/>
      <c r="AC160" s="34"/>
      <c r="AD160" s="34"/>
      <c r="AE160" s="34"/>
      <c r="AR160" s="151" t="s">
        <v>237</v>
      </c>
      <c r="AT160" s="151" t="s">
        <v>180</v>
      </c>
      <c r="AU160" s="151" t="s">
        <v>87</v>
      </c>
      <c r="AY160" s="19" t="s">
        <v>177</v>
      </c>
      <c r="BE160" s="152">
        <f>IF(N160="základní",J160,0)</f>
        <v>0</v>
      </c>
      <c r="BF160" s="152">
        <f>IF(N160="snížená",J160,0)</f>
        <v>0</v>
      </c>
      <c r="BG160" s="152">
        <f>IF(N160="zákl. přenesená",J160,0)</f>
        <v>0</v>
      </c>
      <c r="BH160" s="152">
        <f>IF(N160="sníž. přenesená",J160,0)</f>
        <v>0</v>
      </c>
      <c r="BI160" s="152">
        <f>IF(N160="nulová",J160,0)</f>
        <v>0</v>
      </c>
      <c r="BJ160" s="19" t="s">
        <v>85</v>
      </c>
      <c r="BK160" s="152">
        <f>ROUND(I160*H160,2)</f>
        <v>0</v>
      </c>
      <c r="BL160" s="19" t="s">
        <v>237</v>
      </c>
      <c r="BM160" s="151" t="s">
        <v>3903</v>
      </c>
    </row>
    <row r="161" spans="1:65" s="2" customFormat="1">
      <c r="A161" s="34"/>
      <c r="B161" s="35"/>
      <c r="C161" s="34"/>
      <c r="D161" s="153" t="s">
        <v>187</v>
      </c>
      <c r="E161" s="34"/>
      <c r="F161" s="154" t="s">
        <v>3904</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187</v>
      </c>
      <c r="AU161" s="19" t="s">
        <v>87</v>
      </c>
    </row>
    <row r="162" spans="1:65" s="2" customFormat="1">
      <c r="A162" s="34"/>
      <c r="B162" s="35"/>
      <c r="C162" s="34"/>
      <c r="D162" s="158" t="s">
        <v>189</v>
      </c>
      <c r="E162" s="34"/>
      <c r="F162" s="159" t="s">
        <v>3905</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189</v>
      </c>
      <c r="AU162" s="19" t="s">
        <v>87</v>
      </c>
    </row>
    <row r="163" spans="1:65" s="2" customFormat="1" ht="29.25">
      <c r="A163" s="34"/>
      <c r="B163" s="35"/>
      <c r="C163" s="34"/>
      <c r="D163" s="153" t="s">
        <v>191</v>
      </c>
      <c r="E163" s="34"/>
      <c r="F163" s="160" t="s">
        <v>3906</v>
      </c>
      <c r="G163" s="34"/>
      <c r="H163" s="34"/>
      <c r="I163" s="155"/>
      <c r="J163" s="34"/>
      <c r="K163" s="34"/>
      <c r="L163" s="35"/>
      <c r="M163" s="156"/>
      <c r="N163" s="157"/>
      <c r="O163" s="55"/>
      <c r="P163" s="55"/>
      <c r="Q163" s="55"/>
      <c r="R163" s="55"/>
      <c r="S163" s="55"/>
      <c r="T163" s="56"/>
      <c r="U163" s="34"/>
      <c r="V163" s="34"/>
      <c r="W163" s="34"/>
      <c r="X163" s="34"/>
      <c r="Y163" s="34"/>
      <c r="Z163" s="34"/>
      <c r="AA163" s="34"/>
      <c r="AB163" s="34"/>
      <c r="AC163" s="34"/>
      <c r="AD163" s="34"/>
      <c r="AE163" s="34"/>
      <c r="AT163" s="19" t="s">
        <v>191</v>
      </c>
      <c r="AU163" s="19" t="s">
        <v>87</v>
      </c>
    </row>
    <row r="164" spans="1:65" s="13" customFormat="1">
      <c r="B164" s="161"/>
      <c r="D164" s="153" t="s">
        <v>193</v>
      </c>
      <c r="E164" s="162" t="s">
        <v>3</v>
      </c>
      <c r="F164" s="163" t="s">
        <v>3907</v>
      </c>
      <c r="H164" s="164">
        <v>14.8</v>
      </c>
      <c r="I164" s="165"/>
      <c r="L164" s="161"/>
      <c r="M164" s="166"/>
      <c r="N164" s="167"/>
      <c r="O164" s="167"/>
      <c r="P164" s="167"/>
      <c r="Q164" s="167"/>
      <c r="R164" s="167"/>
      <c r="S164" s="167"/>
      <c r="T164" s="168"/>
      <c r="AT164" s="162" t="s">
        <v>193</v>
      </c>
      <c r="AU164" s="162" t="s">
        <v>87</v>
      </c>
      <c r="AV164" s="13" t="s">
        <v>87</v>
      </c>
      <c r="AW164" s="13" t="s">
        <v>36</v>
      </c>
      <c r="AX164" s="13" t="s">
        <v>85</v>
      </c>
      <c r="AY164" s="162" t="s">
        <v>177</v>
      </c>
    </row>
    <row r="165" spans="1:65" s="2" customFormat="1" ht="16.5" customHeight="1">
      <c r="A165" s="34"/>
      <c r="B165" s="139"/>
      <c r="C165" s="140" t="s">
        <v>302</v>
      </c>
      <c r="D165" s="140" t="s">
        <v>180</v>
      </c>
      <c r="E165" s="141" t="s">
        <v>3908</v>
      </c>
      <c r="F165" s="142" t="s">
        <v>3909</v>
      </c>
      <c r="G165" s="143" t="s">
        <v>476</v>
      </c>
      <c r="H165" s="144">
        <v>2</v>
      </c>
      <c r="I165" s="145"/>
      <c r="J165" s="146">
        <f>ROUND(I165*H165,2)</f>
        <v>0</v>
      </c>
      <c r="K165" s="142" t="s">
        <v>184</v>
      </c>
      <c r="L165" s="35"/>
      <c r="M165" s="147" t="s">
        <v>3</v>
      </c>
      <c r="N165" s="148" t="s">
        <v>48</v>
      </c>
      <c r="O165" s="55"/>
      <c r="P165" s="149">
        <f>O165*H165</f>
        <v>0</v>
      </c>
      <c r="Q165" s="149">
        <v>7.1290000000000004E-4</v>
      </c>
      <c r="R165" s="149">
        <f>Q165*H165</f>
        <v>1.4258000000000001E-3</v>
      </c>
      <c r="S165" s="149">
        <v>0</v>
      </c>
      <c r="T165" s="150">
        <f>S165*H165</f>
        <v>0</v>
      </c>
      <c r="U165" s="34"/>
      <c r="V165" s="34"/>
      <c r="W165" s="34"/>
      <c r="X165" s="34"/>
      <c r="Y165" s="34"/>
      <c r="Z165" s="34"/>
      <c r="AA165" s="34"/>
      <c r="AB165" s="34"/>
      <c r="AC165" s="34"/>
      <c r="AD165" s="34"/>
      <c r="AE165" s="34"/>
      <c r="AR165" s="151" t="s">
        <v>237</v>
      </c>
      <c r="AT165" s="151" t="s">
        <v>180</v>
      </c>
      <c r="AU165" s="151" t="s">
        <v>87</v>
      </c>
      <c r="AY165" s="19" t="s">
        <v>177</v>
      </c>
      <c r="BE165" s="152">
        <f>IF(N165="základní",J165,0)</f>
        <v>0</v>
      </c>
      <c r="BF165" s="152">
        <f>IF(N165="snížená",J165,0)</f>
        <v>0</v>
      </c>
      <c r="BG165" s="152">
        <f>IF(N165="zákl. přenesená",J165,0)</f>
        <v>0</v>
      </c>
      <c r="BH165" s="152">
        <f>IF(N165="sníž. přenesená",J165,0)</f>
        <v>0</v>
      </c>
      <c r="BI165" s="152">
        <f>IF(N165="nulová",J165,0)</f>
        <v>0</v>
      </c>
      <c r="BJ165" s="19" t="s">
        <v>85</v>
      </c>
      <c r="BK165" s="152">
        <f>ROUND(I165*H165,2)</f>
        <v>0</v>
      </c>
      <c r="BL165" s="19" t="s">
        <v>237</v>
      </c>
      <c r="BM165" s="151" t="s">
        <v>3910</v>
      </c>
    </row>
    <row r="166" spans="1:65" s="2" customFormat="1">
      <c r="A166" s="34"/>
      <c r="B166" s="35"/>
      <c r="C166" s="34"/>
      <c r="D166" s="153" t="s">
        <v>187</v>
      </c>
      <c r="E166" s="34"/>
      <c r="F166" s="154" t="s">
        <v>3911</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187</v>
      </c>
      <c r="AU166" s="19" t="s">
        <v>87</v>
      </c>
    </row>
    <row r="167" spans="1:65" s="2" customFormat="1">
      <c r="A167" s="34"/>
      <c r="B167" s="35"/>
      <c r="C167" s="34"/>
      <c r="D167" s="158" t="s">
        <v>189</v>
      </c>
      <c r="E167" s="34"/>
      <c r="F167" s="159" t="s">
        <v>3912</v>
      </c>
      <c r="G167" s="34"/>
      <c r="H167" s="34"/>
      <c r="I167" s="155"/>
      <c r="J167" s="34"/>
      <c r="K167" s="34"/>
      <c r="L167" s="35"/>
      <c r="M167" s="156"/>
      <c r="N167" s="157"/>
      <c r="O167" s="55"/>
      <c r="P167" s="55"/>
      <c r="Q167" s="55"/>
      <c r="R167" s="55"/>
      <c r="S167" s="55"/>
      <c r="T167" s="56"/>
      <c r="U167" s="34"/>
      <c r="V167" s="34"/>
      <c r="W167" s="34"/>
      <c r="X167" s="34"/>
      <c r="Y167" s="34"/>
      <c r="Z167" s="34"/>
      <c r="AA167" s="34"/>
      <c r="AB167" s="34"/>
      <c r="AC167" s="34"/>
      <c r="AD167" s="34"/>
      <c r="AE167" s="34"/>
      <c r="AT167" s="19" t="s">
        <v>189</v>
      </c>
      <c r="AU167" s="19" t="s">
        <v>87</v>
      </c>
    </row>
    <row r="168" spans="1:65" s="2" customFormat="1" ht="39">
      <c r="A168" s="34"/>
      <c r="B168" s="35"/>
      <c r="C168" s="34"/>
      <c r="D168" s="153" t="s">
        <v>191</v>
      </c>
      <c r="E168" s="34"/>
      <c r="F168" s="160" t="s">
        <v>3913</v>
      </c>
      <c r="G168" s="34"/>
      <c r="H168" s="34"/>
      <c r="I168" s="155"/>
      <c r="J168" s="34"/>
      <c r="K168" s="34"/>
      <c r="L168" s="35"/>
      <c r="M168" s="156"/>
      <c r="N168" s="157"/>
      <c r="O168" s="55"/>
      <c r="P168" s="55"/>
      <c r="Q168" s="55"/>
      <c r="R168" s="55"/>
      <c r="S168" s="55"/>
      <c r="T168" s="56"/>
      <c r="U168" s="34"/>
      <c r="V168" s="34"/>
      <c r="W168" s="34"/>
      <c r="X168" s="34"/>
      <c r="Y168" s="34"/>
      <c r="Z168" s="34"/>
      <c r="AA168" s="34"/>
      <c r="AB168" s="34"/>
      <c r="AC168" s="34"/>
      <c r="AD168" s="34"/>
      <c r="AE168" s="34"/>
      <c r="AT168" s="19" t="s">
        <v>191</v>
      </c>
      <c r="AU168" s="19" t="s">
        <v>87</v>
      </c>
    </row>
    <row r="169" spans="1:65" s="2" customFormat="1" ht="16.5" customHeight="1">
      <c r="A169" s="34"/>
      <c r="B169" s="139"/>
      <c r="C169" s="140" t="s">
        <v>315</v>
      </c>
      <c r="D169" s="140" t="s">
        <v>180</v>
      </c>
      <c r="E169" s="141" t="s">
        <v>3914</v>
      </c>
      <c r="F169" s="142" t="s">
        <v>3915</v>
      </c>
      <c r="G169" s="143" t="s">
        <v>476</v>
      </c>
      <c r="H169" s="144">
        <v>9.5500000000000007</v>
      </c>
      <c r="I169" s="145"/>
      <c r="J169" s="146">
        <f>ROUND(I169*H169,2)</f>
        <v>0</v>
      </c>
      <c r="K169" s="142" t="s">
        <v>184</v>
      </c>
      <c r="L169" s="35"/>
      <c r="M169" s="147" t="s">
        <v>3</v>
      </c>
      <c r="N169" s="148" t="s">
        <v>48</v>
      </c>
      <c r="O169" s="55"/>
      <c r="P169" s="149">
        <f>O169*H169</f>
        <v>0</v>
      </c>
      <c r="Q169" s="149">
        <v>1.5535E-3</v>
      </c>
      <c r="R169" s="149">
        <f>Q169*H169</f>
        <v>1.4835925000000002E-2</v>
      </c>
      <c r="S169" s="149">
        <v>0</v>
      </c>
      <c r="T169" s="150">
        <f>S169*H169</f>
        <v>0</v>
      </c>
      <c r="U169" s="34"/>
      <c r="V169" s="34"/>
      <c r="W169" s="34"/>
      <c r="X169" s="34"/>
      <c r="Y169" s="34"/>
      <c r="Z169" s="34"/>
      <c r="AA169" s="34"/>
      <c r="AB169" s="34"/>
      <c r="AC169" s="34"/>
      <c r="AD169" s="34"/>
      <c r="AE169" s="34"/>
      <c r="AR169" s="151" t="s">
        <v>237</v>
      </c>
      <c r="AT169" s="151" t="s">
        <v>180</v>
      </c>
      <c r="AU169" s="151" t="s">
        <v>87</v>
      </c>
      <c r="AY169" s="19" t="s">
        <v>177</v>
      </c>
      <c r="BE169" s="152">
        <f>IF(N169="základní",J169,0)</f>
        <v>0</v>
      </c>
      <c r="BF169" s="152">
        <f>IF(N169="snížená",J169,0)</f>
        <v>0</v>
      </c>
      <c r="BG169" s="152">
        <f>IF(N169="zákl. přenesená",J169,0)</f>
        <v>0</v>
      </c>
      <c r="BH169" s="152">
        <f>IF(N169="sníž. přenesená",J169,0)</f>
        <v>0</v>
      </c>
      <c r="BI169" s="152">
        <f>IF(N169="nulová",J169,0)</f>
        <v>0</v>
      </c>
      <c r="BJ169" s="19" t="s">
        <v>85</v>
      </c>
      <c r="BK169" s="152">
        <f>ROUND(I169*H169,2)</f>
        <v>0</v>
      </c>
      <c r="BL169" s="19" t="s">
        <v>237</v>
      </c>
      <c r="BM169" s="151" t="s">
        <v>3916</v>
      </c>
    </row>
    <row r="170" spans="1:65" s="2" customFormat="1">
      <c r="A170" s="34"/>
      <c r="B170" s="35"/>
      <c r="C170" s="34"/>
      <c r="D170" s="153" t="s">
        <v>187</v>
      </c>
      <c r="E170" s="34"/>
      <c r="F170" s="154" t="s">
        <v>3917</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187</v>
      </c>
      <c r="AU170" s="19" t="s">
        <v>87</v>
      </c>
    </row>
    <row r="171" spans="1:65" s="2" customFormat="1">
      <c r="A171" s="34"/>
      <c r="B171" s="35"/>
      <c r="C171" s="34"/>
      <c r="D171" s="158" t="s">
        <v>189</v>
      </c>
      <c r="E171" s="34"/>
      <c r="F171" s="159" t="s">
        <v>3918</v>
      </c>
      <c r="G171" s="34"/>
      <c r="H171" s="34"/>
      <c r="I171" s="155"/>
      <c r="J171" s="34"/>
      <c r="K171" s="34"/>
      <c r="L171" s="35"/>
      <c r="M171" s="156"/>
      <c r="N171" s="157"/>
      <c r="O171" s="55"/>
      <c r="P171" s="55"/>
      <c r="Q171" s="55"/>
      <c r="R171" s="55"/>
      <c r="S171" s="55"/>
      <c r="T171" s="56"/>
      <c r="U171" s="34"/>
      <c r="V171" s="34"/>
      <c r="W171" s="34"/>
      <c r="X171" s="34"/>
      <c r="Y171" s="34"/>
      <c r="Z171" s="34"/>
      <c r="AA171" s="34"/>
      <c r="AB171" s="34"/>
      <c r="AC171" s="34"/>
      <c r="AD171" s="34"/>
      <c r="AE171" s="34"/>
      <c r="AT171" s="19" t="s">
        <v>189</v>
      </c>
      <c r="AU171" s="19" t="s">
        <v>87</v>
      </c>
    </row>
    <row r="172" spans="1:65" s="2" customFormat="1" ht="39">
      <c r="A172" s="34"/>
      <c r="B172" s="35"/>
      <c r="C172" s="34"/>
      <c r="D172" s="153" t="s">
        <v>191</v>
      </c>
      <c r="E172" s="34"/>
      <c r="F172" s="160" t="s">
        <v>3913</v>
      </c>
      <c r="G172" s="34"/>
      <c r="H172" s="34"/>
      <c r="I172" s="155"/>
      <c r="J172" s="34"/>
      <c r="K172" s="34"/>
      <c r="L172" s="35"/>
      <c r="M172" s="156"/>
      <c r="N172" s="157"/>
      <c r="O172" s="55"/>
      <c r="P172" s="55"/>
      <c r="Q172" s="55"/>
      <c r="R172" s="55"/>
      <c r="S172" s="55"/>
      <c r="T172" s="56"/>
      <c r="U172" s="34"/>
      <c r="V172" s="34"/>
      <c r="W172" s="34"/>
      <c r="X172" s="34"/>
      <c r="Y172" s="34"/>
      <c r="Z172" s="34"/>
      <c r="AA172" s="34"/>
      <c r="AB172" s="34"/>
      <c r="AC172" s="34"/>
      <c r="AD172" s="34"/>
      <c r="AE172" s="34"/>
      <c r="AT172" s="19" t="s">
        <v>191</v>
      </c>
      <c r="AU172" s="19" t="s">
        <v>87</v>
      </c>
    </row>
    <row r="173" spans="1:65" s="2" customFormat="1" ht="16.5" customHeight="1">
      <c r="A173" s="34"/>
      <c r="B173" s="139"/>
      <c r="C173" s="140" t="s">
        <v>461</v>
      </c>
      <c r="D173" s="140" t="s">
        <v>180</v>
      </c>
      <c r="E173" s="141" t="s">
        <v>3919</v>
      </c>
      <c r="F173" s="142" t="s">
        <v>3920</v>
      </c>
      <c r="G173" s="143" t="s">
        <v>476</v>
      </c>
      <c r="H173" s="144">
        <v>32.35</v>
      </c>
      <c r="I173" s="145"/>
      <c r="J173" s="146">
        <f>ROUND(I173*H173,2)</f>
        <v>0</v>
      </c>
      <c r="K173" s="142" t="s">
        <v>184</v>
      </c>
      <c r="L173" s="35"/>
      <c r="M173" s="147" t="s">
        <v>3</v>
      </c>
      <c r="N173" s="148" t="s">
        <v>48</v>
      </c>
      <c r="O173" s="55"/>
      <c r="P173" s="149">
        <f>O173*H173</f>
        <v>0</v>
      </c>
      <c r="Q173" s="149">
        <v>1.9095E-3</v>
      </c>
      <c r="R173" s="149">
        <f>Q173*H173</f>
        <v>6.1772325000000003E-2</v>
      </c>
      <c r="S173" s="149">
        <v>0</v>
      </c>
      <c r="T173" s="150">
        <f>S173*H173</f>
        <v>0</v>
      </c>
      <c r="U173" s="34"/>
      <c r="V173" s="34"/>
      <c r="W173" s="34"/>
      <c r="X173" s="34"/>
      <c r="Y173" s="34"/>
      <c r="Z173" s="34"/>
      <c r="AA173" s="34"/>
      <c r="AB173" s="34"/>
      <c r="AC173" s="34"/>
      <c r="AD173" s="34"/>
      <c r="AE173" s="34"/>
      <c r="AR173" s="151" t="s">
        <v>237</v>
      </c>
      <c r="AT173" s="151" t="s">
        <v>180</v>
      </c>
      <c r="AU173" s="151" t="s">
        <v>87</v>
      </c>
      <c r="AY173" s="19" t="s">
        <v>177</v>
      </c>
      <c r="BE173" s="152">
        <f>IF(N173="základní",J173,0)</f>
        <v>0</v>
      </c>
      <c r="BF173" s="152">
        <f>IF(N173="snížená",J173,0)</f>
        <v>0</v>
      </c>
      <c r="BG173" s="152">
        <f>IF(N173="zákl. přenesená",J173,0)</f>
        <v>0</v>
      </c>
      <c r="BH173" s="152">
        <f>IF(N173="sníž. přenesená",J173,0)</f>
        <v>0</v>
      </c>
      <c r="BI173" s="152">
        <f>IF(N173="nulová",J173,0)</f>
        <v>0</v>
      </c>
      <c r="BJ173" s="19" t="s">
        <v>85</v>
      </c>
      <c r="BK173" s="152">
        <f>ROUND(I173*H173,2)</f>
        <v>0</v>
      </c>
      <c r="BL173" s="19" t="s">
        <v>237</v>
      </c>
      <c r="BM173" s="151" t="s">
        <v>3921</v>
      </c>
    </row>
    <row r="174" spans="1:65" s="2" customFormat="1">
      <c r="A174" s="34"/>
      <c r="B174" s="35"/>
      <c r="C174" s="34"/>
      <c r="D174" s="153" t="s">
        <v>187</v>
      </c>
      <c r="E174" s="34"/>
      <c r="F174" s="154" t="s">
        <v>3922</v>
      </c>
      <c r="G174" s="34"/>
      <c r="H174" s="34"/>
      <c r="I174" s="155"/>
      <c r="J174" s="34"/>
      <c r="K174" s="34"/>
      <c r="L174" s="35"/>
      <c r="M174" s="156"/>
      <c r="N174" s="157"/>
      <c r="O174" s="55"/>
      <c r="P174" s="55"/>
      <c r="Q174" s="55"/>
      <c r="R174" s="55"/>
      <c r="S174" s="55"/>
      <c r="T174" s="56"/>
      <c r="U174" s="34"/>
      <c r="V174" s="34"/>
      <c r="W174" s="34"/>
      <c r="X174" s="34"/>
      <c r="Y174" s="34"/>
      <c r="Z174" s="34"/>
      <c r="AA174" s="34"/>
      <c r="AB174" s="34"/>
      <c r="AC174" s="34"/>
      <c r="AD174" s="34"/>
      <c r="AE174" s="34"/>
      <c r="AT174" s="19" t="s">
        <v>187</v>
      </c>
      <c r="AU174" s="19" t="s">
        <v>87</v>
      </c>
    </row>
    <row r="175" spans="1:65" s="2" customFormat="1">
      <c r="A175" s="34"/>
      <c r="B175" s="35"/>
      <c r="C175" s="34"/>
      <c r="D175" s="158" t="s">
        <v>189</v>
      </c>
      <c r="E175" s="34"/>
      <c r="F175" s="159" t="s">
        <v>3923</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189</v>
      </c>
      <c r="AU175" s="19" t="s">
        <v>87</v>
      </c>
    </row>
    <row r="176" spans="1:65" s="2" customFormat="1" ht="39">
      <c r="A176" s="34"/>
      <c r="B176" s="35"/>
      <c r="C176" s="34"/>
      <c r="D176" s="153" t="s">
        <v>191</v>
      </c>
      <c r="E176" s="34"/>
      <c r="F176" s="160" t="s">
        <v>3913</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191</v>
      </c>
      <c r="AU176" s="19" t="s">
        <v>87</v>
      </c>
    </row>
    <row r="177" spans="1:65" s="2" customFormat="1" ht="16.5" customHeight="1">
      <c r="A177" s="34"/>
      <c r="B177" s="139"/>
      <c r="C177" s="140" t="s">
        <v>467</v>
      </c>
      <c r="D177" s="140" t="s">
        <v>180</v>
      </c>
      <c r="E177" s="141" t="s">
        <v>3924</v>
      </c>
      <c r="F177" s="142" t="s">
        <v>3925</v>
      </c>
      <c r="G177" s="143" t="s">
        <v>476</v>
      </c>
      <c r="H177" s="144">
        <v>8.1</v>
      </c>
      <c r="I177" s="145"/>
      <c r="J177" s="146">
        <f>ROUND(I177*H177,2)</f>
        <v>0</v>
      </c>
      <c r="K177" s="142" t="s">
        <v>184</v>
      </c>
      <c r="L177" s="35"/>
      <c r="M177" s="147" t="s">
        <v>3</v>
      </c>
      <c r="N177" s="148" t="s">
        <v>48</v>
      </c>
      <c r="O177" s="55"/>
      <c r="P177" s="149">
        <f>O177*H177</f>
        <v>0</v>
      </c>
      <c r="Q177" s="149">
        <v>5.8679999999999995E-4</v>
      </c>
      <c r="R177" s="149">
        <f>Q177*H177</f>
        <v>4.7530799999999998E-3</v>
      </c>
      <c r="S177" s="149">
        <v>0</v>
      </c>
      <c r="T177" s="150">
        <f>S177*H177</f>
        <v>0</v>
      </c>
      <c r="U177" s="34"/>
      <c r="V177" s="34"/>
      <c r="W177" s="34"/>
      <c r="X177" s="34"/>
      <c r="Y177" s="34"/>
      <c r="Z177" s="34"/>
      <c r="AA177" s="34"/>
      <c r="AB177" s="34"/>
      <c r="AC177" s="34"/>
      <c r="AD177" s="34"/>
      <c r="AE177" s="34"/>
      <c r="AR177" s="151" t="s">
        <v>237</v>
      </c>
      <c r="AT177" s="151" t="s">
        <v>180</v>
      </c>
      <c r="AU177" s="151" t="s">
        <v>87</v>
      </c>
      <c r="AY177" s="19" t="s">
        <v>177</v>
      </c>
      <c r="BE177" s="152">
        <f>IF(N177="základní",J177,0)</f>
        <v>0</v>
      </c>
      <c r="BF177" s="152">
        <f>IF(N177="snížená",J177,0)</f>
        <v>0</v>
      </c>
      <c r="BG177" s="152">
        <f>IF(N177="zákl. přenesená",J177,0)</f>
        <v>0</v>
      </c>
      <c r="BH177" s="152">
        <f>IF(N177="sníž. přenesená",J177,0)</f>
        <v>0</v>
      </c>
      <c r="BI177" s="152">
        <f>IF(N177="nulová",J177,0)</f>
        <v>0</v>
      </c>
      <c r="BJ177" s="19" t="s">
        <v>85</v>
      </c>
      <c r="BK177" s="152">
        <f>ROUND(I177*H177,2)</f>
        <v>0</v>
      </c>
      <c r="BL177" s="19" t="s">
        <v>237</v>
      </c>
      <c r="BM177" s="151" t="s">
        <v>3926</v>
      </c>
    </row>
    <row r="178" spans="1:65" s="2" customFormat="1">
      <c r="A178" s="34"/>
      <c r="B178" s="35"/>
      <c r="C178" s="34"/>
      <c r="D178" s="153" t="s">
        <v>187</v>
      </c>
      <c r="E178" s="34"/>
      <c r="F178" s="154" t="s">
        <v>3927</v>
      </c>
      <c r="G178" s="34"/>
      <c r="H178" s="34"/>
      <c r="I178" s="155"/>
      <c r="J178" s="34"/>
      <c r="K178" s="34"/>
      <c r="L178" s="35"/>
      <c r="M178" s="156"/>
      <c r="N178" s="157"/>
      <c r="O178" s="55"/>
      <c r="P178" s="55"/>
      <c r="Q178" s="55"/>
      <c r="R178" s="55"/>
      <c r="S178" s="55"/>
      <c r="T178" s="56"/>
      <c r="U178" s="34"/>
      <c r="V178" s="34"/>
      <c r="W178" s="34"/>
      <c r="X178" s="34"/>
      <c r="Y178" s="34"/>
      <c r="Z178" s="34"/>
      <c r="AA178" s="34"/>
      <c r="AB178" s="34"/>
      <c r="AC178" s="34"/>
      <c r="AD178" s="34"/>
      <c r="AE178" s="34"/>
      <c r="AT178" s="19" t="s">
        <v>187</v>
      </c>
      <c r="AU178" s="19" t="s">
        <v>87</v>
      </c>
    </row>
    <row r="179" spans="1:65" s="2" customFormat="1">
      <c r="A179" s="34"/>
      <c r="B179" s="35"/>
      <c r="C179" s="34"/>
      <c r="D179" s="158" t="s">
        <v>189</v>
      </c>
      <c r="E179" s="34"/>
      <c r="F179" s="159" t="s">
        <v>3928</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189</v>
      </c>
      <c r="AU179" s="19" t="s">
        <v>87</v>
      </c>
    </row>
    <row r="180" spans="1:65" s="2" customFormat="1" ht="39">
      <c r="A180" s="34"/>
      <c r="B180" s="35"/>
      <c r="C180" s="34"/>
      <c r="D180" s="153" t="s">
        <v>191</v>
      </c>
      <c r="E180" s="34"/>
      <c r="F180" s="160" t="s">
        <v>3913</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191</v>
      </c>
      <c r="AU180" s="19" t="s">
        <v>87</v>
      </c>
    </row>
    <row r="181" spans="1:65" s="2" customFormat="1" ht="16.5" customHeight="1">
      <c r="A181" s="34"/>
      <c r="B181" s="139"/>
      <c r="C181" s="140" t="s">
        <v>8</v>
      </c>
      <c r="D181" s="140" t="s">
        <v>180</v>
      </c>
      <c r="E181" s="141" t="s">
        <v>3929</v>
      </c>
      <c r="F181" s="142" t="s">
        <v>3930</v>
      </c>
      <c r="G181" s="143" t="s">
        <v>476</v>
      </c>
      <c r="H181" s="144">
        <v>4.45</v>
      </c>
      <c r="I181" s="145"/>
      <c r="J181" s="146">
        <f>ROUND(I181*H181,2)</f>
        <v>0</v>
      </c>
      <c r="K181" s="142" t="s">
        <v>184</v>
      </c>
      <c r="L181" s="35"/>
      <c r="M181" s="147" t="s">
        <v>3</v>
      </c>
      <c r="N181" s="148" t="s">
        <v>48</v>
      </c>
      <c r="O181" s="55"/>
      <c r="P181" s="149">
        <f>O181*H181</f>
        <v>0</v>
      </c>
      <c r="Q181" s="149">
        <v>2.0098999999999998E-3</v>
      </c>
      <c r="R181" s="149">
        <f>Q181*H181</f>
        <v>8.9440549999999994E-3</v>
      </c>
      <c r="S181" s="149">
        <v>0</v>
      </c>
      <c r="T181" s="150">
        <f>S181*H181</f>
        <v>0</v>
      </c>
      <c r="U181" s="34"/>
      <c r="V181" s="34"/>
      <c r="W181" s="34"/>
      <c r="X181" s="34"/>
      <c r="Y181" s="34"/>
      <c r="Z181" s="34"/>
      <c r="AA181" s="34"/>
      <c r="AB181" s="34"/>
      <c r="AC181" s="34"/>
      <c r="AD181" s="34"/>
      <c r="AE181" s="34"/>
      <c r="AR181" s="151" t="s">
        <v>237</v>
      </c>
      <c r="AT181" s="151" t="s">
        <v>180</v>
      </c>
      <c r="AU181" s="151" t="s">
        <v>87</v>
      </c>
      <c r="AY181" s="19" t="s">
        <v>177</v>
      </c>
      <c r="BE181" s="152">
        <f>IF(N181="základní",J181,0)</f>
        <v>0</v>
      </c>
      <c r="BF181" s="152">
        <f>IF(N181="snížená",J181,0)</f>
        <v>0</v>
      </c>
      <c r="BG181" s="152">
        <f>IF(N181="zákl. přenesená",J181,0)</f>
        <v>0</v>
      </c>
      <c r="BH181" s="152">
        <f>IF(N181="sníž. přenesená",J181,0)</f>
        <v>0</v>
      </c>
      <c r="BI181" s="152">
        <f>IF(N181="nulová",J181,0)</f>
        <v>0</v>
      </c>
      <c r="BJ181" s="19" t="s">
        <v>85</v>
      </c>
      <c r="BK181" s="152">
        <f>ROUND(I181*H181,2)</f>
        <v>0</v>
      </c>
      <c r="BL181" s="19" t="s">
        <v>237</v>
      </c>
      <c r="BM181" s="151" t="s">
        <v>3931</v>
      </c>
    </row>
    <row r="182" spans="1:65" s="2" customFormat="1">
      <c r="A182" s="34"/>
      <c r="B182" s="35"/>
      <c r="C182" s="34"/>
      <c r="D182" s="153" t="s">
        <v>187</v>
      </c>
      <c r="E182" s="34"/>
      <c r="F182" s="154" t="s">
        <v>3932</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187</v>
      </c>
      <c r="AU182" s="19" t="s">
        <v>87</v>
      </c>
    </row>
    <row r="183" spans="1:65" s="2" customFormat="1">
      <c r="A183" s="34"/>
      <c r="B183" s="35"/>
      <c r="C183" s="34"/>
      <c r="D183" s="158" t="s">
        <v>189</v>
      </c>
      <c r="E183" s="34"/>
      <c r="F183" s="159" t="s">
        <v>3933</v>
      </c>
      <c r="G183" s="34"/>
      <c r="H183" s="34"/>
      <c r="I183" s="155"/>
      <c r="J183" s="34"/>
      <c r="K183" s="34"/>
      <c r="L183" s="35"/>
      <c r="M183" s="156"/>
      <c r="N183" s="157"/>
      <c r="O183" s="55"/>
      <c r="P183" s="55"/>
      <c r="Q183" s="55"/>
      <c r="R183" s="55"/>
      <c r="S183" s="55"/>
      <c r="T183" s="56"/>
      <c r="U183" s="34"/>
      <c r="V183" s="34"/>
      <c r="W183" s="34"/>
      <c r="X183" s="34"/>
      <c r="Y183" s="34"/>
      <c r="Z183" s="34"/>
      <c r="AA183" s="34"/>
      <c r="AB183" s="34"/>
      <c r="AC183" s="34"/>
      <c r="AD183" s="34"/>
      <c r="AE183" s="34"/>
      <c r="AT183" s="19" t="s">
        <v>189</v>
      </c>
      <c r="AU183" s="19" t="s">
        <v>87</v>
      </c>
    </row>
    <row r="184" spans="1:65" s="2" customFormat="1" ht="39">
      <c r="A184" s="34"/>
      <c r="B184" s="35"/>
      <c r="C184" s="34"/>
      <c r="D184" s="153" t="s">
        <v>191</v>
      </c>
      <c r="E184" s="34"/>
      <c r="F184" s="160" t="s">
        <v>3913</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191</v>
      </c>
      <c r="AU184" s="19" t="s">
        <v>87</v>
      </c>
    </row>
    <row r="185" spans="1:65" s="2" customFormat="1" ht="16.5" customHeight="1">
      <c r="A185" s="34"/>
      <c r="B185" s="139"/>
      <c r="C185" s="140" t="s">
        <v>483</v>
      </c>
      <c r="D185" s="140" t="s">
        <v>180</v>
      </c>
      <c r="E185" s="141" t="s">
        <v>3934</v>
      </c>
      <c r="F185" s="142" t="s">
        <v>3935</v>
      </c>
      <c r="G185" s="143" t="s">
        <v>476</v>
      </c>
      <c r="H185" s="144">
        <v>4.45</v>
      </c>
      <c r="I185" s="145"/>
      <c r="J185" s="146">
        <f>ROUND(I185*H185,2)</f>
        <v>0</v>
      </c>
      <c r="K185" s="142" t="s">
        <v>184</v>
      </c>
      <c r="L185" s="35"/>
      <c r="M185" s="147" t="s">
        <v>3</v>
      </c>
      <c r="N185" s="148" t="s">
        <v>48</v>
      </c>
      <c r="O185" s="55"/>
      <c r="P185" s="149">
        <f>O185*H185</f>
        <v>0</v>
      </c>
      <c r="Q185" s="149">
        <v>1.451E-3</v>
      </c>
      <c r="R185" s="149">
        <f>Q185*H185</f>
        <v>6.4569500000000004E-3</v>
      </c>
      <c r="S185" s="149">
        <v>0</v>
      </c>
      <c r="T185" s="150">
        <f>S185*H185</f>
        <v>0</v>
      </c>
      <c r="U185" s="34"/>
      <c r="V185" s="34"/>
      <c r="W185" s="34"/>
      <c r="X185" s="34"/>
      <c r="Y185" s="34"/>
      <c r="Z185" s="34"/>
      <c r="AA185" s="34"/>
      <c r="AB185" s="34"/>
      <c r="AC185" s="34"/>
      <c r="AD185" s="34"/>
      <c r="AE185" s="34"/>
      <c r="AR185" s="151" t="s">
        <v>237</v>
      </c>
      <c r="AT185" s="151" t="s">
        <v>180</v>
      </c>
      <c r="AU185" s="151" t="s">
        <v>87</v>
      </c>
      <c r="AY185" s="19" t="s">
        <v>177</v>
      </c>
      <c r="BE185" s="152">
        <f>IF(N185="základní",J185,0)</f>
        <v>0</v>
      </c>
      <c r="BF185" s="152">
        <f>IF(N185="snížená",J185,0)</f>
        <v>0</v>
      </c>
      <c r="BG185" s="152">
        <f>IF(N185="zákl. přenesená",J185,0)</f>
        <v>0</v>
      </c>
      <c r="BH185" s="152">
        <f>IF(N185="sníž. přenesená",J185,0)</f>
        <v>0</v>
      </c>
      <c r="BI185" s="152">
        <f>IF(N185="nulová",J185,0)</f>
        <v>0</v>
      </c>
      <c r="BJ185" s="19" t="s">
        <v>85</v>
      </c>
      <c r="BK185" s="152">
        <f>ROUND(I185*H185,2)</f>
        <v>0</v>
      </c>
      <c r="BL185" s="19" t="s">
        <v>237</v>
      </c>
      <c r="BM185" s="151" t="s">
        <v>3936</v>
      </c>
    </row>
    <row r="186" spans="1:65" s="2" customFormat="1">
      <c r="A186" s="34"/>
      <c r="B186" s="35"/>
      <c r="C186" s="34"/>
      <c r="D186" s="153" t="s">
        <v>187</v>
      </c>
      <c r="E186" s="34"/>
      <c r="F186" s="154" t="s">
        <v>3937</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187</v>
      </c>
      <c r="AU186" s="19" t="s">
        <v>87</v>
      </c>
    </row>
    <row r="187" spans="1:65" s="2" customFormat="1">
      <c r="A187" s="34"/>
      <c r="B187" s="35"/>
      <c r="C187" s="34"/>
      <c r="D187" s="158" t="s">
        <v>189</v>
      </c>
      <c r="E187" s="34"/>
      <c r="F187" s="159" t="s">
        <v>3938</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189</v>
      </c>
      <c r="AU187" s="19" t="s">
        <v>87</v>
      </c>
    </row>
    <row r="188" spans="1:65" s="2" customFormat="1" ht="39">
      <c r="A188" s="34"/>
      <c r="B188" s="35"/>
      <c r="C188" s="34"/>
      <c r="D188" s="153" t="s">
        <v>191</v>
      </c>
      <c r="E188" s="34"/>
      <c r="F188" s="160" t="s">
        <v>3913</v>
      </c>
      <c r="G188" s="34"/>
      <c r="H188" s="34"/>
      <c r="I188" s="155"/>
      <c r="J188" s="34"/>
      <c r="K188" s="34"/>
      <c r="L188" s="35"/>
      <c r="M188" s="156"/>
      <c r="N188" s="157"/>
      <c r="O188" s="55"/>
      <c r="P188" s="55"/>
      <c r="Q188" s="55"/>
      <c r="R188" s="55"/>
      <c r="S188" s="55"/>
      <c r="T188" s="56"/>
      <c r="U188" s="34"/>
      <c r="V188" s="34"/>
      <c r="W188" s="34"/>
      <c r="X188" s="34"/>
      <c r="Y188" s="34"/>
      <c r="Z188" s="34"/>
      <c r="AA188" s="34"/>
      <c r="AB188" s="34"/>
      <c r="AC188" s="34"/>
      <c r="AD188" s="34"/>
      <c r="AE188" s="34"/>
      <c r="AT188" s="19" t="s">
        <v>191</v>
      </c>
      <c r="AU188" s="19" t="s">
        <v>87</v>
      </c>
    </row>
    <row r="189" spans="1:65" s="2" customFormat="1" ht="16.5" customHeight="1">
      <c r="A189" s="34"/>
      <c r="B189" s="139"/>
      <c r="C189" s="140" t="s">
        <v>490</v>
      </c>
      <c r="D189" s="140" t="s">
        <v>180</v>
      </c>
      <c r="E189" s="141" t="s">
        <v>3939</v>
      </c>
      <c r="F189" s="142" t="s">
        <v>3940</v>
      </c>
      <c r="G189" s="143" t="s">
        <v>476</v>
      </c>
      <c r="H189" s="144">
        <v>36</v>
      </c>
      <c r="I189" s="145"/>
      <c r="J189" s="146">
        <f>ROUND(I189*H189,2)</f>
        <v>0</v>
      </c>
      <c r="K189" s="142" t="s">
        <v>184</v>
      </c>
      <c r="L189" s="35"/>
      <c r="M189" s="147" t="s">
        <v>3</v>
      </c>
      <c r="N189" s="148" t="s">
        <v>48</v>
      </c>
      <c r="O189" s="55"/>
      <c r="P189" s="149">
        <f>O189*H189</f>
        <v>0</v>
      </c>
      <c r="Q189" s="149">
        <v>4.1189999999999998E-4</v>
      </c>
      <c r="R189" s="149">
        <f>Q189*H189</f>
        <v>1.4828399999999999E-2</v>
      </c>
      <c r="S189" s="149">
        <v>0</v>
      </c>
      <c r="T189" s="150">
        <f>S189*H189</f>
        <v>0</v>
      </c>
      <c r="U189" s="34"/>
      <c r="V189" s="34"/>
      <c r="W189" s="34"/>
      <c r="X189" s="34"/>
      <c r="Y189" s="34"/>
      <c r="Z189" s="34"/>
      <c r="AA189" s="34"/>
      <c r="AB189" s="34"/>
      <c r="AC189" s="34"/>
      <c r="AD189" s="34"/>
      <c r="AE189" s="34"/>
      <c r="AR189" s="151" t="s">
        <v>237</v>
      </c>
      <c r="AT189" s="151" t="s">
        <v>180</v>
      </c>
      <c r="AU189" s="151" t="s">
        <v>87</v>
      </c>
      <c r="AY189" s="19" t="s">
        <v>177</v>
      </c>
      <c r="BE189" s="152">
        <f>IF(N189="základní",J189,0)</f>
        <v>0</v>
      </c>
      <c r="BF189" s="152">
        <f>IF(N189="snížená",J189,0)</f>
        <v>0</v>
      </c>
      <c r="BG189" s="152">
        <f>IF(N189="zákl. přenesená",J189,0)</f>
        <v>0</v>
      </c>
      <c r="BH189" s="152">
        <f>IF(N189="sníž. přenesená",J189,0)</f>
        <v>0</v>
      </c>
      <c r="BI189" s="152">
        <f>IF(N189="nulová",J189,0)</f>
        <v>0</v>
      </c>
      <c r="BJ189" s="19" t="s">
        <v>85</v>
      </c>
      <c r="BK189" s="152">
        <f>ROUND(I189*H189,2)</f>
        <v>0</v>
      </c>
      <c r="BL189" s="19" t="s">
        <v>237</v>
      </c>
      <c r="BM189" s="151" t="s">
        <v>3941</v>
      </c>
    </row>
    <row r="190" spans="1:65" s="2" customFormat="1">
      <c r="A190" s="34"/>
      <c r="B190" s="35"/>
      <c r="C190" s="34"/>
      <c r="D190" s="153" t="s">
        <v>187</v>
      </c>
      <c r="E190" s="34"/>
      <c r="F190" s="154" t="s">
        <v>3942</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187</v>
      </c>
      <c r="AU190" s="19" t="s">
        <v>87</v>
      </c>
    </row>
    <row r="191" spans="1:65" s="2" customFormat="1">
      <c r="A191" s="34"/>
      <c r="B191" s="35"/>
      <c r="C191" s="34"/>
      <c r="D191" s="158" t="s">
        <v>189</v>
      </c>
      <c r="E191" s="34"/>
      <c r="F191" s="159" t="s">
        <v>3943</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189</v>
      </c>
      <c r="AU191" s="19" t="s">
        <v>87</v>
      </c>
    </row>
    <row r="192" spans="1:65" s="2" customFormat="1" ht="39">
      <c r="A192" s="34"/>
      <c r="B192" s="35"/>
      <c r="C192" s="34"/>
      <c r="D192" s="153" t="s">
        <v>191</v>
      </c>
      <c r="E192" s="34"/>
      <c r="F192" s="160" t="s">
        <v>3913</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191</v>
      </c>
      <c r="AU192" s="19" t="s">
        <v>87</v>
      </c>
    </row>
    <row r="193" spans="1:65" s="2" customFormat="1" ht="16.5" customHeight="1">
      <c r="A193" s="34"/>
      <c r="B193" s="139"/>
      <c r="C193" s="140" t="s">
        <v>496</v>
      </c>
      <c r="D193" s="140" t="s">
        <v>180</v>
      </c>
      <c r="E193" s="141" t="s">
        <v>3944</v>
      </c>
      <c r="F193" s="142" t="s">
        <v>3945</v>
      </c>
      <c r="G193" s="143" t="s">
        <v>476</v>
      </c>
      <c r="H193" s="144">
        <v>6</v>
      </c>
      <c r="I193" s="145"/>
      <c r="J193" s="146">
        <f>ROUND(I193*H193,2)</f>
        <v>0</v>
      </c>
      <c r="K193" s="142" t="s">
        <v>184</v>
      </c>
      <c r="L193" s="35"/>
      <c r="M193" s="147" t="s">
        <v>3</v>
      </c>
      <c r="N193" s="148" t="s">
        <v>48</v>
      </c>
      <c r="O193" s="55"/>
      <c r="P193" s="149">
        <f>O193*H193</f>
        <v>0</v>
      </c>
      <c r="Q193" s="149">
        <v>4.7649999999999998E-4</v>
      </c>
      <c r="R193" s="149">
        <f>Q193*H193</f>
        <v>2.859E-3</v>
      </c>
      <c r="S193" s="149">
        <v>0</v>
      </c>
      <c r="T193" s="150">
        <f>S193*H193</f>
        <v>0</v>
      </c>
      <c r="U193" s="34"/>
      <c r="V193" s="34"/>
      <c r="W193" s="34"/>
      <c r="X193" s="34"/>
      <c r="Y193" s="34"/>
      <c r="Z193" s="34"/>
      <c r="AA193" s="34"/>
      <c r="AB193" s="34"/>
      <c r="AC193" s="34"/>
      <c r="AD193" s="34"/>
      <c r="AE193" s="34"/>
      <c r="AR193" s="151" t="s">
        <v>237</v>
      </c>
      <c r="AT193" s="151" t="s">
        <v>180</v>
      </c>
      <c r="AU193" s="151" t="s">
        <v>87</v>
      </c>
      <c r="AY193" s="19" t="s">
        <v>177</v>
      </c>
      <c r="BE193" s="152">
        <f>IF(N193="základní",J193,0)</f>
        <v>0</v>
      </c>
      <c r="BF193" s="152">
        <f>IF(N193="snížená",J193,0)</f>
        <v>0</v>
      </c>
      <c r="BG193" s="152">
        <f>IF(N193="zákl. přenesená",J193,0)</f>
        <v>0</v>
      </c>
      <c r="BH193" s="152">
        <f>IF(N193="sníž. přenesená",J193,0)</f>
        <v>0</v>
      </c>
      <c r="BI193" s="152">
        <f>IF(N193="nulová",J193,0)</f>
        <v>0</v>
      </c>
      <c r="BJ193" s="19" t="s">
        <v>85</v>
      </c>
      <c r="BK193" s="152">
        <f>ROUND(I193*H193,2)</f>
        <v>0</v>
      </c>
      <c r="BL193" s="19" t="s">
        <v>237</v>
      </c>
      <c r="BM193" s="151" t="s">
        <v>3946</v>
      </c>
    </row>
    <row r="194" spans="1:65" s="2" customFormat="1">
      <c r="A194" s="34"/>
      <c r="B194" s="35"/>
      <c r="C194" s="34"/>
      <c r="D194" s="153" t="s">
        <v>187</v>
      </c>
      <c r="E194" s="34"/>
      <c r="F194" s="154" t="s">
        <v>3947</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187</v>
      </c>
      <c r="AU194" s="19" t="s">
        <v>87</v>
      </c>
    </row>
    <row r="195" spans="1:65" s="2" customFormat="1">
      <c r="A195" s="34"/>
      <c r="B195" s="35"/>
      <c r="C195" s="34"/>
      <c r="D195" s="158" t="s">
        <v>189</v>
      </c>
      <c r="E195" s="34"/>
      <c r="F195" s="159" t="s">
        <v>3948</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189</v>
      </c>
      <c r="AU195" s="19" t="s">
        <v>87</v>
      </c>
    </row>
    <row r="196" spans="1:65" s="2" customFormat="1" ht="39">
      <c r="A196" s="34"/>
      <c r="B196" s="35"/>
      <c r="C196" s="34"/>
      <c r="D196" s="153" t="s">
        <v>191</v>
      </c>
      <c r="E196" s="34"/>
      <c r="F196" s="160" t="s">
        <v>3913</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191</v>
      </c>
      <c r="AU196" s="19" t="s">
        <v>87</v>
      </c>
    </row>
    <row r="197" spans="1:65" s="2" customFormat="1" ht="16.5" customHeight="1">
      <c r="A197" s="34"/>
      <c r="B197" s="139"/>
      <c r="C197" s="140" t="s">
        <v>502</v>
      </c>
      <c r="D197" s="140" t="s">
        <v>180</v>
      </c>
      <c r="E197" s="141" t="s">
        <v>3949</v>
      </c>
      <c r="F197" s="142" t="s">
        <v>3950</v>
      </c>
      <c r="G197" s="143" t="s">
        <v>476</v>
      </c>
      <c r="H197" s="144">
        <v>15</v>
      </c>
      <c r="I197" s="145"/>
      <c r="J197" s="146">
        <f>ROUND(I197*H197,2)</f>
        <v>0</v>
      </c>
      <c r="K197" s="142" t="s">
        <v>184</v>
      </c>
      <c r="L197" s="35"/>
      <c r="M197" s="147" t="s">
        <v>3</v>
      </c>
      <c r="N197" s="148" t="s">
        <v>48</v>
      </c>
      <c r="O197" s="55"/>
      <c r="P197" s="149">
        <f>O197*H197</f>
        <v>0</v>
      </c>
      <c r="Q197" s="149">
        <v>2.2361999999999998E-3</v>
      </c>
      <c r="R197" s="149">
        <f>Q197*H197</f>
        <v>3.3542999999999996E-2</v>
      </c>
      <c r="S197" s="149">
        <v>0</v>
      </c>
      <c r="T197" s="150">
        <f>S197*H197</f>
        <v>0</v>
      </c>
      <c r="U197" s="34"/>
      <c r="V197" s="34"/>
      <c r="W197" s="34"/>
      <c r="X197" s="34"/>
      <c r="Y197" s="34"/>
      <c r="Z197" s="34"/>
      <c r="AA197" s="34"/>
      <c r="AB197" s="34"/>
      <c r="AC197" s="34"/>
      <c r="AD197" s="34"/>
      <c r="AE197" s="34"/>
      <c r="AR197" s="151" t="s">
        <v>237</v>
      </c>
      <c r="AT197" s="151" t="s">
        <v>180</v>
      </c>
      <c r="AU197" s="151" t="s">
        <v>87</v>
      </c>
      <c r="AY197" s="19" t="s">
        <v>177</v>
      </c>
      <c r="BE197" s="152">
        <f>IF(N197="základní",J197,0)</f>
        <v>0</v>
      </c>
      <c r="BF197" s="152">
        <f>IF(N197="snížená",J197,0)</f>
        <v>0</v>
      </c>
      <c r="BG197" s="152">
        <f>IF(N197="zákl. přenesená",J197,0)</f>
        <v>0</v>
      </c>
      <c r="BH197" s="152">
        <f>IF(N197="sníž. přenesená",J197,0)</f>
        <v>0</v>
      </c>
      <c r="BI197" s="152">
        <f>IF(N197="nulová",J197,0)</f>
        <v>0</v>
      </c>
      <c r="BJ197" s="19" t="s">
        <v>85</v>
      </c>
      <c r="BK197" s="152">
        <f>ROUND(I197*H197,2)</f>
        <v>0</v>
      </c>
      <c r="BL197" s="19" t="s">
        <v>237</v>
      </c>
      <c r="BM197" s="151" t="s">
        <v>3951</v>
      </c>
    </row>
    <row r="198" spans="1:65" s="2" customFormat="1">
      <c r="A198" s="34"/>
      <c r="B198" s="35"/>
      <c r="C198" s="34"/>
      <c r="D198" s="153" t="s">
        <v>187</v>
      </c>
      <c r="E198" s="34"/>
      <c r="F198" s="154" t="s">
        <v>3952</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187</v>
      </c>
      <c r="AU198" s="19" t="s">
        <v>87</v>
      </c>
    </row>
    <row r="199" spans="1:65" s="2" customFormat="1">
      <c r="A199" s="34"/>
      <c r="B199" s="35"/>
      <c r="C199" s="34"/>
      <c r="D199" s="158" t="s">
        <v>189</v>
      </c>
      <c r="E199" s="34"/>
      <c r="F199" s="159" t="s">
        <v>3953</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189</v>
      </c>
      <c r="AU199" s="19" t="s">
        <v>87</v>
      </c>
    </row>
    <row r="200" spans="1:65" s="2" customFormat="1" ht="39">
      <c r="A200" s="34"/>
      <c r="B200" s="35"/>
      <c r="C200" s="34"/>
      <c r="D200" s="153" t="s">
        <v>191</v>
      </c>
      <c r="E200" s="34"/>
      <c r="F200" s="160" t="s">
        <v>3913</v>
      </c>
      <c r="G200" s="34"/>
      <c r="H200" s="34"/>
      <c r="I200" s="155"/>
      <c r="J200" s="34"/>
      <c r="K200" s="34"/>
      <c r="L200" s="35"/>
      <c r="M200" s="156"/>
      <c r="N200" s="157"/>
      <c r="O200" s="55"/>
      <c r="P200" s="55"/>
      <c r="Q200" s="55"/>
      <c r="R200" s="55"/>
      <c r="S200" s="55"/>
      <c r="T200" s="56"/>
      <c r="U200" s="34"/>
      <c r="V200" s="34"/>
      <c r="W200" s="34"/>
      <c r="X200" s="34"/>
      <c r="Y200" s="34"/>
      <c r="Z200" s="34"/>
      <c r="AA200" s="34"/>
      <c r="AB200" s="34"/>
      <c r="AC200" s="34"/>
      <c r="AD200" s="34"/>
      <c r="AE200" s="34"/>
      <c r="AT200" s="19" t="s">
        <v>191</v>
      </c>
      <c r="AU200" s="19" t="s">
        <v>87</v>
      </c>
    </row>
    <row r="201" spans="1:65" s="2" customFormat="1" ht="16.5" customHeight="1">
      <c r="A201" s="34"/>
      <c r="B201" s="139"/>
      <c r="C201" s="140" t="s">
        <v>504</v>
      </c>
      <c r="D201" s="140" t="s">
        <v>180</v>
      </c>
      <c r="E201" s="141" t="s">
        <v>3954</v>
      </c>
      <c r="F201" s="142" t="s">
        <v>3955</v>
      </c>
      <c r="G201" s="143" t="s">
        <v>476</v>
      </c>
      <c r="H201" s="144">
        <v>11.6</v>
      </c>
      <c r="I201" s="145"/>
      <c r="J201" s="146">
        <f>ROUND(I201*H201,2)</f>
        <v>0</v>
      </c>
      <c r="K201" s="142" t="s">
        <v>184</v>
      </c>
      <c r="L201" s="35"/>
      <c r="M201" s="147" t="s">
        <v>3</v>
      </c>
      <c r="N201" s="148" t="s">
        <v>48</v>
      </c>
      <c r="O201" s="55"/>
      <c r="P201" s="149">
        <f>O201*H201</f>
        <v>0</v>
      </c>
      <c r="Q201" s="149">
        <v>1.9338999999999999E-3</v>
      </c>
      <c r="R201" s="149">
        <f>Q201*H201</f>
        <v>2.2433239999999997E-2</v>
      </c>
      <c r="S201" s="149">
        <v>0</v>
      </c>
      <c r="T201" s="150">
        <f>S201*H201</f>
        <v>0</v>
      </c>
      <c r="U201" s="34"/>
      <c r="V201" s="34"/>
      <c r="W201" s="34"/>
      <c r="X201" s="34"/>
      <c r="Y201" s="34"/>
      <c r="Z201" s="34"/>
      <c r="AA201" s="34"/>
      <c r="AB201" s="34"/>
      <c r="AC201" s="34"/>
      <c r="AD201" s="34"/>
      <c r="AE201" s="34"/>
      <c r="AR201" s="151" t="s">
        <v>237</v>
      </c>
      <c r="AT201" s="151" t="s">
        <v>180</v>
      </c>
      <c r="AU201" s="151" t="s">
        <v>87</v>
      </c>
      <c r="AY201" s="19" t="s">
        <v>177</v>
      </c>
      <c r="BE201" s="152">
        <f>IF(N201="základní",J201,0)</f>
        <v>0</v>
      </c>
      <c r="BF201" s="152">
        <f>IF(N201="snížená",J201,0)</f>
        <v>0</v>
      </c>
      <c r="BG201" s="152">
        <f>IF(N201="zákl. přenesená",J201,0)</f>
        <v>0</v>
      </c>
      <c r="BH201" s="152">
        <f>IF(N201="sníž. přenesená",J201,0)</f>
        <v>0</v>
      </c>
      <c r="BI201" s="152">
        <f>IF(N201="nulová",J201,0)</f>
        <v>0</v>
      </c>
      <c r="BJ201" s="19" t="s">
        <v>85</v>
      </c>
      <c r="BK201" s="152">
        <f>ROUND(I201*H201,2)</f>
        <v>0</v>
      </c>
      <c r="BL201" s="19" t="s">
        <v>237</v>
      </c>
      <c r="BM201" s="151" t="s">
        <v>3956</v>
      </c>
    </row>
    <row r="202" spans="1:65" s="2" customFormat="1">
      <c r="A202" s="34"/>
      <c r="B202" s="35"/>
      <c r="C202" s="34"/>
      <c r="D202" s="153" t="s">
        <v>187</v>
      </c>
      <c r="E202" s="34"/>
      <c r="F202" s="154" t="s">
        <v>3957</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187</v>
      </c>
      <c r="AU202" s="19" t="s">
        <v>87</v>
      </c>
    </row>
    <row r="203" spans="1:65" s="2" customFormat="1">
      <c r="A203" s="34"/>
      <c r="B203" s="35"/>
      <c r="C203" s="34"/>
      <c r="D203" s="158" t="s">
        <v>189</v>
      </c>
      <c r="E203" s="34"/>
      <c r="F203" s="159" t="s">
        <v>3958</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189</v>
      </c>
      <c r="AU203" s="19" t="s">
        <v>87</v>
      </c>
    </row>
    <row r="204" spans="1:65" s="2" customFormat="1" ht="39">
      <c r="A204" s="34"/>
      <c r="B204" s="35"/>
      <c r="C204" s="34"/>
      <c r="D204" s="153" t="s">
        <v>191</v>
      </c>
      <c r="E204" s="34"/>
      <c r="F204" s="160" t="s">
        <v>3913</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191</v>
      </c>
      <c r="AU204" s="19" t="s">
        <v>87</v>
      </c>
    </row>
    <row r="205" spans="1:65" s="13" customFormat="1">
      <c r="B205" s="161"/>
      <c r="D205" s="153" t="s">
        <v>193</v>
      </c>
      <c r="E205" s="162" t="s">
        <v>3</v>
      </c>
      <c r="F205" s="163" t="s">
        <v>3959</v>
      </c>
      <c r="H205" s="164">
        <v>11.6</v>
      </c>
      <c r="I205" s="165"/>
      <c r="L205" s="161"/>
      <c r="M205" s="166"/>
      <c r="N205" s="167"/>
      <c r="O205" s="167"/>
      <c r="P205" s="167"/>
      <c r="Q205" s="167"/>
      <c r="R205" s="167"/>
      <c r="S205" s="167"/>
      <c r="T205" s="168"/>
      <c r="AT205" s="162" t="s">
        <v>193</v>
      </c>
      <c r="AU205" s="162" t="s">
        <v>87</v>
      </c>
      <c r="AV205" s="13" t="s">
        <v>87</v>
      </c>
      <c r="AW205" s="13" t="s">
        <v>36</v>
      </c>
      <c r="AX205" s="13" t="s">
        <v>85</v>
      </c>
      <c r="AY205" s="162" t="s">
        <v>177</v>
      </c>
    </row>
    <row r="206" spans="1:65" s="2" customFormat="1" ht="16.5" customHeight="1">
      <c r="A206" s="34"/>
      <c r="B206" s="139"/>
      <c r="C206" s="140" t="s">
        <v>507</v>
      </c>
      <c r="D206" s="140" t="s">
        <v>180</v>
      </c>
      <c r="E206" s="141" t="s">
        <v>3960</v>
      </c>
      <c r="F206" s="142" t="s">
        <v>3961</v>
      </c>
      <c r="G206" s="143" t="s">
        <v>476</v>
      </c>
      <c r="H206" s="144">
        <v>10.65</v>
      </c>
      <c r="I206" s="145"/>
      <c r="J206" s="146">
        <f>ROUND(I206*H206,2)</f>
        <v>0</v>
      </c>
      <c r="K206" s="142" t="s">
        <v>184</v>
      </c>
      <c r="L206" s="35"/>
      <c r="M206" s="147" t="s">
        <v>3</v>
      </c>
      <c r="N206" s="148" t="s">
        <v>48</v>
      </c>
      <c r="O206" s="55"/>
      <c r="P206" s="149">
        <f>O206*H206</f>
        <v>0</v>
      </c>
      <c r="Q206" s="149">
        <v>1.7195000000000001E-3</v>
      </c>
      <c r="R206" s="149">
        <f>Q206*H206</f>
        <v>1.8312675E-2</v>
      </c>
      <c r="S206" s="149">
        <v>0</v>
      </c>
      <c r="T206" s="150">
        <f>S206*H206</f>
        <v>0</v>
      </c>
      <c r="U206" s="34"/>
      <c r="V206" s="34"/>
      <c r="W206" s="34"/>
      <c r="X206" s="34"/>
      <c r="Y206" s="34"/>
      <c r="Z206" s="34"/>
      <c r="AA206" s="34"/>
      <c r="AB206" s="34"/>
      <c r="AC206" s="34"/>
      <c r="AD206" s="34"/>
      <c r="AE206" s="34"/>
      <c r="AR206" s="151" t="s">
        <v>237</v>
      </c>
      <c r="AT206" s="151" t="s">
        <v>180</v>
      </c>
      <c r="AU206" s="151" t="s">
        <v>87</v>
      </c>
      <c r="AY206" s="19" t="s">
        <v>177</v>
      </c>
      <c r="BE206" s="152">
        <f>IF(N206="základní",J206,0)</f>
        <v>0</v>
      </c>
      <c r="BF206" s="152">
        <f>IF(N206="snížená",J206,0)</f>
        <v>0</v>
      </c>
      <c r="BG206" s="152">
        <f>IF(N206="zákl. přenesená",J206,0)</f>
        <v>0</v>
      </c>
      <c r="BH206" s="152">
        <f>IF(N206="sníž. přenesená",J206,0)</f>
        <v>0</v>
      </c>
      <c r="BI206" s="152">
        <f>IF(N206="nulová",J206,0)</f>
        <v>0</v>
      </c>
      <c r="BJ206" s="19" t="s">
        <v>85</v>
      </c>
      <c r="BK206" s="152">
        <f>ROUND(I206*H206,2)</f>
        <v>0</v>
      </c>
      <c r="BL206" s="19" t="s">
        <v>237</v>
      </c>
      <c r="BM206" s="151" t="s">
        <v>3962</v>
      </c>
    </row>
    <row r="207" spans="1:65" s="2" customFormat="1">
      <c r="A207" s="34"/>
      <c r="B207" s="35"/>
      <c r="C207" s="34"/>
      <c r="D207" s="153" t="s">
        <v>187</v>
      </c>
      <c r="E207" s="34"/>
      <c r="F207" s="154" t="s">
        <v>3963</v>
      </c>
      <c r="G207" s="34"/>
      <c r="H207" s="34"/>
      <c r="I207" s="155"/>
      <c r="J207" s="34"/>
      <c r="K207" s="34"/>
      <c r="L207" s="35"/>
      <c r="M207" s="156"/>
      <c r="N207" s="157"/>
      <c r="O207" s="55"/>
      <c r="P207" s="55"/>
      <c r="Q207" s="55"/>
      <c r="R207" s="55"/>
      <c r="S207" s="55"/>
      <c r="T207" s="56"/>
      <c r="U207" s="34"/>
      <c r="V207" s="34"/>
      <c r="W207" s="34"/>
      <c r="X207" s="34"/>
      <c r="Y207" s="34"/>
      <c r="Z207" s="34"/>
      <c r="AA207" s="34"/>
      <c r="AB207" s="34"/>
      <c r="AC207" s="34"/>
      <c r="AD207" s="34"/>
      <c r="AE207" s="34"/>
      <c r="AT207" s="19" t="s">
        <v>187</v>
      </c>
      <c r="AU207" s="19" t="s">
        <v>87</v>
      </c>
    </row>
    <row r="208" spans="1:65" s="2" customFormat="1">
      <c r="A208" s="34"/>
      <c r="B208" s="35"/>
      <c r="C208" s="34"/>
      <c r="D208" s="158" t="s">
        <v>189</v>
      </c>
      <c r="E208" s="34"/>
      <c r="F208" s="159" t="s">
        <v>3964</v>
      </c>
      <c r="G208" s="34"/>
      <c r="H208" s="34"/>
      <c r="I208" s="155"/>
      <c r="J208" s="34"/>
      <c r="K208" s="34"/>
      <c r="L208" s="35"/>
      <c r="M208" s="156"/>
      <c r="N208" s="157"/>
      <c r="O208" s="55"/>
      <c r="P208" s="55"/>
      <c r="Q208" s="55"/>
      <c r="R208" s="55"/>
      <c r="S208" s="55"/>
      <c r="T208" s="56"/>
      <c r="U208" s="34"/>
      <c r="V208" s="34"/>
      <c r="W208" s="34"/>
      <c r="X208" s="34"/>
      <c r="Y208" s="34"/>
      <c r="Z208" s="34"/>
      <c r="AA208" s="34"/>
      <c r="AB208" s="34"/>
      <c r="AC208" s="34"/>
      <c r="AD208" s="34"/>
      <c r="AE208" s="34"/>
      <c r="AT208" s="19" t="s">
        <v>189</v>
      </c>
      <c r="AU208" s="19" t="s">
        <v>87</v>
      </c>
    </row>
    <row r="209" spans="1:65" s="2" customFormat="1" ht="39">
      <c r="A209" s="34"/>
      <c r="B209" s="35"/>
      <c r="C209" s="34"/>
      <c r="D209" s="153" t="s">
        <v>191</v>
      </c>
      <c r="E209" s="34"/>
      <c r="F209" s="160" t="s">
        <v>3913</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191</v>
      </c>
      <c r="AU209" s="19" t="s">
        <v>87</v>
      </c>
    </row>
    <row r="210" spans="1:65" s="13" customFormat="1">
      <c r="B210" s="161"/>
      <c r="D210" s="153" t="s">
        <v>193</v>
      </c>
      <c r="E210" s="162" t="s">
        <v>3</v>
      </c>
      <c r="F210" s="163" t="s">
        <v>3965</v>
      </c>
      <c r="H210" s="164">
        <v>10.65</v>
      </c>
      <c r="I210" s="165"/>
      <c r="L210" s="161"/>
      <c r="M210" s="166"/>
      <c r="N210" s="167"/>
      <c r="O210" s="167"/>
      <c r="P210" s="167"/>
      <c r="Q210" s="167"/>
      <c r="R210" s="167"/>
      <c r="S210" s="167"/>
      <c r="T210" s="168"/>
      <c r="AT210" s="162" t="s">
        <v>193</v>
      </c>
      <c r="AU210" s="162" t="s">
        <v>87</v>
      </c>
      <c r="AV210" s="13" t="s">
        <v>87</v>
      </c>
      <c r="AW210" s="13" t="s">
        <v>36</v>
      </c>
      <c r="AX210" s="13" t="s">
        <v>85</v>
      </c>
      <c r="AY210" s="162" t="s">
        <v>177</v>
      </c>
    </row>
    <row r="211" spans="1:65" s="2" customFormat="1" ht="16.5" customHeight="1">
      <c r="A211" s="34"/>
      <c r="B211" s="139"/>
      <c r="C211" s="140" t="s">
        <v>509</v>
      </c>
      <c r="D211" s="140" t="s">
        <v>180</v>
      </c>
      <c r="E211" s="141" t="s">
        <v>3966</v>
      </c>
      <c r="F211" s="142" t="s">
        <v>3967</v>
      </c>
      <c r="G211" s="143" t="s">
        <v>476</v>
      </c>
      <c r="H211" s="144">
        <v>6.1</v>
      </c>
      <c r="I211" s="145"/>
      <c r="J211" s="146">
        <f>ROUND(I211*H211,2)</f>
        <v>0</v>
      </c>
      <c r="K211" s="142" t="s">
        <v>184</v>
      </c>
      <c r="L211" s="35"/>
      <c r="M211" s="147" t="s">
        <v>3</v>
      </c>
      <c r="N211" s="148" t="s">
        <v>48</v>
      </c>
      <c r="O211" s="55"/>
      <c r="P211" s="149">
        <f>O211*H211</f>
        <v>0</v>
      </c>
      <c r="Q211" s="149">
        <v>5.3419999999999997E-4</v>
      </c>
      <c r="R211" s="149">
        <f>Q211*H211</f>
        <v>3.2586199999999998E-3</v>
      </c>
      <c r="S211" s="149">
        <v>0</v>
      </c>
      <c r="T211" s="150">
        <f>S211*H211</f>
        <v>0</v>
      </c>
      <c r="U211" s="34"/>
      <c r="V211" s="34"/>
      <c r="W211" s="34"/>
      <c r="X211" s="34"/>
      <c r="Y211" s="34"/>
      <c r="Z211" s="34"/>
      <c r="AA211" s="34"/>
      <c r="AB211" s="34"/>
      <c r="AC211" s="34"/>
      <c r="AD211" s="34"/>
      <c r="AE211" s="34"/>
      <c r="AR211" s="151" t="s">
        <v>237</v>
      </c>
      <c r="AT211" s="151" t="s">
        <v>180</v>
      </c>
      <c r="AU211" s="151" t="s">
        <v>87</v>
      </c>
      <c r="AY211" s="19" t="s">
        <v>177</v>
      </c>
      <c r="BE211" s="152">
        <f>IF(N211="základní",J211,0)</f>
        <v>0</v>
      </c>
      <c r="BF211" s="152">
        <f>IF(N211="snížená",J211,0)</f>
        <v>0</v>
      </c>
      <c r="BG211" s="152">
        <f>IF(N211="zákl. přenesená",J211,0)</f>
        <v>0</v>
      </c>
      <c r="BH211" s="152">
        <f>IF(N211="sníž. přenesená",J211,0)</f>
        <v>0</v>
      </c>
      <c r="BI211" s="152">
        <f>IF(N211="nulová",J211,0)</f>
        <v>0</v>
      </c>
      <c r="BJ211" s="19" t="s">
        <v>85</v>
      </c>
      <c r="BK211" s="152">
        <f>ROUND(I211*H211,2)</f>
        <v>0</v>
      </c>
      <c r="BL211" s="19" t="s">
        <v>237</v>
      </c>
      <c r="BM211" s="151" t="s">
        <v>3968</v>
      </c>
    </row>
    <row r="212" spans="1:65" s="2" customFormat="1">
      <c r="A212" s="34"/>
      <c r="B212" s="35"/>
      <c r="C212" s="34"/>
      <c r="D212" s="153" t="s">
        <v>187</v>
      </c>
      <c r="E212" s="34"/>
      <c r="F212" s="154" t="s">
        <v>3969</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187</v>
      </c>
      <c r="AU212" s="19" t="s">
        <v>87</v>
      </c>
    </row>
    <row r="213" spans="1:65" s="2" customFormat="1">
      <c r="A213" s="34"/>
      <c r="B213" s="35"/>
      <c r="C213" s="34"/>
      <c r="D213" s="158" t="s">
        <v>189</v>
      </c>
      <c r="E213" s="34"/>
      <c r="F213" s="159" t="s">
        <v>3970</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189</v>
      </c>
      <c r="AU213" s="19" t="s">
        <v>87</v>
      </c>
    </row>
    <row r="214" spans="1:65" s="2" customFormat="1" ht="39">
      <c r="A214" s="34"/>
      <c r="B214" s="35"/>
      <c r="C214" s="34"/>
      <c r="D214" s="153" t="s">
        <v>191</v>
      </c>
      <c r="E214" s="34"/>
      <c r="F214" s="160" t="s">
        <v>3913</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191</v>
      </c>
      <c r="AU214" s="19" t="s">
        <v>87</v>
      </c>
    </row>
    <row r="215" spans="1:65" s="2" customFormat="1" ht="16.5" customHeight="1">
      <c r="A215" s="34"/>
      <c r="B215" s="139"/>
      <c r="C215" s="140" t="s">
        <v>512</v>
      </c>
      <c r="D215" s="140" t="s">
        <v>180</v>
      </c>
      <c r="E215" s="141" t="s">
        <v>3971</v>
      </c>
      <c r="F215" s="142" t="s">
        <v>3972</v>
      </c>
      <c r="G215" s="143" t="s">
        <v>476</v>
      </c>
      <c r="H215" s="144">
        <v>6.1</v>
      </c>
      <c r="I215" s="145"/>
      <c r="J215" s="146">
        <f>ROUND(I215*H215,2)</f>
        <v>0</v>
      </c>
      <c r="K215" s="142" t="s">
        <v>184</v>
      </c>
      <c r="L215" s="35"/>
      <c r="M215" s="147" t="s">
        <v>3</v>
      </c>
      <c r="N215" s="148" t="s">
        <v>48</v>
      </c>
      <c r="O215" s="55"/>
      <c r="P215" s="149">
        <f>O215*H215</f>
        <v>0</v>
      </c>
      <c r="Q215" s="149">
        <v>1.3649999999999999E-3</v>
      </c>
      <c r="R215" s="149">
        <f>Q215*H215</f>
        <v>8.3264999999999988E-3</v>
      </c>
      <c r="S215" s="149">
        <v>0</v>
      </c>
      <c r="T215" s="150">
        <f>S215*H215</f>
        <v>0</v>
      </c>
      <c r="U215" s="34"/>
      <c r="V215" s="34"/>
      <c r="W215" s="34"/>
      <c r="X215" s="34"/>
      <c r="Y215" s="34"/>
      <c r="Z215" s="34"/>
      <c r="AA215" s="34"/>
      <c r="AB215" s="34"/>
      <c r="AC215" s="34"/>
      <c r="AD215" s="34"/>
      <c r="AE215" s="34"/>
      <c r="AR215" s="151" t="s">
        <v>237</v>
      </c>
      <c r="AT215" s="151" t="s">
        <v>180</v>
      </c>
      <c r="AU215" s="151" t="s">
        <v>87</v>
      </c>
      <c r="AY215" s="19" t="s">
        <v>177</v>
      </c>
      <c r="BE215" s="152">
        <f>IF(N215="základní",J215,0)</f>
        <v>0</v>
      </c>
      <c r="BF215" s="152">
        <f>IF(N215="snížená",J215,0)</f>
        <v>0</v>
      </c>
      <c r="BG215" s="152">
        <f>IF(N215="zákl. přenesená",J215,0)</f>
        <v>0</v>
      </c>
      <c r="BH215" s="152">
        <f>IF(N215="sníž. přenesená",J215,0)</f>
        <v>0</v>
      </c>
      <c r="BI215" s="152">
        <f>IF(N215="nulová",J215,0)</f>
        <v>0</v>
      </c>
      <c r="BJ215" s="19" t="s">
        <v>85</v>
      </c>
      <c r="BK215" s="152">
        <f>ROUND(I215*H215,2)</f>
        <v>0</v>
      </c>
      <c r="BL215" s="19" t="s">
        <v>237</v>
      </c>
      <c r="BM215" s="151" t="s">
        <v>3973</v>
      </c>
    </row>
    <row r="216" spans="1:65" s="2" customFormat="1">
      <c r="A216" s="34"/>
      <c r="B216" s="35"/>
      <c r="C216" s="34"/>
      <c r="D216" s="153" t="s">
        <v>187</v>
      </c>
      <c r="E216" s="34"/>
      <c r="F216" s="154" t="s">
        <v>3974</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187</v>
      </c>
      <c r="AU216" s="19" t="s">
        <v>87</v>
      </c>
    </row>
    <row r="217" spans="1:65" s="2" customFormat="1">
      <c r="A217" s="34"/>
      <c r="B217" s="35"/>
      <c r="C217" s="34"/>
      <c r="D217" s="158" t="s">
        <v>189</v>
      </c>
      <c r="E217" s="34"/>
      <c r="F217" s="159" t="s">
        <v>3975</v>
      </c>
      <c r="G217" s="34"/>
      <c r="H217" s="34"/>
      <c r="I217" s="155"/>
      <c r="J217" s="34"/>
      <c r="K217" s="34"/>
      <c r="L217" s="35"/>
      <c r="M217" s="156"/>
      <c r="N217" s="157"/>
      <c r="O217" s="55"/>
      <c r="P217" s="55"/>
      <c r="Q217" s="55"/>
      <c r="R217" s="55"/>
      <c r="S217" s="55"/>
      <c r="T217" s="56"/>
      <c r="U217" s="34"/>
      <c r="V217" s="34"/>
      <c r="W217" s="34"/>
      <c r="X217" s="34"/>
      <c r="Y217" s="34"/>
      <c r="Z217" s="34"/>
      <c r="AA217" s="34"/>
      <c r="AB217" s="34"/>
      <c r="AC217" s="34"/>
      <c r="AD217" s="34"/>
      <c r="AE217" s="34"/>
      <c r="AT217" s="19" t="s">
        <v>189</v>
      </c>
      <c r="AU217" s="19" t="s">
        <v>87</v>
      </c>
    </row>
    <row r="218" spans="1:65" s="2" customFormat="1" ht="39">
      <c r="A218" s="34"/>
      <c r="B218" s="35"/>
      <c r="C218" s="34"/>
      <c r="D218" s="153" t="s">
        <v>191</v>
      </c>
      <c r="E218" s="34"/>
      <c r="F218" s="160" t="s">
        <v>3913</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191</v>
      </c>
      <c r="AU218" s="19" t="s">
        <v>87</v>
      </c>
    </row>
    <row r="219" spans="1:65" s="2" customFormat="1" ht="16.5" customHeight="1">
      <c r="A219" s="34"/>
      <c r="B219" s="139"/>
      <c r="C219" s="140" t="s">
        <v>520</v>
      </c>
      <c r="D219" s="140" t="s">
        <v>180</v>
      </c>
      <c r="E219" s="141" t="s">
        <v>3976</v>
      </c>
      <c r="F219" s="142" t="s">
        <v>3977</v>
      </c>
      <c r="G219" s="143" t="s">
        <v>236</v>
      </c>
      <c r="H219" s="144">
        <v>1</v>
      </c>
      <c r="I219" s="145"/>
      <c r="J219" s="146">
        <f>ROUND(I219*H219,2)</f>
        <v>0</v>
      </c>
      <c r="K219" s="142" t="s">
        <v>184</v>
      </c>
      <c r="L219" s="35"/>
      <c r="M219" s="147" t="s">
        <v>3</v>
      </c>
      <c r="N219" s="148" t="s">
        <v>48</v>
      </c>
      <c r="O219" s="55"/>
      <c r="P219" s="149">
        <f>O219*H219</f>
        <v>0</v>
      </c>
      <c r="Q219" s="149">
        <v>1.6124999999999999E-4</v>
      </c>
      <c r="R219" s="149">
        <f>Q219*H219</f>
        <v>1.6124999999999999E-4</v>
      </c>
      <c r="S219" s="149">
        <v>0</v>
      </c>
      <c r="T219" s="150">
        <f>S219*H219</f>
        <v>0</v>
      </c>
      <c r="U219" s="34"/>
      <c r="V219" s="34"/>
      <c r="W219" s="34"/>
      <c r="X219" s="34"/>
      <c r="Y219" s="34"/>
      <c r="Z219" s="34"/>
      <c r="AA219" s="34"/>
      <c r="AB219" s="34"/>
      <c r="AC219" s="34"/>
      <c r="AD219" s="34"/>
      <c r="AE219" s="34"/>
      <c r="AR219" s="151" t="s">
        <v>237</v>
      </c>
      <c r="AT219" s="151" t="s">
        <v>180</v>
      </c>
      <c r="AU219" s="151" t="s">
        <v>87</v>
      </c>
      <c r="AY219" s="19" t="s">
        <v>177</v>
      </c>
      <c r="BE219" s="152">
        <f>IF(N219="základní",J219,0)</f>
        <v>0</v>
      </c>
      <c r="BF219" s="152">
        <f>IF(N219="snížená",J219,0)</f>
        <v>0</v>
      </c>
      <c r="BG219" s="152">
        <f>IF(N219="zákl. přenesená",J219,0)</f>
        <v>0</v>
      </c>
      <c r="BH219" s="152">
        <f>IF(N219="sníž. přenesená",J219,0)</f>
        <v>0</v>
      </c>
      <c r="BI219" s="152">
        <f>IF(N219="nulová",J219,0)</f>
        <v>0</v>
      </c>
      <c r="BJ219" s="19" t="s">
        <v>85</v>
      </c>
      <c r="BK219" s="152">
        <f>ROUND(I219*H219,2)</f>
        <v>0</v>
      </c>
      <c r="BL219" s="19" t="s">
        <v>237</v>
      </c>
      <c r="BM219" s="151" t="s">
        <v>3978</v>
      </c>
    </row>
    <row r="220" spans="1:65" s="2" customFormat="1">
      <c r="A220" s="34"/>
      <c r="B220" s="35"/>
      <c r="C220" s="34"/>
      <c r="D220" s="153" t="s">
        <v>187</v>
      </c>
      <c r="E220" s="34"/>
      <c r="F220" s="154" t="s">
        <v>3979</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187</v>
      </c>
      <c r="AU220" s="19" t="s">
        <v>87</v>
      </c>
    </row>
    <row r="221" spans="1:65" s="2" customFormat="1">
      <c r="A221" s="34"/>
      <c r="B221" s="35"/>
      <c r="C221" s="34"/>
      <c r="D221" s="158" t="s">
        <v>189</v>
      </c>
      <c r="E221" s="34"/>
      <c r="F221" s="159" t="s">
        <v>3980</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189</v>
      </c>
      <c r="AU221" s="19" t="s">
        <v>87</v>
      </c>
    </row>
    <row r="222" spans="1:65" s="2" customFormat="1" ht="16.5" customHeight="1">
      <c r="A222" s="34"/>
      <c r="B222" s="139"/>
      <c r="C222" s="140" t="s">
        <v>527</v>
      </c>
      <c r="D222" s="140" t="s">
        <v>180</v>
      </c>
      <c r="E222" s="141" t="s">
        <v>3981</v>
      </c>
      <c r="F222" s="142" t="s">
        <v>3982</v>
      </c>
      <c r="G222" s="143" t="s">
        <v>236</v>
      </c>
      <c r="H222" s="144">
        <v>1</v>
      </c>
      <c r="I222" s="145"/>
      <c r="J222" s="146">
        <f>ROUND(I222*H222,2)</f>
        <v>0</v>
      </c>
      <c r="K222" s="142" t="s">
        <v>184</v>
      </c>
      <c r="L222" s="35"/>
      <c r="M222" s="147" t="s">
        <v>3</v>
      </c>
      <c r="N222" s="148" t="s">
        <v>48</v>
      </c>
      <c r="O222" s="55"/>
      <c r="P222" s="149">
        <f>O222*H222</f>
        <v>0</v>
      </c>
      <c r="Q222" s="149">
        <v>2.8499999999999999E-4</v>
      </c>
      <c r="R222" s="149">
        <f>Q222*H222</f>
        <v>2.8499999999999999E-4</v>
      </c>
      <c r="S222" s="149">
        <v>0</v>
      </c>
      <c r="T222" s="150">
        <f>S222*H222</f>
        <v>0</v>
      </c>
      <c r="U222" s="34"/>
      <c r="V222" s="34"/>
      <c r="W222" s="34"/>
      <c r="X222" s="34"/>
      <c r="Y222" s="34"/>
      <c r="Z222" s="34"/>
      <c r="AA222" s="34"/>
      <c r="AB222" s="34"/>
      <c r="AC222" s="34"/>
      <c r="AD222" s="34"/>
      <c r="AE222" s="34"/>
      <c r="AR222" s="151" t="s">
        <v>237</v>
      </c>
      <c r="AT222" s="151" t="s">
        <v>180</v>
      </c>
      <c r="AU222" s="151" t="s">
        <v>87</v>
      </c>
      <c r="AY222" s="19" t="s">
        <v>177</v>
      </c>
      <c r="BE222" s="152">
        <f>IF(N222="základní",J222,0)</f>
        <v>0</v>
      </c>
      <c r="BF222" s="152">
        <f>IF(N222="snížená",J222,0)</f>
        <v>0</v>
      </c>
      <c r="BG222" s="152">
        <f>IF(N222="zákl. přenesená",J222,0)</f>
        <v>0</v>
      </c>
      <c r="BH222" s="152">
        <f>IF(N222="sníž. přenesená",J222,0)</f>
        <v>0</v>
      </c>
      <c r="BI222" s="152">
        <f>IF(N222="nulová",J222,0)</f>
        <v>0</v>
      </c>
      <c r="BJ222" s="19" t="s">
        <v>85</v>
      </c>
      <c r="BK222" s="152">
        <f>ROUND(I222*H222,2)</f>
        <v>0</v>
      </c>
      <c r="BL222" s="19" t="s">
        <v>237</v>
      </c>
      <c r="BM222" s="151" t="s">
        <v>3983</v>
      </c>
    </row>
    <row r="223" spans="1:65" s="2" customFormat="1">
      <c r="A223" s="34"/>
      <c r="B223" s="35"/>
      <c r="C223" s="34"/>
      <c r="D223" s="153" t="s">
        <v>187</v>
      </c>
      <c r="E223" s="34"/>
      <c r="F223" s="154" t="s">
        <v>3984</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187</v>
      </c>
      <c r="AU223" s="19" t="s">
        <v>87</v>
      </c>
    </row>
    <row r="224" spans="1:65" s="2" customFormat="1">
      <c r="A224" s="34"/>
      <c r="B224" s="35"/>
      <c r="C224" s="34"/>
      <c r="D224" s="158" t="s">
        <v>189</v>
      </c>
      <c r="E224" s="34"/>
      <c r="F224" s="159" t="s">
        <v>3985</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189</v>
      </c>
      <c r="AU224" s="19" t="s">
        <v>87</v>
      </c>
    </row>
    <row r="225" spans="1:65" s="2" customFormat="1" ht="16.5" customHeight="1">
      <c r="A225" s="34"/>
      <c r="B225" s="139"/>
      <c r="C225" s="140" t="s">
        <v>537</v>
      </c>
      <c r="D225" s="140" t="s">
        <v>180</v>
      </c>
      <c r="E225" s="141" t="s">
        <v>3986</v>
      </c>
      <c r="F225" s="142" t="s">
        <v>3987</v>
      </c>
      <c r="G225" s="143" t="s">
        <v>476</v>
      </c>
      <c r="H225" s="144">
        <v>109.35</v>
      </c>
      <c r="I225" s="145"/>
      <c r="J225" s="146">
        <f>ROUND(I225*H225,2)</f>
        <v>0</v>
      </c>
      <c r="K225" s="142" t="s">
        <v>184</v>
      </c>
      <c r="L225" s="35"/>
      <c r="M225" s="147" t="s">
        <v>3</v>
      </c>
      <c r="N225" s="148" t="s">
        <v>48</v>
      </c>
      <c r="O225" s="55"/>
      <c r="P225" s="149">
        <f>O225*H225</f>
        <v>0</v>
      </c>
      <c r="Q225" s="149">
        <v>0</v>
      </c>
      <c r="R225" s="149">
        <f>Q225*H225</f>
        <v>0</v>
      </c>
      <c r="S225" s="149">
        <v>0</v>
      </c>
      <c r="T225" s="150">
        <f>S225*H225</f>
        <v>0</v>
      </c>
      <c r="U225" s="34"/>
      <c r="V225" s="34"/>
      <c r="W225" s="34"/>
      <c r="X225" s="34"/>
      <c r="Y225" s="34"/>
      <c r="Z225" s="34"/>
      <c r="AA225" s="34"/>
      <c r="AB225" s="34"/>
      <c r="AC225" s="34"/>
      <c r="AD225" s="34"/>
      <c r="AE225" s="34"/>
      <c r="AR225" s="151" t="s">
        <v>237</v>
      </c>
      <c r="AT225" s="151" t="s">
        <v>180</v>
      </c>
      <c r="AU225" s="151" t="s">
        <v>87</v>
      </c>
      <c r="AY225" s="19" t="s">
        <v>177</v>
      </c>
      <c r="BE225" s="152">
        <f>IF(N225="základní",J225,0)</f>
        <v>0</v>
      </c>
      <c r="BF225" s="152">
        <f>IF(N225="snížená",J225,0)</f>
        <v>0</v>
      </c>
      <c r="BG225" s="152">
        <f>IF(N225="zákl. přenesená",J225,0)</f>
        <v>0</v>
      </c>
      <c r="BH225" s="152">
        <f>IF(N225="sníž. přenesená",J225,0)</f>
        <v>0</v>
      </c>
      <c r="BI225" s="152">
        <f>IF(N225="nulová",J225,0)</f>
        <v>0</v>
      </c>
      <c r="BJ225" s="19" t="s">
        <v>85</v>
      </c>
      <c r="BK225" s="152">
        <f>ROUND(I225*H225,2)</f>
        <v>0</v>
      </c>
      <c r="BL225" s="19" t="s">
        <v>237</v>
      </c>
      <c r="BM225" s="151" t="s">
        <v>3988</v>
      </c>
    </row>
    <row r="226" spans="1:65" s="2" customFormat="1">
      <c r="A226" s="34"/>
      <c r="B226" s="35"/>
      <c r="C226" s="34"/>
      <c r="D226" s="153" t="s">
        <v>187</v>
      </c>
      <c r="E226" s="34"/>
      <c r="F226" s="154" t="s">
        <v>3989</v>
      </c>
      <c r="G226" s="34"/>
      <c r="H226" s="34"/>
      <c r="I226" s="155"/>
      <c r="J226" s="34"/>
      <c r="K226" s="34"/>
      <c r="L226" s="35"/>
      <c r="M226" s="156"/>
      <c r="N226" s="157"/>
      <c r="O226" s="55"/>
      <c r="P226" s="55"/>
      <c r="Q226" s="55"/>
      <c r="R226" s="55"/>
      <c r="S226" s="55"/>
      <c r="T226" s="56"/>
      <c r="U226" s="34"/>
      <c r="V226" s="34"/>
      <c r="W226" s="34"/>
      <c r="X226" s="34"/>
      <c r="Y226" s="34"/>
      <c r="Z226" s="34"/>
      <c r="AA226" s="34"/>
      <c r="AB226" s="34"/>
      <c r="AC226" s="34"/>
      <c r="AD226" s="34"/>
      <c r="AE226" s="34"/>
      <c r="AT226" s="19" t="s">
        <v>187</v>
      </c>
      <c r="AU226" s="19" t="s">
        <v>87</v>
      </c>
    </row>
    <row r="227" spans="1:65" s="2" customFormat="1">
      <c r="A227" s="34"/>
      <c r="B227" s="35"/>
      <c r="C227" s="34"/>
      <c r="D227" s="158" t="s">
        <v>189</v>
      </c>
      <c r="E227" s="34"/>
      <c r="F227" s="159" t="s">
        <v>3990</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189</v>
      </c>
      <c r="AU227" s="19" t="s">
        <v>87</v>
      </c>
    </row>
    <row r="228" spans="1:65" s="2" customFormat="1" ht="16.5" customHeight="1">
      <c r="A228" s="34"/>
      <c r="B228" s="139"/>
      <c r="C228" s="140" t="s">
        <v>757</v>
      </c>
      <c r="D228" s="140" t="s">
        <v>180</v>
      </c>
      <c r="E228" s="141" t="s">
        <v>3991</v>
      </c>
      <c r="F228" s="142" t="s">
        <v>3992</v>
      </c>
      <c r="G228" s="143" t="s">
        <v>476</v>
      </c>
      <c r="H228" s="144">
        <v>57.8</v>
      </c>
      <c r="I228" s="145"/>
      <c r="J228" s="146">
        <f>ROUND(I228*H228,2)</f>
        <v>0</v>
      </c>
      <c r="K228" s="142" t="s">
        <v>184</v>
      </c>
      <c r="L228" s="35"/>
      <c r="M228" s="147" t="s">
        <v>3</v>
      </c>
      <c r="N228" s="148" t="s">
        <v>48</v>
      </c>
      <c r="O228" s="55"/>
      <c r="P228" s="149">
        <f>O228*H228</f>
        <v>0</v>
      </c>
      <c r="Q228" s="149">
        <v>0</v>
      </c>
      <c r="R228" s="149">
        <f>Q228*H228</f>
        <v>0</v>
      </c>
      <c r="S228" s="149">
        <v>0</v>
      </c>
      <c r="T228" s="150">
        <f>S228*H228</f>
        <v>0</v>
      </c>
      <c r="U228" s="34"/>
      <c r="V228" s="34"/>
      <c r="W228" s="34"/>
      <c r="X228" s="34"/>
      <c r="Y228" s="34"/>
      <c r="Z228" s="34"/>
      <c r="AA228" s="34"/>
      <c r="AB228" s="34"/>
      <c r="AC228" s="34"/>
      <c r="AD228" s="34"/>
      <c r="AE228" s="34"/>
      <c r="AR228" s="151" t="s">
        <v>237</v>
      </c>
      <c r="AT228" s="151" t="s">
        <v>180</v>
      </c>
      <c r="AU228" s="151" t="s">
        <v>87</v>
      </c>
      <c r="AY228" s="19" t="s">
        <v>177</v>
      </c>
      <c r="BE228" s="152">
        <f>IF(N228="základní",J228,0)</f>
        <v>0</v>
      </c>
      <c r="BF228" s="152">
        <f>IF(N228="snížená",J228,0)</f>
        <v>0</v>
      </c>
      <c r="BG228" s="152">
        <f>IF(N228="zákl. přenesená",J228,0)</f>
        <v>0</v>
      </c>
      <c r="BH228" s="152">
        <f>IF(N228="sníž. přenesená",J228,0)</f>
        <v>0</v>
      </c>
      <c r="BI228" s="152">
        <f>IF(N228="nulová",J228,0)</f>
        <v>0</v>
      </c>
      <c r="BJ228" s="19" t="s">
        <v>85</v>
      </c>
      <c r="BK228" s="152">
        <f>ROUND(I228*H228,2)</f>
        <v>0</v>
      </c>
      <c r="BL228" s="19" t="s">
        <v>237</v>
      </c>
      <c r="BM228" s="151" t="s">
        <v>3993</v>
      </c>
    </row>
    <row r="229" spans="1:65" s="2" customFormat="1">
      <c r="A229" s="34"/>
      <c r="B229" s="35"/>
      <c r="C229" s="34"/>
      <c r="D229" s="153" t="s">
        <v>187</v>
      </c>
      <c r="E229" s="34"/>
      <c r="F229" s="154" t="s">
        <v>3994</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187</v>
      </c>
      <c r="AU229" s="19" t="s">
        <v>87</v>
      </c>
    </row>
    <row r="230" spans="1:65" s="2" customFormat="1">
      <c r="A230" s="34"/>
      <c r="B230" s="35"/>
      <c r="C230" s="34"/>
      <c r="D230" s="158" t="s">
        <v>189</v>
      </c>
      <c r="E230" s="34"/>
      <c r="F230" s="159" t="s">
        <v>3995</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189</v>
      </c>
      <c r="AU230" s="19" t="s">
        <v>87</v>
      </c>
    </row>
    <row r="231" spans="1:65" s="2" customFormat="1" ht="16.5" customHeight="1">
      <c r="A231" s="34"/>
      <c r="B231" s="139"/>
      <c r="C231" s="140" t="s">
        <v>764</v>
      </c>
      <c r="D231" s="140" t="s">
        <v>180</v>
      </c>
      <c r="E231" s="141" t="s">
        <v>2836</v>
      </c>
      <c r="F231" s="142" t="s">
        <v>2837</v>
      </c>
      <c r="G231" s="143" t="s">
        <v>183</v>
      </c>
      <c r="H231" s="144">
        <v>0.38700000000000001</v>
      </c>
      <c r="I231" s="145"/>
      <c r="J231" s="146">
        <f>ROUND(I231*H231,2)</f>
        <v>0</v>
      </c>
      <c r="K231" s="142" t="s">
        <v>184</v>
      </c>
      <c r="L231" s="35"/>
      <c r="M231" s="147" t="s">
        <v>3</v>
      </c>
      <c r="N231" s="148" t="s">
        <v>48</v>
      </c>
      <c r="O231" s="55"/>
      <c r="P231" s="149">
        <f>O231*H231</f>
        <v>0</v>
      </c>
      <c r="Q231" s="149">
        <v>0</v>
      </c>
      <c r="R231" s="149">
        <f>Q231*H231</f>
        <v>0</v>
      </c>
      <c r="S231" s="149">
        <v>0</v>
      </c>
      <c r="T231" s="150">
        <f>S231*H231</f>
        <v>0</v>
      </c>
      <c r="U231" s="34"/>
      <c r="V231" s="34"/>
      <c r="W231" s="34"/>
      <c r="X231" s="34"/>
      <c r="Y231" s="34"/>
      <c r="Z231" s="34"/>
      <c r="AA231" s="34"/>
      <c r="AB231" s="34"/>
      <c r="AC231" s="34"/>
      <c r="AD231" s="34"/>
      <c r="AE231" s="34"/>
      <c r="AR231" s="151" t="s">
        <v>237</v>
      </c>
      <c r="AT231" s="151" t="s">
        <v>180</v>
      </c>
      <c r="AU231" s="151" t="s">
        <v>87</v>
      </c>
      <c r="AY231" s="19" t="s">
        <v>177</v>
      </c>
      <c r="BE231" s="152">
        <f>IF(N231="základní",J231,0)</f>
        <v>0</v>
      </c>
      <c r="BF231" s="152">
        <f>IF(N231="snížená",J231,0)</f>
        <v>0</v>
      </c>
      <c r="BG231" s="152">
        <f>IF(N231="zákl. přenesená",J231,0)</f>
        <v>0</v>
      </c>
      <c r="BH231" s="152">
        <f>IF(N231="sníž. přenesená",J231,0)</f>
        <v>0</v>
      </c>
      <c r="BI231" s="152">
        <f>IF(N231="nulová",J231,0)</f>
        <v>0</v>
      </c>
      <c r="BJ231" s="19" t="s">
        <v>85</v>
      </c>
      <c r="BK231" s="152">
        <f>ROUND(I231*H231,2)</f>
        <v>0</v>
      </c>
      <c r="BL231" s="19" t="s">
        <v>237</v>
      </c>
      <c r="BM231" s="151" t="s">
        <v>3996</v>
      </c>
    </row>
    <row r="232" spans="1:65" s="2" customFormat="1" ht="19.5">
      <c r="A232" s="34"/>
      <c r="B232" s="35"/>
      <c r="C232" s="34"/>
      <c r="D232" s="153" t="s">
        <v>187</v>
      </c>
      <c r="E232" s="34"/>
      <c r="F232" s="154" t="s">
        <v>2839</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187</v>
      </c>
      <c r="AU232" s="19" t="s">
        <v>87</v>
      </c>
    </row>
    <row r="233" spans="1:65" s="2" customFormat="1">
      <c r="A233" s="34"/>
      <c r="B233" s="35"/>
      <c r="C233" s="34"/>
      <c r="D233" s="158" t="s">
        <v>189</v>
      </c>
      <c r="E233" s="34"/>
      <c r="F233" s="159" t="s">
        <v>2840</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189</v>
      </c>
      <c r="AU233" s="19" t="s">
        <v>87</v>
      </c>
    </row>
    <row r="234" spans="1:65" s="2" customFormat="1" ht="78">
      <c r="A234" s="34"/>
      <c r="B234" s="35"/>
      <c r="C234" s="34"/>
      <c r="D234" s="153" t="s">
        <v>191</v>
      </c>
      <c r="E234" s="34"/>
      <c r="F234" s="160" t="s">
        <v>763</v>
      </c>
      <c r="G234" s="34"/>
      <c r="H234" s="34"/>
      <c r="I234" s="155"/>
      <c r="J234" s="34"/>
      <c r="K234" s="34"/>
      <c r="L234" s="35"/>
      <c r="M234" s="156"/>
      <c r="N234" s="157"/>
      <c r="O234" s="55"/>
      <c r="P234" s="55"/>
      <c r="Q234" s="55"/>
      <c r="R234" s="55"/>
      <c r="S234" s="55"/>
      <c r="T234" s="56"/>
      <c r="U234" s="34"/>
      <c r="V234" s="34"/>
      <c r="W234" s="34"/>
      <c r="X234" s="34"/>
      <c r="Y234" s="34"/>
      <c r="Z234" s="34"/>
      <c r="AA234" s="34"/>
      <c r="AB234" s="34"/>
      <c r="AC234" s="34"/>
      <c r="AD234" s="34"/>
      <c r="AE234" s="34"/>
      <c r="AT234" s="19" t="s">
        <v>191</v>
      </c>
      <c r="AU234" s="19" t="s">
        <v>87</v>
      </c>
    </row>
    <row r="235" spans="1:65" s="2" customFormat="1" ht="16.5" customHeight="1">
      <c r="A235" s="34"/>
      <c r="B235" s="139"/>
      <c r="C235" s="140" t="s">
        <v>772</v>
      </c>
      <c r="D235" s="140" t="s">
        <v>180</v>
      </c>
      <c r="E235" s="141" t="s">
        <v>2842</v>
      </c>
      <c r="F235" s="142" t="s">
        <v>2843</v>
      </c>
      <c r="G235" s="143" t="s">
        <v>183</v>
      </c>
      <c r="H235" s="144">
        <v>0.38700000000000001</v>
      </c>
      <c r="I235" s="145"/>
      <c r="J235" s="146">
        <f>ROUND(I235*H235,2)</f>
        <v>0</v>
      </c>
      <c r="K235" s="142" t="s">
        <v>184</v>
      </c>
      <c r="L235" s="35"/>
      <c r="M235" s="147" t="s">
        <v>3</v>
      </c>
      <c r="N235" s="148" t="s">
        <v>48</v>
      </c>
      <c r="O235" s="55"/>
      <c r="P235" s="149">
        <f>O235*H235</f>
        <v>0</v>
      </c>
      <c r="Q235" s="149">
        <v>0</v>
      </c>
      <c r="R235" s="149">
        <f>Q235*H235</f>
        <v>0</v>
      </c>
      <c r="S235" s="149">
        <v>0</v>
      </c>
      <c r="T235" s="150">
        <f>S235*H235</f>
        <v>0</v>
      </c>
      <c r="U235" s="34"/>
      <c r="V235" s="34"/>
      <c r="W235" s="34"/>
      <c r="X235" s="34"/>
      <c r="Y235" s="34"/>
      <c r="Z235" s="34"/>
      <c r="AA235" s="34"/>
      <c r="AB235" s="34"/>
      <c r="AC235" s="34"/>
      <c r="AD235" s="34"/>
      <c r="AE235" s="34"/>
      <c r="AR235" s="151" t="s">
        <v>237</v>
      </c>
      <c r="AT235" s="151" t="s">
        <v>180</v>
      </c>
      <c r="AU235" s="151" t="s">
        <v>87</v>
      </c>
      <c r="AY235" s="19" t="s">
        <v>177</v>
      </c>
      <c r="BE235" s="152">
        <f>IF(N235="základní",J235,0)</f>
        <v>0</v>
      </c>
      <c r="BF235" s="152">
        <f>IF(N235="snížená",J235,0)</f>
        <v>0</v>
      </c>
      <c r="BG235" s="152">
        <f>IF(N235="zákl. přenesená",J235,0)</f>
        <v>0</v>
      </c>
      <c r="BH235" s="152">
        <f>IF(N235="sníž. přenesená",J235,0)</f>
        <v>0</v>
      </c>
      <c r="BI235" s="152">
        <f>IF(N235="nulová",J235,0)</f>
        <v>0</v>
      </c>
      <c r="BJ235" s="19" t="s">
        <v>85</v>
      </c>
      <c r="BK235" s="152">
        <f>ROUND(I235*H235,2)</f>
        <v>0</v>
      </c>
      <c r="BL235" s="19" t="s">
        <v>237</v>
      </c>
      <c r="BM235" s="151" t="s">
        <v>3997</v>
      </c>
    </row>
    <row r="236" spans="1:65" s="2" customFormat="1" ht="19.5">
      <c r="A236" s="34"/>
      <c r="B236" s="35"/>
      <c r="C236" s="34"/>
      <c r="D236" s="153" t="s">
        <v>187</v>
      </c>
      <c r="E236" s="34"/>
      <c r="F236" s="154" t="s">
        <v>2845</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187</v>
      </c>
      <c r="AU236" s="19" t="s">
        <v>87</v>
      </c>
    </row>
    <row r="237" spans="1:65" s="2" customFormat="1">
      <c r="A237" s="34"/>
      <c r="B237" s="35"/>
      <c r="C237" s="34"/>
      <c r="D237" s="158" t="s">
        <v>189</v>
      </c>
      <c r="E237" s="34"/>
      <c r="F237" s="159" t="s">
        <v>2846</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189</v>
      </c>
      <c r="AU237" s="19" t="s">
        <v>87</v>
      </c>
    </row>
    <row r="238" spans="1:65" s="2" customFormat="1" ht="78">
      <c r="A238" s="34"/>
      <c r="B238" s="35"/>
      <c r="C238" s="34"/>
      <c r="D238" s="153" t="s">
        <v>191</v>
      </c>
      <c r="E238" s="34"/>
      <c r="F238" s="160" t="s">
        <v>763</v>
      </c>
      <c r="G238" s="34"/>
      <c r="H238" s="34"/>
      <c r="I238" s="155"/>
      <c r="J238" s="34"/>
      <c r="K238" s="34"/>
      <c r="L238" s="35"/>
      <c r="M238" s="156"/>
      <c r="N238" s="157"/>
      <c r="O238" s="55"/>
      <c r="P238" s="55"/>
      <c r="Q238" s="55"/>
      <c r="R238" s="55"/>
      <c r="S238" s="55"/>
      <c r="T238" s="56"/>
      <c r="U238" s="34"/>
      <c r="V238" s="34"/>
      <c r="W238" s="34"/>
      <c r="X238" s="34"/>
      <c r="Y238" s="34"/>
      <c r="Z238" s="34"/>
      <c r="AA238" s="34"/>
      <c r="AB238" s="34"/>
      <c r="AC238" s="34"/>
      <c r="AD238" s="34"/>
      <c r="AE238" s="34"/>
      <c r="AT238" s="19" t="s">
        <v>191</v>
      </c>
      <c r="AU238" s="19" t="s">
        <v>87</v>
      </c>
    </row>
    <row r="239" spans="1:65" s="2" customFormat="1" ht="16.5" customHeight="1">
      <c r="A239" s="34"/>
      <c r="B239" s="139"/>
      <c r="C239" s="195" t="s">
        <v>781</v>
      </c>
      <c r="D239" s="195" t="s">
        <v>484</v>
      </c>
      <c r="E239" s="196" t="s">
        <v>3998</v>
      </c>
      <c r="F239" s="197" t="s">
        <v>3999</v>
      </c>
      <c r="G239" s="198" t="s">
        <v>236</v>
      </c>
      <c r="H239" s="199">
        <v>1</v>
      </c>
      <c r="I239" s="200"/>
      <c r="J239" s="201">
        <f>ROUND(I239*H239,2)</f>
        <v>0</v>
      </c>
      <c r="K239" s="197" t="s">
        <v>184</v>
      </c>
      <c r="L239" s="202"/>
      <c r="M239" s="203" t="s">
        <v>3</v>
      </c>
      <c r="N239" s="204" t="s">
        <v>48</v>
      </c>
      <c r="O239" s="55"/>
      <c r="P239" s="149">
        <f>O239*H239</f>
        <v>0</v>
      </c>
      <c r="Q239" s="149">
        <v>1.3999999999999999E-4</v>
      </c>
      <c r="R239" s="149">
        <f>Q239*H239</f>
        <v>1.3999999999999999E-4</v>
      </c>
      <c r="S239" s="149">
        <v>0</v>
      </c>
      <c r="T239" s="150">
        <f>S239*H239</f>
        <v>0</v>
      </c>
      <c r="U239" s="34"/>
      <c r="V239" s="34"/>
      <c r="W239" s="34"/>
      <c r="X239" s="34"/>
      <c r="Y239" s="34"/>
      <c r="Z239" s="34"/>
      <c r="AA239" s="34"/>
      <c r="AB239" s="34"/>
      <c r="AC239" s="34"/>
      <c r="AD239" s="34"/>
      <c r="AE239" s="34"/>
      <c r="AR239" s="151" t="s">
        <v>537</v>
      </c>
      <c r="AT239" s="151" t="s">
        <v>484</v>
      </c>
      <c r="AU239" s="151" t="s">
        <v>87</v>
      </c>
      <c r="AY239" s="19" t="s">
        <v>177</v>
      </c>
      <c r="BE239" s="152">
        <f>IF(N239="základní",J239,0)</f>
        <v>0</v>
      </c>
      <c r="BF239" s="152">
        <f>IF(N239="snížená",J239,0)</f>
        <v>0</v>
      </c>
      <c r="BG239" s="152">
        <f>IF(N239="zákl. přenesená",J239,0)</f>
        <v>0</v>
      </c>
      <c r="BH239" s="152">
        <f>IF(N239="sníž. přenesená",J239,0)</f>
        <v>0</v>
      </c>
      <c r="BI239" s="152">
        <f>IF(N239="nulová",J239,0)</f>
        <v>0</v>
      </c>
      <c r="BJ239" s="19" t="s">
        <v>85</v>
      </c>
      <c r="BK239" s="152">
        <f>ROUND(I239*H239,2)</f>
        <v>0</v>
      </c>
      <c r="BL239" s="19" t="s">
        <v>237</v>
      </c>
      <c r="BM239" s="151" t="s">
        <v>4000</v>
      </c>
    </row>
    <row r="240" spans="1:65" s="2" customFormat="1">
      <c r="A240" s="34"/>
      <c r="B240" s="35"/>
      <c r="C240" s="34"/>
      <c r="D240" s="153" t="s">
        <v>187</v>
      </c>
      <c r="E240" s="34"/>
      <c r="F240" s="154" t="s">
        <v>3999</v>
      </c>
      <c r="G240" s="34"/>
      <c r="H240" s="34"/>
      <c r="I240" s="155"/>
      <c r="J240" s="34"/>
      <c r="K240" s="34"/>
      <c r="L240" s="35"/>
      <c r="M240" s="156"/>
      <c r="N240" s="157"/>
      <c r="O240" s="55"/>
      <c r="P240" s="55"/>
      <c r="Q240" s="55"/>
      <c r="R240" s="55"/>
      <c r="S240" s="55"/>
      <c r="T240" s="56"/>
      <c r="U240" s="34"/>
      <c r="V240" s="34"/>
      <c r="W240" s="34"/>
      <c r="X240" s="34"/>
      <c r="Y240" s="34"/>
      <c r="Z240" s="34"/>
      <c r="AA240" s="34"/>
      <c r="AB240" s="34"/>
      <c r="AC240" s="34"/>
      <c r="AD240" s="34"/>
      <c r="AE240" s="34"/>
      <c r="AT240" s="19" t="s">
        <v>187</v>
      </c>
      <c r="AU240" s="19" t="s">
        <v>87</v>
      </c>
    </row>
    <row r="241" spans="1:65" s="2" customFormat="1" ht="16.5" customHeight="1">
      <c r="A241" s="34"/>
      <c r="B241" s="139"/>
      <c r="C241" s="195" t="s">
        <v>787</v>
      </c>
      <c r="D241" s="195" t="s">
        <v>484</v>
      </c>
      <c r="E241" s="196" t="s">
        <v>4001</v>
      </c>
      <c r="F241" s="197" t="s">
        <v>4002</v>
      </c>
      <c r="G241" s="198" t="s">
        <v>236</v>
      </c>
      <c r="H241" s="199">
        <v>1</v>
      </c>
      <c r="I241" s="200"/>
      <c r="J241" s="201">
        <f>ROUND(I241*H241,2)</f>
        <v>0</v>
      </c>
      <c r="K241" s="197" t="s">
        <v>184</v>
      </c>
      <c r="L241" s="202"/>
      <c r="M241" s="203" t="s">
        <v>3</v>
      </c>
      <c r="N241" s="204" t="s">
        <v>48</v>
      </c>
      <c r="O241" s="55"/>
      <c r="P241" s="149">
        <f>O241*H241</f>
        <v>0</v>
      </c>
      <c r="Q241" s="149">
        <v>4.0000000000000002E-4</v>
      </c>
      <c r="R241" s="149">
        <f>Q241*H241</f>
        <v>4.0000000000000002E-4</v>
      </c>
      <c r="S241" s="149">
        <v>0</v>
      </c>
      <c r="T241" s="150">
        <f>S241*H241</f>
        <v>0</v>
      </c>
      <c r="U241" s="34"/>
      <c r="V241" s="34"/>
      <c r="W241" s="34"/>
      <c r="X241" s="34"/>
      <c r="Y241" s="34"/>
      <c r="Z241" s="34"/>
      <c r="AA241" s="34"/>
      <c r="AB241" s="34"/>
      <c r="AC241" s="34"/>
      <c r="AD241" s="34"/>
      <c r="AE241" s="34"/>
      <c r="AR241" s="151" t="s">
        <v>537</v>
      </c>
      <c r="AT241" s="151" t="s">
        <v>484</v>
      </c>
      <c r="AU241" s="151" t="s">
        <v>87</v>
      </c>
      <c r="AY241" s="19" t="s">
        <v>177</v>
      </c>
      <c r="BE241" s="152">
        <f>IF(N241="základní",J241,0)</f>
        <v>0</v>
      </c>
      <c r="BF241" s="152">
        <f>IF(N241="snížená",J241,0)</f>
        <v>0</v>
      </c>
      <c r="BG241" s="152">
        <f>IF(N241="zákl. přenesená",J241,0)</f>
        <v>0</v>
      </c>
      <c r="BH241" s="152">
        <f>IF(N241="sníž. přenesená",J241,0)</f>
        <v>0</v>
      </c>
      <c r="BI241" s="152">
        <f>IF(N241="nulová",J241,0)</f>
        <v>0</v>
      </c>
      <c r="BJ241" s="19" t="s">
        <v>85</v>
      </c>
      <c r="BK241" s="152">
        <f>ROUND(I241*H241,2)</f>
        <v>0</v>
      </c>
      <c r="BL241" s="19" t="s">
        <v>237</v>
      </c>
      <c r="BM241" s="151" t="s">
        <v>4003</v>
      </c>
    </row>
    <row r="242" spans="1:65" s="2" customFormat="1">
      <c r="A242" s="34"/>
      <c r="B242" s="35"/>
      <c r="C242" s="34"/>
      <c r="D242" s="153" t="s">
        <v>187</v>
      </c>
      <c r="E242" s="34"/>
      <c r="F242" s="154" t="s">
        <v>4002</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187</v>
      </c>
      <c r="AU242" s="19" t="s">
        <v>87</v>
      </c>
    </row>
    <row r="243" spans="1:65" s="2" customFormat="1" ht="16.5" customHeight="1">
      <c r="A243" s="34"/>
      <c r="B243" s="139"/>
      <c r="C243" s="195" t="s">
        <v>794</v>
      </c>
      <c r="D243" s="195" t="s">
        <v>484</v>
      </c>
      <c r="E243" s="196" t="s">
        <v>4004</v>
      </c>
      <c r="F243" s="197" t="s">
        <v>4005</v>
      </c>
      <c r="G243" s="198" t="s">
        <v>236</v>
      </c>
      <c r="H243" s="199">
        <v>2</v>
      </c>
      <c r="I243" s="200"/>
      <c r="J243" s="201">
        <f>ROUND(I243*H243,2)</f>
        <v>0</v>
      </c>
      <c r="K243" s="197" t="s">
        <v>184</v>
      </c>
      <c r="L243" s="202"/>
      <c r="M243" s="203" t="s">
        <v>3</v>
      </c>
      <c r="N243" s="204" t="s">
        <v>48</v>
      </c>
      <c r="O243" s="55"/>
      <c r="P243" s="149">
        <f>O243*H243</f>
        <v>0</v>
      </c>
      <c r="Q243" s="149">
        <v>6.9999999999999999E-4</v>
      </c>
      <c r="R243" s="149">
        <f>Q243*H243</f>
        <v>1.4E-3</v>
      </c>
      <c r="S243" s="149">
        <v>0</v>
      </c>
      <c r="T243" s="150">
        <f>S243*H243</f>
        <v>0</v>
      </c>
      <c r="U243" s="34"/>
      <c r="V243" s="34"/>
      <c r="W243" s="34"/>
      <c r="X243" s="34"/>
      <c r="Y243" s="34"/>
      <c r="Z243" s="34"/>
      <c r="AA243" s="34"/>
      <c r="AB243" s="34"/>
      <c r="AC243" s="34"/>
      <c r="AD243" s="34"/>
      <c r="AE243" s="34"/>
      <c r="AR243" s="151" t="s">
        <v>537</v>
      </c>
      <c r="AT243" s="151" t="s">
        <v>484</v>
      </c>
      <c r="AU243" s="151" t="s">
        <v>87</v>
      </c>
      <c r="AY243" s="19" t="s">
        <v>177</v>
      </c>
      <c r="BE243" s="152">
        <f>IF(N243="základní",J243,0)</f>
        <v>0</v>
      </c>
      <c r="BF243" s="152">
        <f>IF(N243="snížená",J243,0)</f>
        <v>0</v>
      </c>
      <c r="BG243" s="152">
        <f>IF(N243="zákl. přenesená",J243,0)</f>
        <v>0</v>
      </c>
      <c r="BH243" s="152">
        <f>IF(N243="sníž. přenesená",J243,0)</f>
        <v>0</v>
      </c>
      <c r="BI243" s="152">
        <f>IF(N243="nulová",J243,0)</f>
        <v>0</v>
      </c>
      <c r="BJ243" s="19" t="s">
        <v>85</v>
      </c>
      <c r="BK243" s="152">
        <f>ROUND(I243*H243,2)</f>
        <v>0</v>
      </c>
      <c r="BL243" s="19" t="s">
        <v>237</v>
      </c>
      <c r="BM243" s="151" t="s">
        <v>4006</v>
      </c>
    </row>
    <row r="244" spans="1:65" s="2" customFormat="1">
      <c r="A244" s="34"/>
      <c r="B244" s="35"/>
      <c r="C244" s="34"/>
      <c r="D244" s="153" t="s">
        <v>187</v>
      </c>
      <c r="E244" s="34"/>
      <c r="F244" s="154" t="s">
        <v>4005</v>
      </c>
      <c r="G244" s="34"/>
      <c r="H244" s="34"/>
      <c r="I244" s="155"/>
      <c r="J244" s="34"/>
      <c r="K244" s="34"/>
      <c r="L244" s="35"/>
      <c r="M244" s="156"/>
      <c r="N244" s="157"/>
      <c r="O244" s="55"/>
      <c r="P244" s="55"/>
      <c r="Q244" s="55"/>
      <c r="R244" s="55"/>
      <c r="S244" s="55"/>
      <c r="T244" s="56"/>
      <c r="U244" s="34"/>
      <c r="V244" s="34"/>
      <c r="W244" s="34"/>
      <c r="X244" s="34"/>
      <c r="Y244" s="34"/>
      <c r="Z244" s="34"/>
      <c r="AA244" s="34"/>
      <c r="AB244" s="34"/>
      <c r="AC244" s="34"/>
      <c r="AD244" s="34"/>
      <c r="AE244" s="34"/>
      <c r="AT244" s="19" t="s">
        <v>187</v>
      </c>
      <c r="AU244" s="19" t="s">
        <v>87</v>
      </c>
    </row>
    <row r="245" spans="1:65" s="2" customFormat="1" ht="16.5" customHeight="1">
      <c r="A245" s="34"/>
      <c r="B245" s="139"/>
      <c r="C245" s="140" t="s">
        <v>800</v>
      </c>
      <c r="D245" s="140" t="s">
        <v>180</v>
      </c>
      <c r="E245" s="141" t="s">
        <v>4007</v>
      </c>
      <c r="F245" s="142" t="s">
        <v>4008</v>
      </c>
      <c r="G245" s="143" t="s">
        <v>243</v>
      </c>
      <c r="H245" s="144">
        <v>1</v>
      </c>
      <c r="I245" s="145"/>
      <c r="J245" s="146">
        <f>ROUND(I245*H245,2)</f>
        <v>0</v>
      </c>
      <c r="K245" s="142" t="s">
        <v>244</v>
      </c>
      <c r="L245" s="35"/>
      <c r="M245" s="147" t="s">
        <v>3</v>
      </c>
      <c r="N245" s="148" t="s">
        <v>48</v>
      </c>
      <c r="O245" s="55"/>
      <c r="P245" s="149">
        <f>O245*H245</f>
        <v>0</v>
      </c>
      <c r="Q245" s="149">
        <v>0</v>
      </c>
      <c r="R245" s="149">
        <f>Q245*H245</f>
        <v>0</v>
      </c>
      <c r="S245" s="149">
        <v>0</v>
      </c>
      <c r="T245" s="150">
        <f>S245*H245</f>
        <v>0</v>
      </c>
      <c r="U245" s="34"/>
      <c r="V245" s="34"/>
      <c r="W245" s="34"/>
      <c r="X245" s="34"/>
      <c r="Y245" s="34"/>
      <c r="Z245" s="34"/>
      <c r="AA245" s="34"/>
      <c r="AB245" s="34"/>
      <c r="AC245" s="34"/>
      <c r="AD245" s="34"/>
      <c r="AE245" s="34"/>
      <c r="AR245" s="151" t="s">
        <v>237</v>
      </c>
      <c r="AT245" s="151" t="s">
        <v>180</v>
      </c>
      <c r="AU245" s="151" t="s">
        <v>87</v>
      </c>
      <c r="AY245" s="19" t="s">
        <v>177</v>
      </c>
      <c r="BE245" s="152">
        <f>IF(N245="základní",J245,0)</f>
        <v>0</v>
      </c>
      <c r="BF245" s="152">
        <f>IF(N245="snížená",J245,0)</f>
        <v>0</v>
      </c>
      <c r="BG245" s="152">
        <f>IF(N245="zákl. přenesená",J245,0)</f>
        <v>0</v>
      </c>
      <c r="BH245" s="152">
        <f>IF(N245="sníž. přenesená",J245,0)</f>
        <v>0</v>
      </c>
      <c r="BI245" s="152">
        <f>IF(N245="nulová",J245,0)</f>
        <v>0</v>
      </c>
      <c r="BJ245" s="19" t="s">
        <v>85</v>
      </c>
      <c r="BK245" s="152">
        <f>ROUND(I245*H245,2)</f>
        <v>0</v>
      </c>
      <c r="BL245" s="19" t="s">
        <v>237</v>
      </c>
      <c r="BM245" s="151" t="s">
        <v>4009</v>
      </c>
    </row>
    <row r="246" spans="1:65" s="2" customFormat="1">
      <c r="A246" s="34"/>
      <c r="B246" s="35"/>
      <c r="C246" s="34"/>
      <c r="D246" s="153" t="s">
        <v>187</v>
      </c>
      <c r="E246" s="34"/>
      <c r="F246" s="154" t="s">
        <v>4008</v>
      </c>
      <c r="G246" s="34"/>
      <c r="H246" s="34"/>
      <c r="I246" s="155"/>
      <c r="J246" s="34"/>
      <c r="K246" s="34"/>
      <c r="L246" s="35"/>
      <c r="M246" s="156"/>
      <c r="N246" s="157"/>
      <c r="O246" s="55"/>
      <c r="P246" s="55"/>
      <c r="Q246" s="55"/>
      <c r="R246" s="55"/>
      <c r="S246" s="55"/>
      <c r="T246" s="56"/>
      <c r="U246" s="34"/>
      <c r="V246" s="34"/>
      <c r="W246" s="34"/>
      <c r="X246" s="34"/>
      <c r="Y246" s="34"/>
      <c r="Z246" s="34"/>
      <c r="AA246" s="34"/>
      <c r="AB246" s="34"/>
      <c r="AC246" s="34"/>
      <c r="AD246" s="34"/>
      <c r="AE246" s="34"/>
      <c r="AT246" s="19" t="s">
        <v>187</v>
      </c>
      <c r="AU246" s="19" t="s">
        <v>87</v>
      </c>
    </row>
    <row r="247" spans="1:65" s="12" customFormat="1" ht="22.9" customHeight="1">
      <c r="B247" s="126"/>
      <c r="D247" s="127" t="s">
        <v>76</v>
      </c>
      <c r="E247" s="137" t="s">
        <v>246</v>
      </c>
      <c r="F247" s="137" t="s">
        <v>247</v>
      </c>
      <c r="I247" s="129"/>
      <c r="J247" s="138">
        <f>BK247</f>
        <v>0</v>
      </c>
      <c r="L247" s="126"/>
      <c r="M247" s="131"/>
      <c r="N247" s="132"/>
      <c r="O247" s="132"/>
      <c r="P247" s="133">
        <f>SUM(P248:P326)</f>
        <v>0</v>
      </c>
      <c r="Q247" s="132"/>
      <c r="R247" s="133">
        <f>SUM(R248:R326)</f>
        <v>0.28434460049999999</v>
      </c>
      <c r="S247" s="132"/>
      <c r="T247" s="134">
        <f>SUM(T248:T326)</f>
        <v>0</v>
      </c>
      <c r="AR247" s="127" t="s">
        <v>87</v>
      </c>
      <c r="AT247" s="135" t="s">
        <v>76</v>
      </c>
      <c r="AU247" s="135" t="s">
        <v>85</v>
      </c>
      <c r="AY247" s="127" t="s">
        <v>177</v>
      </c>
      <c r="BK247" s="136">
        <f>SUM(BK248:BK326)</f>
        <v>0</v>
      </c>
    </row>
    <row r="248" spans="1:65" s="2" customFormat="1" ht="16.5" customHeight="1">
      <c r="A248" s="34"/>
      <c r="B248" s="139"/>
      <c r="C248" s="140" t="s">
        <v>1117</v>
      </c>
      <c r="D248" s="140" t="s">
        <v>180</v>
      </c>
      <c r="E248" s="141" t="s">
        <v>4010</v>
      </c>
      <c r="F248" s="142" t="s">
        <v>4008</v>
      </c>
      <c r="G248" s="143" t="s">
        <v>243</v>
      </c>
      <c r="H248" s="144">
        <v>1</v>
      </c>
      <c r="I248" s="145"/>
      <c r="J248" s="146">
        <f>ROUND(I248*H248,2)</f>
        <v>0</v>
      </c>
      <c r="K248" s="142" t="s">
        <v>244</v>
      </c>
      <c r="L248" s="35"/>
      <c r="M248" s="147" t="s">
        <v>3</v>
      </c>
      <c r="N248" s="148" t="s">
        <v>48</v>
      </c>
      <c r="O248" s="55"/>
      <c r="P248" s="149">
        <f>O248*H248</f>
        <v>0</v>
      </c>
      <c r="Q248" s="149">
        <v>0</v>
      </c>
      <c r="R248" s="149">
        <f>Q248*H248</f>
        <v>0</v>
      </c>
      <c r="S248" s="149">
        <v>0</v>
      </c>
      <c r="T248" s="150">
        <f>S248*H248</f>
        <v>0</v>
      </c>
      <c r="U248" s="34"/>
      <c r="V248" s="34"/>
      <c r="W248" s="34"/>
      <c r="X248" s="34"/>
      <c r="Y248" s="34"/>
      <c r="Z248" s="34"/>
      <c r="AA248" s="34"/>
      <c r="AB248" s="34"/>
      <c r="AC248" s="34"/>
      <c r="AD248" s="34"/>
      <c r="AE248" s="34"/>
      <c r="AR248" s="151" t="s">
        <v>237</v>
      </c>
      <c r="AT248" s="151" t="s">
        <v>180</v>
      </c>
      <c r="AU248" s="151" t="s">
        <v>87</v>
      </c>
      <c r="AY248" s="19" t="s">
        <v>177</v>
      </c>
      <c r="BE248" s="152">
        <f>IF(N248="základní",J248,0)</f>
        <v>0</v>
      </c>
      <c r="BF248" s="152">
        <f>IF(N248="snížená",J248,0)</f>
        <v>0</v>
      </c>
      <c r="BG248" s="152">
        <f>IF(N248="zákl. přenesená",J248,0)</f>
        <v>0</v>
      </c>
      <c r="BH248" s="152">
        <f>IF(N248="sníž. přenesená",J248,0)</f>
        <v>0</v>
      </c>
      <c r="BI248" s="152">
        <f>IF(N248="nulová",J248,0)</f>
        <v>0</v>
      </c>
      <c r="BJ248" s="19" t="s">
        <v>85</v>
      </c>
      <c r="BK248" s="152">
        <f>ROUND(I248*H248,2)</f>
        <v>0</v>
      </c>
      <c r="BL248" s="19" t="s">
        <v>237</v>
      </c>
      <c r="BM248" s="151" t="s">
        <v>4011</v>
      </c>
    </row>
    <row r="249" spans="1:65" s="2" customFormat="1">
      <c r="A249" s="34"/>
      <c r="B249" s="35"/>
      <c r="C249" s="34"/>
      <c r="D249" s="153" t="s">
        <v>187</v>
      </c>
      <c r="E249" s="34"/>
      <c r="F249" s="154" t="s">
        <v>4008</v>
      </c>
      <c r="G249" s="34"/>
      <c r="H249" s="34"/>
      <c r="I249" s="155"/>
      <c r="J249" s="34"/>
      <c r="K249" s="34"/>
      <c r="L249" s="35"/>
      <c r="M249" s="156"/>
      <c r="N249" s="157"/>
      <c r="O249" s="55"/>
      <c r="P249" s="55"/>
      <c r="Q249" s="55"/>
      <c r="R249" s="55"/>
      <c r="S249" s="55"/>
      <c r="T249" s="56"/>
      <c r="U249" s="34"/>
      <c r="V249" s="34"/>
      <c r="W249" s="34"/>
      <c r="X249" s="34"/>
      <c r="Y249" s="34"/>
      <c r="Z249" s="34"/>
      <c r="AA249" s="34"/>
      <c r="AB249" s="34"/>
      <c r="AC249" s="34"/>
      <c r="AD249" s="34"/>
      <c r="AE249" s="34"/>
      <c r="AT249" s="19" t="s">
        <v>187</v>
      </c>
      <c r="AU249" s="19" t="s">
        <v>87</v>
      </c>
    </row>
    <row r="250" spans="1:65" s="2" customFormat="1" ht="16.5" customHeight="1">
      <c r="A250" s="34"/>
      <c r="B250" s="139"/>
      <c r="C250" s="140" t="s">
        <v>1119</v>
      </c>
      <c r="D250" s="140" t="s">
        <v>180</v>
      </c>
      <c r="E250" s="141" t="s">
        <v>4012</v>
      </c>
      <c r="F250" s="142" t="s">
        <v>4013</v>
      </c>
      <c r="G250" s="143" t="s">
        <v>476</v>
      </c>
      <c r="H250" s="144">
        <v>53</v>
      </c>
      <c r="I250" s="145"/>
      <c r="J250" s="146">
        <f>ROUND(I250*H250,2)</f>
        <v>0</v>
      </c>
      <c r="K250" s="142" t="s">
        <v>184</v>
      </c>
      <c r="L250" s="35"/>
      <c r="M250" s="147" t="s">
        <v>3</v>
      </c>
      <c r="N250" s="148" t="s">
        <v>48</v>
      </c>
      <c r="O250" s="55"/>
      <c r="P250" s="149">
        <f>O250*H250</f>
        <v>0</v>
      </c>
      <c r="Q250" s="149">
        <v>8.4230000000000004E-4</v>
      </c>
      <c r="R250" s="149">
        <f>Q250*H250</f>
        <v>4.4641900000000005E-2</v>
      </c>
      <c r="S250" s="149">
        <v>0</v>
      </c>
      <c r="T250" s="150">
        <f>S250*H250</f>
        <v>0</v>
      </c>
      <c r="U250" s="34"/>
      <c r="V250" s="34"/>
      <c r="W250" s="34"/>
      <c r="X250" s="34"/>
      <c r="Y250" s="34"/>
      <c r="Z250" s="34"/>
      <c r="AA250" s="34"/>
      <c r="AB250" s="34"/>
      <c r="AC250" s="34"/>
      <c r="AD250" s="34"/>
      <c r="AE250" s="34"/>
      <c r="AR250" s="151" t="s">
        <v>237</v>
      </c>
      <c r="AT250" s="151" t="s">
        <v>180</v>
      </c>
      <c r="AU250" s="151" t="s">
        <v>87</v>
      </c>
      <c r="AY250" s="19" t="s">
        <v>177</v>
      </c>
      <c r="BE250" s="152">
        <f>IF(N250="základní",J250,0)</f>
        <v>0</v>
      </c>
      <c r="BF250" s="152">
        <f>IF(N250="snížená",J250,0)</f>
        <v>0</v>
      </c>
      <c r="BG250" s="152">
        <f>IF(N250="zákl. přenesená",J250,0)</f>
        <v>0</v>
      </c>
      <c r="BH250" s="152">
        <f>IF(N250="sníž. přenesená",J250,0)</f>
        <v>0</v>
      </c>
      <c r="BI250" s="152">
        <f>IF(N250="nulová",J250,0)</f>
        <v>0</v>
      </c>
      <c r="BJ250" s="19" t="s">
        <v>85</v>
      </c>
      <c r="BK250" s="152">
        <f>ROUND(I250*H250,2)</f>
        <v>0</v>
      </c>
      <c r="BL250" s="19" t="s">
        <v>237</v>
      </c>
      <c r="BM250" s="151" t="s">
        <v>4014</v>
      </c>
    </row>
    <row r="251" spans="1:65" s="2" customFormat="1">
      <c r="A251" s="34"/>
      <c r="B251" s="35"/>
      <c r="C251" s="34"/>
      <c r="D251" s="153" t="s">
        <v>187</v>
      </c>
      <c r="E251" s="34"/>
      <c r="F251" s="154" t="s">
        <v>4015</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187</v>
      </c>
      <c r="AU251" s="19" t="s">
        <v>87</v>
      </c>
    </row>
    <row r="252" spans="1:65" s="2" customFormat="1">
      <c r="A252" s="34"/>
      <c r="B252" s="35"/>
      <c r="C252" s="34"/>
      <c r="D252" s="158" t="s">
        <v>189</v>
      </c>
      <c r="E252" s="34"/>
      <c r="F252" s="159" t="s">
        <v>4016</v>
      </c>
      <c r="G252" s="34"/>
      <c r="H252" s="34"/>
      <c r="I252" s="155"/>
      <c r="J252" s="34"/>
      <c r="K252" s="34"/>
      <c r="L252" s="35"/>
      <c r="M252" s="156"/>
      <c r="N252" s="157"/>
      <c r="O252" s="55"/>
      <c r="P252" s="55"/>
      <c r="Q252" s="55"/>
      <c r="R252" s="55"/>
      <c r="S252" s="55"/>
      <c r="T252" s="56"/>
      <c r="U252" s="34"/>
      <c r="V252" s="34"/>
      <c r="W252" s="34"/>
      <c r="X252" s="34"/>
      <c r="Y252" s="34"/>
      <c r="Z252" s="34"/>
      <c r="AA252" s="34"/>
      <c r="AB252" s="34"/>
      <c r="AC252" s="34"/>
      <c r="AD252" s="34"/>
      <c r="AE252" s="34"/>
      <c r="AT252" s="19" t="s">
        <v>189</v>
      </c>
      <c r="AU252" s="19" t="s">
        <v>87</v>
      </c>
    </row>
    <row r="253" spans="1:65" s="2" customFormat="1" ht="16.5" customHeight="1">
      <c r="A253" s="34"/>
      <c r="B253" s="139"/>
      <c r="C253" s="140" t="s">
        <v>1126</v>
      </c>
      <c r="D253" s="140" t="s">
        <v>180</v>
      </c>
      <c r="E253" s="141" t="s">
        <v>4017</v>
      </c>
      <c r="F253" s="142" t="s">
        <v>4018</v>
      </c>
      <c r="G253" s="143" t="s">
        <v>476</v>
      </c>
      <c r="H253" s="144">
        <v>26</v>
      </c>
      <c r="I253" s="145"/>
      <c r="J253" s="146">
        <f>ROUND(I253*H253,2)</f>
        <v>0</v>
      </c>
      <c r="K253" s="142" t="s">
        <v>184</v>
      </c>
      <c r="L253" s="35"/>
      <c r="M253" s="147" t="s">
        <v>3</v>
      </c>
      <c r="N253" s="148" t="s">
        <v>48</v>
      </c>
      <c r="O253" s="55"/>
      <c r="P253" s="149">
        <f>O253*H253</f>
        <v>0</v>
      </c>
      <c r="Q253" s="149">
        <v>1.1590999999999999E-3</v>
      </c>
      <c r="R253" s="149">
        <f>Q253*H253</f>
        <v>3.0136599999999999E-2</v>
      </c>
      <c r="S253" s="149">
        <v>0</v>
      </c>
      <c r="T253" s="150">
        <f>S253*H253</f>
        <v>0</v>
      </c>
      <c r="U253" s="34"/>
      <c r="V253" s="34"/>
      <c r="W253" s="34"/>
      <c r="X253" s="34"/>
      <c r="Y253" s="34"/>
      <c r="Z253" s="34"/>
      <c r="AA253" s="34"/>
      <c r="AB253" s="34"/>
      <c r="AC253" s="34"/>
      <c r="AD253" s="34"/>
      <c r="AE253" s="34"/>
      <c r="AR253" s="151" t="s">
        <v>237</v>
      </c>
      <c r="AT253" s="151" t="s">
        <v>180</v>
      </c>
      <c r="AU253" s="151" t="s">
        <v>87</v>
      </c>
      <c r="AY253" s="19" t="s">
        <v>177</v>
      </c>
      <c r="BE253" s="152">
        <f>IF(N253="základní",J253,0)</f>
        <v>0</v>
      </c>
      <c r="BF253" s="152">
        <f>IF(N253="snížená",J253,0)</f>
        <v>0</v>
      </c>
      <c r="BG253" s="152">
        <f>IF(N253="zákl. přenesená",J253,0)</f>
        <v>0</v>
      </c>
      <c r="BH253" s="152">
        <f>IF(N253="sníž. přenesená",J253,0)</f>
        <v>0</v>
      </c>
      <c r="BI253" s="152">
        <f>IF(N253="nulová",J253,0)</f>
        <v>0</v>
      </c>
      <c r="BJ253" s="19" t="s">
        <v>85</v>
      </c>
      <c r="BK253" s="152">
        <f>ROUND(I253*H253,2)</f>
        <v>0</v>
      </c>
      <c r="BL253" s="19" t="s">
        <v>237</v>
      </c>
      <c r="BM253" s="151" t="s">
        <v>4019</v>
      </c>
    </row>
    <row r="254" spans="1:65" s="2" customFormat="1">
      <c r="A254" s="34"/>
      <c r="B254" s="35"/>
      <c r="C254" s="34"/>
      <c r="D254" s="153" t="s">
        <v>187</v>
      </c>
      <c r="E254" s="34"/>
      <c r="F254" s="154" t="s">
        <v>4020</v>
      </c>
      <c r="G254" s="34"/>
      <c r="H254" s="34"/>
      <c r="I254" s="155"/>
      <c r="J254" s="34"/>
      <c r="K254" s="34"/>
      <c r="L254" s="35"/>
      <c r="M254" s="156"/>
      <c r="N254" s="157"/>
      <c r="O254" s="55"/>
      <c r="P254" s="55"/>
      <c r="Q254" s="55"/>
      <c r="R254" s="55"/>
      <c r="S254" s="55"/>
      <c r="T254" s="56"/>
      <c r="U254" s="34"/>
      <c r="V254" s="34"/>
      <c r="W254" s="34"/>
      <c r="X254" s="34"/>
      <c r="Y254" s="34"/>
      <c r="Z254" s="34"/>
      <c r="AA254" s="34"/>
      <c r="AB254" s="34"/>
      <c r="AC254" s="34"/>
      <c r="AD254" s="34"/>
      <c r="AE254" s="34"/>
      <c r="AT254" s="19" t="s">
        <v>187</v>
      </c>
      <c r="AU254" s="19" t="s">
        <v>87</v>
      </c>
    </row>
    <row r="255" spans="1:65" s="2" customFormat="1">
      <c r="A255" s="34"/>
      <c r="B255" s="35"/>
      <c r="C255" s="34"/>
      <c r="D255" s="158" t="s">
        <v>189</v>
      </c>
      <c r="E255" s="34"/>
      <c r="F255" s="159" t="s">
        <v>4021</v>
      </c>
      <c r="G255" s="34"/>
      <c r="H255" s="34"/>
      <c r="I255" s="155"/>
      <c r="J255" s="34"/>
      <c r="K255" s="34"/>
      <c r="L255" s="35"/>
      <c r="M255" s="156"/>
      <c r="N255" s="157"/>
      <c r="O255" s="55"/>
      <c r="P255" s="55"/>
      <c r="Q255" s="55"/>
      <c r="R255" s="55"/>
      <c r="S255" s="55"/>
      <c r="T255" s="56"/>
      <c r="U255" s="34"/>
      <c r="V255" s="34"/>
      <c r="W255" s="34"/>
      <c r="X255" s="34"/>
      <c r="Y255" s="34"/>
      <c r="Z255" s="34"/>
      <c r="AA255" s="34"/>
      <c r="AB255" s="34"/>
      <c r="AC255" s="34"/>
      <c r="AD255" s="34"/>
      <c r="AE255" s="34"/>
      <c r="AT255" s="19" t="s">
        <v>189</v>
      </c>
      <c r="AU255" s="19" t="s">
        <v>87</v>
      </c>
    </row>
    <row r="256" spans="1:65" s="2" customFormat="1" ht="16.5" customHeight="1">
      <c r="A256" s="34"/>
      <c r="B256" s="139"/>
      <c r="C256" s="140" t="s">
        <v>1132</v>
      </c>
      <c r="D256" s="140" t="s">
        <v>180</v>
      </c>
      <c r="E256" s="141" t="s">
        <v>4022</v>
      </c>
      <c r="F256" s="142" t="s">
        <v>4023</v>
      </c>
      <c r="G256" s="143" t="s">
        <v>476</v>
      </c>
      <c r="H256" s="144">
        <v>8</v>
      </c>
      <c r="I256" s="145"/>
      <c r="J256" s="146">
        <f>ROUND(I256*H256,2)</f>
        <v>0</v>
      </c>
      <c r="K256" s="142" t="s">
        <v>184</v>
      </c>
      <c r="L256" s="35"/>
      <c r="M256" s="147" t="s">
        <v>3</v>
      </c>
      <c r="N256" s="148" t="s">
        <v>48</v>
      </c>
      <c r="O256" s="55"/>
      <c r="P256" s="149">
        <f>O256*H256</f>
        <v>0</v>
      </c>
      <c r="Q256" s="149">
        <v>1.4411999999999999E-3</v>
      </c>
      <c r="R256" s="149">
        <f>Q256*H256</f>
        <v>1.1529599999999999E-2</v>
      </c>
      <c r="S256" s="149">
        <v>0</v>
      </c>
      <c r="T256" s="150">
        <f>S256*H256</f>
        <v>0</v>
      </c>
      <c r="U256" s="34"/>
      <c r="V256" s="34"/>
      <c r="W256" s="34"/>
      <c r="X256" s="34"/>
      <c r="Y256" s="34"/>
      <c r="Z256" s="34"/>
      <c r="AA256" s="34"/>
      <c r="AB256" s="34"/>
      <c r="AC256" s="34"/>
      <c r="AD256" s="34"/>
      <c r="AE256" s="34"/>
      <c r="AR256" s="151" t="s">
        <v>237</v>
      </c>
      <c r="AT256" s="151" t="s">
        <v>180</v>
      </c>
      <c r="AU256" s="151" t="s">
        <v>87</v>
      </c>
      <c r="AY256" s="19" t="s">
        <v>177</v>
      </c>
      <c r="BE256" s="152">
        <f>IF(N256="základní",J256,0)</f>
        <v>0</v>
      </c>
      <c r="BF256" s="152">
        <f>IF(N256="snížená",J256,0)</f>
        <v>0</v>
      </c>
      <c r="BG256" s="152">
        <f>IF(N256="zákl. přenesená",J256,0)</f>
        <v>0</v>
      </c>
      <c r="BH256" s="152">
        <f>IF(N256="sníž. přenesená",J256,0)</f>
        <v>0</v>
      </c>
      <c r="BI256" s="152">
        <f>IF(N256="nulová",J256,0)</f>
        <v>0</v>
      </c>
      <c r="BJ256" s="19" t="s">
        <v>85</v>
      </c>
      <c r="BK256" s="152">
        <f>ROUND(I256*H256,2)</f>
        <v>0</v>
      </c>
      <c r="BL256" s="19" t="s">
        <v>237</v>
      </c>
      <c r="BM256" s="151" t="s">
        <v>4024</v>
      </c>
    </row>
    <row r="257" spans="1:65" s="2" customFormat="1">
      <c r="A257" s="34"/>
      <c r="B257" s="35"/>
      <c r="C257" s="34"/>
      <c r="D257" s="153" t="s">
        <v>187</v>
      </c>
      <c r="E257" s="34"/>
      <c r="F257" s="154" t="s">
        <v>4025</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187</v>
      </c>
      <c r="AU257" s="19" t="s">
        <v>87</v>
      </c>
    </row>
    <row r="258" spans="1:65" s="2" customFormat="1">
      <c r="A258" s="34"/>
      <c r="B258" s="35"/>
      <c r="C258" s="34"/>
      <c r="D258" s="158" t="s">
        <v>189</v>
      </c>
      <c r="E258" s="34"/>
      <c r="F258" s="159" t="s">
        <v>4026</v>
      </c>
      <c r="G258" s="34"/>
      <c r="H258" s="34"/>
      <c r="I258" s="155"/>
      <c r="J258" s="34"/>
      <c r="K258" s="34"/>
      <c r="L258" s="35"/>
      <c r="M258" s="156"/>
      <c r="N258" s="157"/>
      <c r="O258" s="55"/>
      <c r="P258" s="55"/>
      <c r="Q258" s="55"/>
      <c r="R258" s="55"/>
      <c r="S258" s="55"/>
      <c r="T258" s="56"/>
      <c r="U258" s="34"/>
      <c r="V258" s="34"/>
      <c r="W258" s="34"/>
      <c r="X258" s="34"/>
      <c r="Y258" s="34"/>
      <c r="Z258" s="34"/>
      <c r="AA258" s="34"/>
      <c r="AB258" s="34"/>
      <c r="AC258" s="34"/>
      <c r="AD258" s="34"/>
      <c r="AE258" s="34"/>
      <c r="AT258" s="19" t="s">
        <v>189</v>
      </c>
      <c r="AU258" s="19" t="s">
        <v>87</v>
      </c>
    </row>
    <row r="259" spans="1:65" s="2" customFormat="1" ht="16.5" customHeight="1">
      <c r="A259" s="34"/>
      <c r="B259" s="139"/>
      <c r="C259" s="140" t="s">
        <v>1134</v>
      </c>
      <c r="D259" s="140" t="s">
        <v>180</v>
      </c>
      <c r="E259" s="141" t="s">
        <v>4027</v>
      </c>
      <c r="F259" s="142" t="s">
        <v>4028</v>
      </c>
      <c r="G259" s="143" t="s">
        <v>476</v>
      </c>
      <c r="H259" s="144">
        <v>25</v>
      </c>
      <c r="I259" s="145"/>
      <c r="J259" s="146">
        <f>ROUND(I259*H259,2)</f>
        <v>0</v>
      </c>
      <c r="K259" s="142" t="s">
        <v>184</v>
      </c>
      <c r="L259" s="35"/>
      <c r="M259" s="147" t="s">
        <v>3</v>
      </c>
      <c r="N259" s="148" t="s">
        <v>48</v>
      </c>
      <c r="O259" s="55"/>
      <c r="P259" s="149">
        <f>O259*H259</f>
        <v>0</v>
      </c>
      <c r="Q259" s="149">
        <v>2.8100400000000002E-3</v>
      </c>
      <c r="R259" s="149">
        <f>Q259*H259</f>
        <v>7.0251000000000008E-2</v>
      </c>
      <c r="S259" s="149">
        <v>0</v>
      </c>
      <c r="T259" s="150">
        <f>S259*H259</f>
        <v>0</v>
      </c>
      <c r="U259" s="34"/>
      <c r="V259" s="34"/>
      <c r="W259" s="34"/>
      <c r="X259" s="34"/>
      <c r="Y259" s="34"/>
      <c r="Z259" s="34"/>
      <c r="AA259" s="34"/>
      <c r="AB259" s="34"/>
      <c r="AC259" s="34"/>
      <c r="AD259" s="34"/>
      <c r="AE259" s="34"/>
      <c r="AR259" s="151" t="s">
        <v>237</v>
      </c>
      <c r="AT259" s="151" t="s">
        <v>180</v>
      </c>
      <c r="AU259" s="151" t="s">
        <v>87</v>
      </c>
      <c r="AY259" s="19" t="s">
        <v>177</v>
      </c>
      <c r="BE259" s="152">
        <f>IF(N259="základní",J259,0)</f>
        <v>0</v>
      </c>
      <c r="BF259" s="152">
        <f>IF(N259="snížená",J259,0)</f>
        <v>0</v>
      </c>
      <c r="BG259" s="152">
        <f>IF(N259="zákl. přenesená",J259,0)</f>
        <v>0</v>
      </c>
      <c r="BH259" s="152">
        <f>IF(N259="sníž. přenesená",J259,0)</f>
        <v>0</v>
      </c>
      <c r="BI259" s="152">
        <f>IF(N259="nulová",J259,0)</f>
        <v>0</v>
      </c>
      <c r="BJ259" s="19" t="s">
        <v>85</v>
      </c>
      <c r="BK259" s="152">
        <f>ROUND(I259*H259,2)</f>
        <v>0</v>
      </c>
      <c r="BL259" s="19" t="s">
        <v>237</v>
      </c>
      <c r="BM259" s="151" t="s">
        <v>4029</v>
      </c>
    </row>
    <row r="260" spans="1:65" s="2" customFormat="1">
      <c r="A260" s="34"/>
      <c r="B260" s="35"/>
      <c r="C260" s="34"/>
      <c r="D260" s="153" t="s">
        <v>187</v>
      </c>
      <c r="E260" s="34"/>
      <c r="F260" s="154" t="s">
        <v>4030</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187</v>
      </c>
      <c r="AU260" s="19" t="s">
        <v>87</v>
      </c>
    </row>
    <row r="261" spans="1:65" s="2" customFormat="1">
      <c r="A261" s="34"/>
      <c r="B261" s="35"/>
      <c r="C261" s="34"/>
      <c r="D261" s="158" t="s">
        <v>189</v>
      </c>
      <c r="E261" s="34"/>
      <c r="F261" s="159" t="s">
        <v>4031</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189</v>
      </c>
      <c r="AU261" s="19" t="s">
        <v>87</v>
      </c>
    </row>
    <row r="262" spans="1:65" s="2" customFormat="1" ht="16.5" customHeight="1">
      <c r="A262" s="34"/>
      <c r="B262" s="139"/>
      <c r="C262" s="140" t="s">
        <v>1136</v>
      </c>
      <c r="D262" s="140" t="s">
        <v>180</v>
      </c>
      <c r="E262" s="141" t="s">
        <v>4032</v>
      </c>
      <c r="F262" s="142" t="s">
        <v>4033</v>
      </c>
      <c r="G262" s="143" t="s">
        <v>476</v>
      </c>
      <c r="H262" s="144">
        <v>61</v>
      </c>
      <c r="I262" s="145"/>
      <c r="J262" s="146">
        <f>ROUND(I262*H262,2)</f>
        <v>0</v>
      </c>
      <c r="K262" s="142" t="s">
        <v>184</v>
      </c>
      <c r="L262" s="35"/>
      <c r="M262" s="147" t="s">
        <v>3</v>
      </c>
      <c r="N262" s="148" t="s">
        <v>48</v>
      </c>
      <c r="O262" s="55"/>
      <c r="P262" s="149">
        <f>O262*H262</f>
        <v>0</v>
      </c>
      <c r="Q262" s="149">
        <v>9.76972E-4</v>
      </c>
      <c r="R262" s="149">
        <f>Q262*H262</f>
        <v>5.9595292000000001E-2</v>
      </c>
      <c r="S262" s="149">
        <v>0</v>
      </c>
      <c r="T262" s="150">
        <f>S262*H262</f>
        <v>0</v>
      </c>
      <c r="U262" s="34"/>
      <c r="V262" s="34"/>
      <c r="W262" s="34"/>
      <c r="X262" s="34"/>
      <c r="Y262" s="34"/>
      <c r="Z262" s="34"/>
      <c r="AA262" s="34"/>
      <c r="AB262" s="34"/>
      <c r="AC262" s="34"/>
      <c r="AD262" s="34"/>
      <c r="AE262" s="34"/>
      <c r="AR262" s="151" t="s">
        <v>237</v>
      </c>
      <c r="AT262" s="151" t="s">
        <v>180</v>
      </c>
      <c r="AU262" s="151" t="s">
        <v>87</v>
      </c>
      <c r="AY262" s="19" t="s">
        <v>177</v>
      </c>
      <c r="BE262" s="152">
        <f>IF(N262="základní",J262,0)</f>
        <v>0</v>
      </c>
      <c r="BF262" s="152">
        <f>IF(N262="snížená",J262,0)</f>
        <v>0</v>
      </c>
      <c r="BG262" s="152">
        <f>IF(N262="zákl. přenesená",J262,0)</f>
        <v>0</v>
      </c>
      <c r="BH262" s="152">
        <f>IF(N262="sníž. přenesená",J262,0)</f>
        <v>0</v>
      </c>
      <c r="BI262" s="152">
        <f>IF(N262="nulová",J262,0)</f>
        <v>0</v>
      </c>
      <c r="BJ262" s="19" t="s">
        <v>85</v>
      </c>
      <c r="BK262" s="152">
        <f>ROUND(I262*H262,2)</f>
        <v>0</v>
      </c>
      <c r="BL262" s="19" t="s">
        <v>237</v>
      </c>
      <c r="BM262" s="151" t="s">
        <v>4034</v>
      </c>
    </row>
    <row r="263" spans="1:65" s="2" customFormat="1">
      <c r="A263" s="34"/>
      <c r="B263" s="35"/>
      <c r="C263" s="34"/>
      <c r="D263" s="153" t="s">
        <v>187</v>
      </c>
      <c r="E263" s="34"/>
      <c r="F263" s="154" t="s">
        <v>4035</v>
      </c>
      <c r="G263" s="34"/>
      <c r="H263" s="34"/>
      <c r="I263" s="155"/>
      <c r="J263" s="34"/>
      <c r="K263" s="34"/>
      <c r="L263" s="35"/>
      <c r="M263" s="156"/>
      <c r="N263" s="157"/>
      <c r="O263" s="55"/>
      <c r="P263" s="55"/>
      <c r="Q263" s="55"/>
      <c r="R263" s="55"/>
      <c r="S263" s="55"/>
      <c r="T263" s="56"/>
      <c r="U263" s="34"/>
      <c r="V263" s="34"/>
      <c r="W263" s="34"/>
      <c r="X263" s="34"/>
      <c r="Y263" s="34"/>
      <c r="Z263" s="34"/>
      <c r="AA263" s="34"/>
      <c r="AB263" s="34"/>
      <c r="AC263" s="34"/>
      <c r="AD263" s="34"/>
      <c r="AE263" s="34"/>
      <c r="AT263" s="19" t="s">
        <v>187</v>
      </c>
      <c r="AU263" s="19" t="s">
        <v>87</v>
      </c>
    </row>
    <row r="264" spans="1:65" s="2" customFormat="1">
      <c r="A264" s="34"/>
      <c r="B264" s="35"/>
      <c r="C264" s="34"/>
      <c r="D264" s="158" t="s">
        <v>189</v>
      </c>
      <c r="E264" s="34"/>
      <c r="F264" s="159" t="s">
        <v>4036</v>
      </c>
      <c r="G264" s="34"/>
      <c r="H264" s="34"/>
      <c r="I264" s="155"/>
      <c r="J264" s="34"/>
      <c r="K264" s="34"/>
      <c r="L264" s="35"/>
      <c r="M264" s="156"/>
      <c r="N264" s="157"/>
      <c r="O264" s="55"/>
      <c r="P264" s="55"/>
      <c r="Q264" s="55"/>
      <c r="R264" s="55"/>
      <c r="S264" s="55"/>
      <c r="T264" s="56"/>
      <c r="U264" s="34"/>
      <c r="V264" s="34"/>
      <c r="W264" s="34"/>
      <c r="X264" s="34"/>
      <c r="Y264" s="34"/>
      <c r="Z264" s="34"/>
      <c r="AA264" s="34"/>
      <c r="AB264" s="34"/>
      <c r="AC264" s="34"/>
      <c r="AD264" s="34"/>
      <c r="AE264" s="34"/>
      <c r="AT264" s="19" t="s">
        <v>189</v>
      </c>
      <c r="AU264" s="19" t="s">
        <v>87</v>
      </c>
    </row>
    <row r="265" spans="1:65" s="2" customFormat="1" ht="16.5" customHeight="1">
      <c r="A265" s="34"/>
      <c r="B265" s="139"/>
      <c r="C265" s="140" t="s">
        <v>1142</v>
      </c>
      <c r="D265" s="140" t="s">
        <v>180</v>
      </c>
      <c r="E265" s="141" t="s">
        <v>4037</v>
      </c>
      <c r="F265" s="142" t="s">
        <v>4038</v>
      </c>
      <c r="G265" s="143" t="s">
        <v>476</v>
      </c>
      <c r="H265" s="144">
        <v>9</v>
      </c>
      <c r="I265" s="145"/>
      <c r="J265" s="146">
        <f>ROUND(I265*H265,2)</f>
        <v>0</v>
      </c>
      <c r="K265" s="142" t="s">
        <v>184</v>
      </c>
      <c r="L265" s="35"/>
      <c r="M265" s="147" t="s">
        <v>3</v>
      </c>
      <c r="N265" s="148" t="s">
        <v>48</v>
      </c>
      <c r="O265" s="55"/>
      <c r="P265" s="149">
        <f>O265*H265</f>
        <v>0</v>
      </c>
      <c r="Q265" s="149">
        <v>1.2616000000000001E-3</v>
      </c>
      <c r="R265" s="149">
        <f>Q265*H265</f>
        <v>1.1354400000000001E-2</v>
      </c>
      <c r="S265" s="149">
        <v>0</v>
      </c>
      <c r="T265" s="150">
        <f>S265*H265</f>
        <v>0</v>
      </c>
      <c r="U265" s="34"/>
      <c r="V265" s="34"/>
      <c r="W265" s="34"/>
      <c r="X265" s="34"/>
      <c r="Y265" s="34"/>
      <c r="Z265" s="34"/>
      <c r="AA265" s="34"/>
      <c r="AB265" s="34"/>
      <c r="AC265" s="34"/>
      <c r="AD265" s="34"/>
      <c r="AE265" s="34"/>
      <c r="AR265" s="151" t="s">
        <v>237</v>
      </c>
      <c r="AT265" s="151" t="s">
        <v>180</v>
      </c>
      <c r="AU265" s="151" t="s">
        <v>87</v>
      </c>
      <c r="AY265" s="19" t="s">
        <v>177</v>
      </c>
      <c r="BE265" s="152">
        <f>IF(N265="základní",J265,0)</f>
        <v>0</v>
      </c>
      <c r="BF265" s="152">
        <f>IF(N265="snížená",J265,0)</f>
        <v>0</v>
      </c>
      <c r="BG265" s="152">
        <f>IF(N265="zákl. přenesená",J265,0)</f>
        <v>0</v>
      </c>
      <c r="BH265" s="152">
        <f>IF(N265="sníž. přenesená",J265,0)</f>
        <v>0</v>
      </c>
      <c r="BI265" s="152">
        <f>IF(N265="nulová",J265,0)</f>
        <v>0</v>
      </c>
      <c r="BJ265" s="19" t="s">
        <v>85</v>
      </c>
      <c r="BK265" s="152">
        <f>ROUND(I265*H265,2)</f>
        <v>0</v>
      </c>
      <c r="BL265" s="19" t="s">
        <v>237</v>
      </c>
      <c r="BM265" s="151" t="s">
        <v>4039</v>
      </c>
    </row>
    <row r="266" spans="1:65" s="2" customFormat="1">
      <c r="A266" s="34"/>
      <c r="B266" s="35"/>
      <c r="C266" s="34"/>
      <c r="D266" s="153" t="s">
        <v>187</v>
      </c>
      <c r="E266" s="34"/>
      <c r="F266" s="154" t="s">
        <v>4040</v>
      </c>
      <c r="G266" s="34"/>
      <c r="H266" s="34"/>
      <c r="I266" s="155"/>
      <c r="J266" s="34"/>
      <c r="K266" s="34"/>
      <c r="L266" s="35"/>
      <c r="M266" s="156"/>
      <c r="N266" s="157"/>
      <c r="O266" s="55"/>
      <c r="P266" s="55"/>
      <c r="Q266" s="55"/>
      <c r="R266" s="55"/>
      <c r="S266" s="55"/>
      <c r="T266" s="56"/>
      <c r="U266" s="34"/>
      <c r="V266" s="34"/>
      <c r="W266" s="34"/>
      <c r="X266" s="34"/>
      <c r="Y266" s="34"/>
      <c r="Z266" s="34"/>
      <c r="AA266" s="34"/>
      <c r="AB266" s="34"/>
      <c r="AC266" s="34"/>
      <c r="AD266" s="34"/>
      <c r="AE266" s="34"/>
      <c r="AT266" s="19" t="s">
        <v>187</v>
      </c>
      <c r="AU266" s="19" t="s">
        <v>87</v>
      </c>
    </row>
    <row r="267" spans="1:65" s="2" customFormat="1">
      <c r="A267" s="34"/>
      <c r="B267" s="35"/>
      <c r="C267" s="34"/>
      <c r="D267" s="158" t="s">
        <v>189</v>
      </c>
      <c r="E267" s="34"/>
      <c r="F267" s="159" t="s">
        <v>4041</v>
      </c>
      <c r="G267" s="34"/>
      <c r="H267" s="34"/>
      <c r="I267" s="155"/>
      <c r="J267" s="34"/>
      <c r="K267" s="34"/>
      <c r="L267" s="35"/>
      <c r="M267" s="156"/>
      <c r="N267" s="157"/>
      <c r="O267" s="55"/>
      <c r="P267" s="55"/>
      <c r="Q267" s="55"/>
      <c r="R267" s="55"/>
      <c r="S267" s="55"/>
      <c r="T267" s="56"/>
      <c r="U267" s="34"/>
      <c r="V267" s="34"/>
      <c r="W267" s="34"/>
      <c r="X267" s="34"/>
      <c r="Y267" s="34"/>
      <c r="Z267" s="34"/>
      <c r="AA267" s="34"/>
      <c r="AB267" s="34"/>
      <c r="AC267" s="34"/>
      <c r="AD267" s="34"/>
      <c r="AE267" s="34"/>
      <c r="AT267" s="19" t="s">
        <v>189</v>
      </c>
      <c r="AU267" s="19" t="s">
        <v>87</v>
      </c>
    </row>
    <row r="268" spans="1:65" s="2" customFormat="1" ht="16.5" customHeight="1">
      <c r="A268" s="34"/>
      <c r="B268" s="139"/>
      <c r="C268" s="140" t="s">
        <v>1146</v>
      </c>
      <c r="D268" s="140" t="s">
        <v>180</v>
      </c>
      <c r="E268" s="141" t="s">
        <v>4042</v>
      </c>
      <c r="F268" s="142" t="s">
        <v>4043</v>
      </c>
      <c r="G268" s="143" t="s">
        <v>476</v>
      </c>
      <c r="H268" s="144">
        <v>1</v>
      </c>
      <c r="I268" s="145"/>
      <c r="J268" s="146">
        <f>ROUND(I268*H268,2)</f>
        <v>0</v>
      </c>
      <c r="K268" s="142" t="s">
        <v>184</v>
      </c>
      <c r="L268" s="35"/>
      <c r="M268" s="147" t="s">
        <v>3</v>
      </c>
      <c r="N268" s="148" t="s">
        <v>48</v>
      </c>
      <c r="O268" s="55"/>
      <c r="P268" s="149">
        <f>O268*H268</f>
        <v>0</v>
      </c>
      <c r="Q268" s="149">
        <v>1.525808E-3</v>
      </c>
      <c r="R268" s="149">
        <f>Q268*H268</f>
        <v>1.525808E-3</v>
      </c>
      <c r="S268" s="149">
        <v>0</v>
      </c>
      <c r="T268" s="150">
        <f>S268*H268</f>
        <v>0</v>
      </c>
      <c r="U268" s="34"/>
      <c r="V268" s="34"/>
      <c r="W268" s="34"/>
      <c r="X268" s="34"/>
      <c r="Y268" s="34"/>
      <c r="Z268" s="34"/>
      <c r="AA268" s="34"/>
      <c r="AB268" s="34"/>
      <c r="AC268" s="34"/>
      <c r="AD268" s="34"/>
      <c r="AE268" s="34"/>
      <c r="AR268" s="151" t="s">
        <v>237</v>
      </c>
      <c r="AT268" s="151" t="s">
        <v>180</v>
      </c>
      <c r="AU268" s="151" t="s">
        <v>87</v>
      </c>
      <c r="AY268" s="19" t="s">
        <v>177</v>
      </c>
      <c r="BE268" s="152">
        <f>IF(N268="základní",J268,0)</f>
        <v>0</v>
      </c>
      <c r="BF268" s="152">
        <f>IF(N268="snížená",J268,0)</f>
        <v>0</v>
      </c>
      <c r="BG268" s="152">
        <f>IF(N268="zákl. přenesená",J268,0)</f>
        <v>0</v>
      </c>
      <c r="BH268" s="152">
        <f>IF(N268="sníž. přenesená",J268,0)</f>
        <v>0</v>
      </c>
      <c r="BI268" s="152">
        <f>IF(N268="nulová",J268,0)</f>
        <v>0</v>
      </c>
      <c r="BJ268" s="19" t="s">
        <v>85</v>
      </c>
      <c r="BK268" s="152">
        <f>ROUND(I268*H268,2)</f>
        <v>0</v>
      </c>
      <c r="BL268" s="19" t="s">
        <v>237</v>
      </c>
      <c r="BM268" s="151" t="s">
        <v>4044</v>
      </c>
    </row>
    <row r="269" spans="1:65" s="2" customFormat="1">
      <c r="A269" s="34"/>
      <c r="B269" s="35"/>
      <c r="C269" s="34"/>
      <c r="D269" s="153" t="s">
        <v>187</v>
      </c>
      <c r="E269" s="34"/>
      <c r="F269" s="154" t="s">
        <v>4045</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187</v>
      </c>
      <c r="AU269" s="19" t="s">
        <v>87</v>
      </c>
    </row>
    <row r="270" spans="1:65" s="2" customFormat="1">
      <c r="A270" s="34"/>
      <c r="B270" s="35"/>
      <c r="C270" s="34"/>
      <c r="D270" s="158" t="s">
        <v>189</v>
      </c>
      <c r="E270" s="34"/>
      <c r="F270" s="159" t="s">
        <v>4046</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189</v>
      </c>
      <c r="AU270" s="19" t="s">
        <v>87</v>
      </c>
    </row>
    <row r="271" spans="1:65" s="2" customFormat="1" ht="16.5" customHeight="1">
      <c r="A271" s="34"/>
      <c r="B271" s="139"/>
      <c r="C271" s="140" t="s">
        <v>1150</v>
      </c>
      <c r="D271" s="140" t="s">
        <v>180</v>
      </c>
      <c r="E271" s="141" t="s">
        <v>4047</v>
      </c>
      <c r="F271" s="142" t="s">
        <v>4048</v>
      </c>
      <c r="G271" s="143" t="s">
        <v>236</v>
      </c>
      <c r="H271" s="144">
        <v>1</v>
      </c>
      <c r="I271" s="145"/>
      <c r="J271" s="146">
        <f>ROUND(I271*H271,2)</f>
        <v>0</v>
      </c>
      <c r="K271" s="142" t="s">
        <v>184</v>
      </c>
      <c r="L271" s="35"/>
      <c r="M271" s="147" t="s">
        <v>3</v>
      </c>
      <c r="N271" s="148" t="s">
        <v>48</v>
      </c>
      <c r="O271" s="55"/>
      <c r="P271" s="149">
        <f>O271*H271</f>
        <v>0</v>
      </c>
      <c r="Q271" s="149">
        <v>7.8100000000000001E-4</v>
      </c>
      <c r="R271" s="149">
        <f>Q271*H271</f>
        <v>7.8100000000000001E-4</v>
      </c>
      <c r="S271" s="149">
        <v>0</v>
      </c>
      <c r="T271" s="150">
        <f>S271*H271</f>
        <v>0</v>
      </c>
      <c r="U271" s="34"/>
      <c r="V271" s="34"/>
      <c r="W271" s="34"/>
      <c r="X271" s="34"/>
      <c r="Y271" s="34"/>
      <c r="Z271" s="34"/>
      <c r="AA271" s="34"/>
      <c r="AB271" s="34"/>
      <c r="AC271" s="34"/>
      <c r="AD271" s="34"/>
      <c r="AE271" s="34"/>
      <c r="AR271" s="151" t="s">
        <v>237</v>
      </c>
      <c r="AT271" s="151" t="s">
        <v>180</v>
      </c>
      <c r="AU271" s="151" t="s">
        <v>87</v>
      </c>
      <c r="AY271" s="19" t="s">
        <v>177</v>
      </c>
      <c r="BE271" s="152">
        <f>IF(N271="základní",J271,0)</f>
        <v>0</v>
      </c>
      <c r="BF271" s="152">
        <f>IF(N271="snížená",J271,0)</f>
        <v>0</v>
      </c>
      <c r="BG271" s="152">
        <f>IF(N271="zákl. přenesená",J271,0)</f>
        <v>0</v>
      </c>
      <c r="BH271" s="152">
        <f>IF(N271="sníž. přenesená",J271,0)</f>
        <v>0</v>
      </c>
      <c r="BI271" s="152">
        <f>IF(N271="nulová",J271,0)</f>
        <v>0</v>
      </c>
      <c r="BJ271" s="19" t="s">
        <v>85</v>
      </c>
      <c r="BK271" s="152">
        <f>ROUND(I271*H271,2)</f>
        <v>0</v>
      </c>
      <c r="BL271" s="19" t="s">
        <v>237</v>
      </c>
      <c r="BM271" s="151" t="s">
        <v>4049</v>
      </c>
    </row>
    <row r="272" spans="1:65" s="2" customFormat="1">
      <c r="A272" s="34"/>
      <c r="B272" s="35"/>
      <c r="C272" s="34"/>
      <c r="D272" s="153" t="s">
        <v>187</v>
      </c>
      <c r="E272" s="34"/>
      <c r="F272" s="154" t="s">
        <v>4050</v>
      </c>
      <c r="G272" s="34"/>
      <c r="H272" s="34"/>
      <c r="I272" s="155"/>
      <c r="J272" s="34"/>
      <c r="K272" s="34"/>
      <c r="L272" s="35"/>
      <c r="M272" s="156"/>
      <c r="N272" s="157"/>
      <c r="O272" s="55"/>
      <c r="P272" s="55"/>
      <c r="Q272" s="55"/>
      <c r="R272" s="55"/>
      <c r="S272" s="55"/>
      <c r="T272" s="56"/>
      <c r="U272" s="34"/>
      <c r="V272" s="34"/>
      <c r="W272" s="34"/>
      <c r="X272" s="34"/>
      <c r="Y272" s="34"/>
      <c r="Z272" s="34"/>
      <c r="AA272" s="34"/>
      <c r="AB272" s="34"/>
      <c r="AC272" s="34"/>
      <c r="AD272" s="34"/>
      <c r="AE272" s="34"/>
      <c r="AT272" s="19" t="s">
        <v>187</v>
      </c>
      <c r="AU272" s="19" t="s">
        <v>87</v>
      </c>
    </row>
    <row r="273" spans="1:65" s="2" customFormat="1">
      <c r="A273" s="34"/>
      <c r="B273" s="35"/>
      <c r="C273" s="34"/>
      <c r="D273" s="158" t="s">
        <v>189</v>
      </c>
      <c r="E273" s="34"/>
      <c r="F273" s="159" t="s">
        <v>4051</v>
      </c>
      <c r="G273" s="34"/>
      <c r="H273" s="34"/>
      <c r="I273" s="155"/>
      <c r="J273" s="34"/>
      <c r="K273" s="34"/>
      <c r="L273" s="35"/>
      <c r="M273" s="156"/>
      <c r="N273" s="157"/>
      <c r="O273" s="55"/>
      <c r="P273" s="55"/>
      <c r="Q273" s="55"/>
      <c r="R273" s="55"/>
      <c r="S273" s="55"/>
      <c r="T273" s="56"/>
      <c r="U273" s="34"/>
      <c r="V273" s="34"/>
      <c r="W273" s="34"/>
      <c r="X273" s="34"/>
      <c r="Y273" s="34"/>
      <c r="Z273" s="34"/>
      <c r="AA273" s="34"/>
      <c r="AB273" s="34"/>
      <c r="AC273" s="34"/>
      <c r="AD273" s="34"/>
      <c r="AE273" s="34"/>
      <c r="AT273" s="19" t="s">
        <v>189</v>
      </c>
      <c r="AU273" s="19" t="s">
        <v>87</v>
      </c>
    </row>
    <row r="274" spans="1:65" s="2" customFormat="1" ht="16.5" customHeight="1">
      <c r="A274" s="34"/>
      <c r="B274" s="139"/>
      <c r="C274" s="140" t="s">
        <v>1158</v>
      </c>
      <c r="D274" s="140" t="s">
        <v>180</v>
      </c>
      <c r="E274" s="141" t="s">
        <v>4052</v>
      </c>
      <c r="F274" s="142" t="s">
        <v>4053</v>
      </c>
      <c r="G274" s="143" t="s">
        <v>236</v>
      </c>
      <c r="H274" s="144">
        <v>1</v>
      </c>
      <c r="I274" s="145"/>
      <c r="J274" s="146">
        <f>ROUND(I274*H274,2)</f>
        <v>0</v>
      </c>
      <c r="K274" s="142" t="s">
        <v>184</v>
      </c>
      <c r="L274" s="35"/>
      <c r="M274" s="147" t="s">
        <v>3</v>
      </c>
      <c r="N274" s="148" t="s">
        <v>48</v>
      </c>
      <c r="O274" s="55"/>
      <c r="P274" s="149">
        <f>O274*H274</f>
        <v>0</v>
      </c>
      <c r="Q274" s="149">
        <v>1.4712499999999999E-3</v>
      </c>
      <c r="R274" s="149">
        <f>Q274*H274</f>
        <v>1.4712499999999999E-3</v>
      </c>
      <c r="S274" s="149">
        <v>0</v>
      </c>
      <c r="T274" s="150">
        <f>S274*H274</f>
        <v>0</v>
      </c>
      <c r="U274" s="34"/>
      <c r="V274" s="34"/>
      <c r="W274" s="34"/>
      <c r="X274" s="34"/>
      <c r="Y274" s="34"/>
      <c r="Z274" s="34"/>
      <c r="AA274" s="34"/>
      <c r="AB274" s="34"/>
      <c r="AC274" s="34"/>
      <c r="AD274" s="34"/>
      <c r="AE274" s="34"/>
      <c r="AR274" s="151" t="s">
        <v>237</v>
      </c>
      <c r="AT274" s="151" t="s">
        <v>180</v>
      </c>
      <c r="AU274" s="151" t="s">
        <v>87</v>
      </c>
      <c r="AY274" s="19" t="s">
        <v>177</v>
      </c>
      <c r="BE274" s="152">
        <f>IF(N274="základní",J274,0)</f>
        <v>0</v>
      </c>
      <c r="BF274" s="152">
        <f>IF(N274="snížená",J274,0)</f>
        <v>0</v>
      </c>
      <c r="BG274" s="152">
        <f>IF(N274="zákl. přenesená",J274,0)</f>
        <v>0</v>
      </c>
      <c r="BH274" s="152">
        <f>IF(N274="sníž. přenesená",J274,0)</f>
        <v>0</v>
      </c>
      <c r="BI274" s="152">
        <f>IF(N274="nulová",J274,0)</f>
        <v>0</v>
      </c>
      <c r="BJ274" s="19" t="s">
        <v>85</v>
      </c>
      <c r="BK274" s="152">
        <f>ROUND(I274*H274,2)</f>
        <v>0</v>
      </c>
      <c r="BL274" s="19" t="s">
        <v>237</v>
      </c>
      <c r="BM274" s="151" t="s">
        <v>4054</v>
      </c>
    </row>
    <row r="275" spans="1:65" s="2" customFormat="1">
      <c r="A275" s="34"/>
      <c r="B275" s="35"/>
      <c r="C275" s="34"/>
      <c r="D275" s="153" t="s">
        <v>187</v>
      </c>
      <c r="E275" s="34"/>
      <c r="F275" s="154" t="s">
        <v>4055</v>
      </c>
      <c r="G275" s="34"/>
      <c r="H275" s="34"/>
      <c r="I275" s="155"/>
      <c r="J275" s="34"/>
      <c r="K275" s="34"/>
      <c r="L275" s="35"/>
      <c r="M275" s="156"/>
      <c r="N275" s="157"/>
      <c r="O275" s="55"/>
      <c r="P275" s="55"/>
      <c r="Q275" s="55"/>
      <c r="R275" s="55"/>
      <c r="S275" s="55"/>
      <c r="T275" s="56"/>
      <c r="U275" s="34"/>
      <c r="V275" s="34"/>
      <c r="W275" s="34"/>
      <c r="X275" s="34"/>
      <c r="Y275" s="34"/>
      <c r="Z275" s="34"/>
      <c r="AA275" s="34"/>
      <c r="AB275" s="34"/>
      <c r="AC275" s="34"/>
      <c r="AD275" s="34"/>
      <c r="AE275" s="34"/>
      <c r="AT275" s="19" t="s">
        <v>187</v>
      </c>
      <c r="AU275" s="19" t="s">
        <v>87</v>
      </c>
    </row>
    <row r="276" spans="1:65" s="2" customFormat="1">
      <c r="A276" s="34"/>
      <c r="B276" s="35"/>
      <c r="C276" s="34"/>
      <c r="D276" s="158" t="s">
        <v>189</v>
      </c>
      <c r="E276" s="34"/>
      <c r="F276" s="159" t="s">
        <v>4056</v>
      </c>
      <c r="G276" s="34"/>
      <c r="H276" s="34"/>
      <c r="I276" s="155"/>
      <c r="J276" s="34"/>
      <c r="K276" s="34"/>
      <c r="L276" s="35"/>
      <c r="M276" s="156"/>
      <c r="N276" s="157"/>
      <c r="O276" s="55"/>
      <c r="P276" s="55"/>
      <c r="Q276" s="55"/>
      <c r="R276" s="55"/>
      <c r="S276" s="55"/>
      <c r="T276" s="56"/>
      <c r="U276" s="34"/>
      <c r="V276" s="34"/>
      <c r="W276" s="34"/>
      <c r="X276" s="34"/>
      <c r="Y276" s="34"/>
      <c r="Z276" s="34"/>
      <c r="AA276" s="34"/>
      <c r="AB276" s="34"/>
      <c r="AC276" s="34"/>
      <c r="AD276" s="34"/>
      <c r="AE276" s="34"/>
      <c r="AT276" s="19" t="s">
        <v>189</v>
      </c>
      <c r="AU276" s="19" t="s">
        <v>87</v>
      </c>
    </row>
    <row r="277" spans="1:65" s="2" customFormat="1" ht="21.75" customHeight="1">
      <c r="A277" s="34"/>
      <c r="B277" s="139"/>
      <c r="C277" s="140" t="s">
        <v>1166</v>
      </c>
      <c r="D277" s="140" t="s">
        <v>180</v>
      </c>
      <c r="E277" s="141" t="s">
        <v>4057</v>
      </c>
      <c r="F277" s="142" t="s">
        <v>4058</v>
      </c>
      <c r="G277" s="143" t="s">
        <v>476</v>
      </c>
      <c r="H277" s="144">
        <v>53</v>
      </c>
      <c r="I277" s="145"/>
      <c r="J277" s="146">
        <f>ROUND(I277*H277,2)</f>
        <v>0</v>
      </c>
      <c r="K277" s="142" t="s">
        <v>184</v>
      </c>
      <c r="L277" s="35"/>
      <c r="M277" s="147" t="s">
        <v>3</v>
      </c>
      <c r="N277" s="148" t="s">
        <v>48</v>
      </c>
      <c r="O277" s="55"/>
      <c r="P277" s="149">
        <f>O277*H277</f>
        <v>0</v>
      </c>
      <c r="Q277" s="149">
        <v>4.206E-5</v>
      </c>
      <c r="R277" s="149">
        <f>Q277*H277</f>
        <v>2.2291799999999999E-3</v>
      </c>
      <c r="S277" s="149">
        <v>0</v>
      </c>
      <c r="T277" s="150">
        <f>S277*H277</f>
        <v>0</v>
      </c>
      <c r="U277" s="34"/>
      <c r="V277" s="34"/>
      <c r="W277" s="34"/>
      <c r="X277" s="34"/>
      <c r="Y277" s="34"/>
      <c r="Z277" s="34"/>
      <c r="AA277" s="34"/>
      <c r="AB277" s="34"/>
      <c r="AC277" s="34"/>
      <c r="AD277" s="34"/>
      <c r="AE277" s="34"/>
      <c r="AR277" s="151" t="s">
        <v>237</v>
      </c>
      <c r="AT277" s="151" t="s">
        <v>180</v>
      </c>
      <c r="AU277" s="151" t="s">
        <v>87</v>
      </c>
      <c r="AY277" s="19" t="s">
        <v>177</v>
      </c>
      <c r="BE277" s="152">
        <f>IF(N277="základní",J277,0)</f>
        <v>0</v>
      </c>
      <c r="BF277" s="152">
        <f>IF(N277="snížená",J277,0)</f>
        <v>0</v>
      </c>
      <c r="BG277" s="152">
        <f>IF(N277="zákl. přenesená",J277,0)</f>
        <v>0</v>
      </c>
      <c r="BH277" s="152">
        <f>IF(N277="sníž. přenesená",J277,0)</f>
        <v>0</v>
      </c>
      <c r="BI277" s="152">
        <f>IF(N277="nulová",J277,0)</f>
        <v>0</v>
      </c>
      <c r="BJ277" s="19" t="s">
        <v>85</v>
      </c>
      <c r="BK277" s="152">
        <f>ROUND(I277*H277,2)</f>
        <v>0</v>
      </c>
      <c r="BL277" s="19" t="s">
        <v>237</v>
      </c>
      <c r="BM277" s="151" t="s">
        <v>4059</v>
      </c>
    </row>
    <row r="278" spans="1:65" s="2" customFormat="1" ht="19.5">
      <c r="A278" s="34"/>
      <c r="B278" s="35"/>
      <c r="C278" s="34"/>
      <c r="D278" s="153" t="s">
        <v>187</v>
      </c>
      <c r="E278" s="34"/>
      <c r="F278" s="154" t="s">
        <v>4060</v>
      </c>
      <c r="G278" s="34"/>
      <c r="H278" s="34"/>
      <c r="I278" s="155"/>
      <c r="J278" s="34"/>
      <c r="K278" s="34"/>
      <c r="L278" s="35"/>
      <c r="M278" s="156"/>
      <c r="N278" s="157"/>
      <c r="O278" s="55"/>
      <c r="P278" s="55"/>
      <c r="Q278" s="55"/>
      <c r="R278" s="55"/>
      <c r="S278" s="55"/>
      <c r="T278" s="56"/>
      <c r="U278" s="34"/>
      <c r="V278" s="34"/>
      <c r="W278" s="34"/>
      <c r="X278" s="34"/>
      <c r="Y278" s="34"/>
      <c r="Z278" s="34"/>
      <c r="AA278" s="34"/>
      <c r="AB278" s="34"/>
      <c r="AC278" s="34"/>
      <c r="AD278" s="34"/>
      <c r="AE278" s="34"/>
      <c r="AT278" s="19" t="s">
        <v>187</v>
      </c>
      <c r="AU278" s="19" t="s">
        <v>87</v>
      </c>
    </row>
    <row r="279" spans="1:65" s="2" customFormat="1">
      <c r="A279" s="34"/>
      <c r="B279" s="35"/>
      <c r="C279" s="34"/>
      <c r="D279" s="158" t="s">
        <v>189</v>
      </c>
      <c r="E279" s="34"/>
      <c r="F279" s="159" t="s">
        <v>4061</v>
      </c>
      <c r="G279" s="34"/>
      <c r="H279" s="34"/>
      <c r="I279" s="155"/>
      <c r="J279" s="34"/>
      <c r="K279" s="34"/>
      <c r="L279" s="35"/>
      <c r="M279" s="156"/>
      <c r="N279" s="157"/>
      <c r="O279" s="55"/>
      <c r="P279" s="55"/>
      <c r="Q279" s="55"/>
      <c r="R279" s="55"/>
      <c r="S279" s="55"/>
      <c r="T279" s="56"/>
      <c r="U279" s="34"/>
      <c r="V279" s="34"/>
      <c r="W279" s="34"/>
      <c r="X279" s="34"/>
      <c r="Y279" s="34"/>
      <c r="Z279" s="34"/>
      <c r="AA279" s="34"/>
      <c r="AB279" s="34"/>
      <c r="AC279" s="34"/>
      <c r="AD279" s="34"/>
      <c r="AE279" s="34"/>
      <c r="AT279" s="19" t="s">
        <v>189</v>
      </c>
      <c r="AU279" s="19" t="s">
        <v>87</v>
      </c>
    </row>
    <row r="280" spans="1:65" s="2" customFormat="1" ht="29.25">
      <c r="A280" s="34"/>
      <c r="B280" s="35"/>
      <c r="C280" s="34"/>
      <c r="D280" s="153" t="s">
        <v>191</v>
      </c>
      <c r="E280" s="34"/>
      <c r="F280" s="160" t="s">
        <v>4062</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191</v>
      </c>
      <c r="AU280" s="19" t="s">
        <v>87</v>
      </c>
    </row>
    <row r="281" spans="1:65" s="2" customFormat="1" ht="21.75" customHeight="1">
      <c r="A281" s="34"/>
      <c r="B281" s="139"/>
      <c r="C281" s="140" t="s">
        <v>1169</v>
      </c>
      <c r="D281" s="140" t="s">
        <v>180</v>
      </c>
      <c r="E281" s="141" t="s">
        <v>4063</v>
      </c>
      <c r="F281" s="142" t="s">
        <v>4064</v>
      </c>
      <c r="G281" s="143" t="s">
        <v>476</v>
      </c>
      <c r="H281" s="144">
        <v>34</v>
      </c>
      <c r="I281" s="145"/>
      <c r="J281" s="146">
        <f>ROUND(I281*H281,2)</f>
        <v>0</v>
      </c>
      <c r="K281" s="142" t="s">
        <v>184</v>
      </c>
      <c r="L281" s="35"/>
      <c r="M281" s="147" t="s">
        <v>3</v>
      </c>
      <c r="N281" s="148" t="s">
        <v>48</v>
      </c>
      <c r="O281" s="55"/>
      <c r="P281" s="149">
        <f>O281*H281</f>
        <v>0</v>
      </c>
      <c r="Q281" s="149">
        <v>4.2249999999999997E-5</v>
      </c>
      <c r="R281" s="149">
        <f>Q281*H281</f>
        <v>1.4364999999999998E-3</v>
      </c>
      <c r="S281" s="149">
        <v>0</v>
      </c>
      <c r="T281" s="150">
        <f>S281*H281</f>
        <v>0</v>
      </c>
      <c r="U281" s="34"/>
      <c r="V281" s="34"/>
      <c r="W281" s="34"/>
      <c r="X281" s="34"/>
      <c r="Y281" s="34"/>
      <c r="Z281" s="34"/>
      <c r="AA281" s="34"/>
      <c r="AB281" s="34"/>
      <c r="AC281" s="34"/>
      <c r="AD281" s="34"/>
      <c r="AE281" s="34"/>
      <c r="AR281" s="151" t="s">
        <v>237</v>
      </c>
      <c r="AT281" s="151" t="s">
        <v>180</v>
      </c>
      <c r="AU281" s="151" t="s">
        <v>87</v>
      </c>
      <c r="AY281" s="19" t="s">
        <v>177</v>
      </c>
      <c r="BE281" s="152">
        <f>IF(N281="základní",J281,0)</f>
        <v>0</v>
      </c>
      <c r="BF281" s="152">
        <f>IF(N281="snížená",J281,0)</f>
        <v>0</v>
      </c>
      <c r="BG281" s="152">
        <f>IF(N281="zákl. přenesená",J281,0)</f>
        <v>0</v>
      </c>
      <c r="BH281" s="152">
        <f>IF(N281="sníž. přenesená",J281,0)</f>
        <v>0</v>
      </c>
      <c r="BI281" s="152">
        <f>IF(N281="nulová",J281,0)</f>
        <v>0</v>
      </c>
      <c r="BJ281" s="19" t="s">
        <v>85</v>
      </c>
      <c r="BK281" s="152">
        <f>ROUND(I281*H281,2)</f>
        <v>0</v>
      </c>
      <c r="BL281" s="19" t="s">
        <v>237</v>
      </c>
      <c r="BM281" s="151" t="s">
        <v>4065</v>
      </c>
    </row>
    <row r="282" spans="1:65" s="2" customFormat="1" ht="19.5">
      <c r="A282" s="34"/>
      <c r="B282" s="35"/>
      <c r="C282" s="34"/>
      <c r="D282" s="153" t="s">
        <v>187</v>
      </c>
      <c r="E282" s="34"/>
      <c r="F282" s="154" t="s">
        <v>4066</v>
      </c>
      <c r="G282" s="34"/>
      <c r="H282" s="34"/>
      <c r="I282" s="155"/>
      <c r="J282" s="34"/>
      <c r="K282" s="34"/>
      <c r="L282" s="35"/>
      <c r="M282" s="156"/>
      <c r="N282" s="157"/>
      <c r="O282" s="55"/>
      <c r="P282" s="55"/>
      <c r="Q282" s="55"/>
      <c r="R282" s="55"/>
      <c r="S282" s="55"/>
      <c r="T282" s="56"/>
      <c r="U282" s="34"/>
      <c r="V282" s="34"/>
      <c r="W282" s="34"/>
      <c r="X282" s="34"/>
      <c r="Y282" s="34"/>
      <c r="Z282" s="34"/>
      <c r="AA282" s="34"/>
      <c r="AB282" s="34"/>
      <c r="AC282" s="34"/>
      <c r="AD282" s="34"/>
      <c r="AE282" s="34"/>
      <c r="AT282" s="19" t="s">
        <v>187</v>
      </c>
      <c r="AU282" s="19" t="s">
        <v>87</v>
      </c>
    </row>
    <row r="283" spans="1:65" s="2" customFormat="1">
      <c r="A283" s="34"/>
      <c r="B283" s="35"/>
      <c r="C283" s="34"/>
      <c r="D283" s="158" t="s">
        <v>189</v>
      </c>
      <c r="E283" s="34"/>
      <c r="F283" s="159" t="s">
        <v>4067</v>
      </c>
      <c r="G283" s="34"/>
      <c r="H283" s="34"/>
      <c r="I283" s="155"/>
      <c r="J283" s="34"/>
      <c r="K283" s="34"/>
      <c r="L283" s="35"/>
      <c r="M283" s="156"/>
      <c r="N283" s="157"/>
      <c r="O283" s="55"/>
      <c r="P283" s="55"/>
      <c r="Q283" s="55"/>
      <c r="R283" s="55"/>
      <c r="S283" s="55"/>
      <c r="T283" s="56"/>
      <c r="U283" s="34"/>
      <c r="V283" s="34"/>
      <c r="W283" s="34"/>
      <c r="X283" s="34"/>
      <c r="Y283" s="34"/>
      <c r="Z283" s="34"/>
      <c r="AA283" s="34"/>
      <c r="AB283" s="34"/>
      <c r="AC283" s="34"/>
      <c r="AD283" s="34"/>
      <c r="AE283" s="34"/>
      <c r="AT283" s="19" t="s">
        <v>189</v>
      </c>
      <c r="AU283" s="19" t="s">
        <v>87</v>
      </c>
    </row>
    <row r="284" spans="1:65" s="2" customFormat="1" ht="29.25">
      <c r="A284" s="34"/>
      <c r="B284" s="35"/>
      <c r="C284" s="34"/>
      <c r="D284" s="153" t="s">
        <v>191</v>
      </c>
      <c r="E284" s="34"/>
      <c r="F284" s="160" t="s">
        <v>4062</v>
      </c>
      <c r="G284" s="34"/>
      <c r="H284" s="34"/>
      <c r="I284" s="155"/>
      <c r="J284" s="34"/>
      <c r="K284" s="34"/>
      <c r="L284" s="35"/>
      <c r="M284" s="156"/>
      <c r="N284" s="157"/>
      <c r="O284" s="55"/>
      <c r="P284" s="55"/>
      <c r="Q284" s="55"/>
      <c r="R284" s="55"/>
      <c r="S284" s="55"/>
      <c r="T284" s="56"/>
      <c r="U284" s="34"/>
      <c r="V284" s="34"/>
      <c r="W284" s="34"/>
      <c r="X284" s="34"/>
      <c r="Y284" s="34"/>
      <c r="Z284" s="34"/>
      <c r="AA284" s="34"/>
      <c r="AB284" s="34"/>
      <c r="AC284" s="34"/>
      <c r="AD284" s="34"/>
      <c r="AE284" s="34"/>
      <c r="AT284" s="19" t="s">
        <v>191</v>
      </c>
      <c r="AU284" s="19" t="s">
        <v>87</v>
      </c>
    </row>
    <row r="285" spans="1:65" s="2" customFormat="1" ht="21.75" customHeight="1">
      <c r="A285" s="34"/>
      <c r="B285" s="139"/>
      <c r="C285" s="140" t="s">
        <v>1175</v>
      </c>
      <c r="D285" s="140" t="s">
        <v>180</v>
      </c>
      <c r="E285" s="141" t="s">
        <v>4068</v>
      </c>
      <c r="F285" s="142" t="s">
        <v>4069</v>
      </c>
      <c r="G285" s="143" t="s">
        <v>476</v>
      </c>
      <c r="H285" s="144">
        <v>25</v>
      </c>
      <c r="I285" s="145"/>
      <c r="J285" s="146">
        <f>ROUND(I285*H285,2)</f>
        <v>0</v>
      </c>
      <c r="K285" s="142" t="s">
        <v>184</v>
      </c>
      <c r="L285" s="35"/>
      <c r="M285" s="147" t="s">
        <v>3</v>
      </c>
      <c r="N285" s="148" t="s">
        <v>48</v>
      </c>
      <c r="O285" s="55"/>
      <c r="P285" s="149">
        <f>O285*H285</f>
        <v>0</v>
      </c>
      <c r="Q285" s="149">
        <v>4.244E-5</v>
      </c>
      <c r="R285" s="149">
        <f>Q285*H285</f>
        <v>1.0610000000000001E-3</v>
      </c>
      <c r="S285" s="149">
        <v>0</v>
      </c>
      <c r="T285" s="150">
        <f>S285*H285</f>
        <v>0</v>
      </c>
      <c r="U285" s="34"/>
      <c r="V285" s="34"/>
      <c r="W285" s="34"/>
      <c r="X285" s="34"/>
      <c r="Y285" s="34"/>
      <c r="Z285" s="34"/>
      <c r="AA285" s="34"/>
      <c r="AB285" s="34"/>
      <c r="AC285" s="34"/>
      <c r="AD285" s="34"/>
      <c r="AE285" s="34"/>
      <c r="AR285" s="151" t="s">
        <v>237</v>
      </c>
      <c r="AT285" s="151" t="s">
        <v>180</v>
      </c>
      <c r="AU285" s="151" t="s">
        <v>87</v>
      </c>
      <c r="AY285" s="19" t="s">
        <v>177</v>
      </c>
      <c r="BE285" s="152">
        <f>IF(N285="základní",J285,0)</f>
        <v>0</v>
      </c>
      <c r="BF285" s="152">
        <f>IF(N285="snížená",J285,0)</f>
        <v>0</v>
      </c>
      <c r="BG285" s="152">
        <f>IF(N285="zákl. přenesená",J285,0)</f>
        <v>0</v>
      </c>
      <c r="BH285" s="152">
        <f>IF(N285="sníž. přenesená",J285,0)</f>
        <v>0</v>
      </c>
      <c r="BI285" s="152">
        <f>IF(N285="nulová",J285,0)</f>
        <v>0</v>
      </c>
      <c r="BJ285" s="19" t="s">
        <v>85</v>
      </c>
      <c r="BK285" s="152">
        <f>ROUND(I285*H285,2)</f>
        <v>0</v>
      </c>
      <c r="BL285" s="19" t="s">
        <v>237</v>
      </c>
      <c r="BM285" s="151" t="s">
        <v>4070</v>
      </c>
    </row>
    <row r="286" spans="1:65" s="2" customFormat="1" ht="19.5">
      <c r="A286" s="34"/>
      <c r="B286" s="35"/>
      <c r="C286" s="34"/>
      <c r="D286" s="153" t="s">
        <v>187</v>
      </c>
      <c r="E286" s="34"/>
      <c r="F286" s="154" t="s">
        <v>4071</v>
      </c>
      <c r="G286" s="34"/>
      <c r="H286" s="34"/>
      <c r="I286" s="155"/>
      <c r="J286" s="34"/>
      <c r="K286" s="34"/>
      <c r="L286" s="35"/>
      <c r="M286" s="156"/>
      <c r="N286" s="157"/>
      <c r="O286" s="55"/>
      <c r="P286" s="55"/>
      <c r="Q286" s="55"/>
      <c r="R286" s="55"/>
      <c r="S286" s="55"/>
      <c r="T286" s="56"/>
      <c r="U286" s="34"/>
      <c r="V286" s="34"/>
      <c r="W286" s="34"/>
      <c r="X286" s="34"/>
      <c r="Y286" s="34"/>
      <c r="Z286" s="34"/>
      <c r="AA286" s="34"/>
      <c r="AB286" s="34"/>
      <c r="AC286" s="34"/>
      <c r="AD286" s="34"/>
      <c r="AE286" s="34"/>
      <c r="AT286" s="19" t="s">
        <v>187</v>
      </c>
      <c r="AU286" s="19" t="s">
        <v>87</v>
      </c>
    </row>
    <row r="287" spans="1:65" s="2" customFormat="1">
      <c r="A287" s="34"/>
      <c r="B287" s="35"/>
      <c r="C287" s="34"/>
      <c r="D287" s="158" t="s">
        <v>189</v>
      </c>
      <c r="E287" s="34"/>
      <c r="F287" s="159" t="s">
        <v>4072</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189</v>
      </c>
      <c r="AU287" s="19" t="s">
        <v>87</v>
      </c>
    </row>
    <row r="288" spans="1:65" s="2" customFormat="1" ht="29.25">
      <c r="A288" s="34"/>
      <c r="B288" s="35"/>
      <c r="C288" s="34"/>
      <c r="D288" s="153" t="s">
        <v>191</v>
      </c>
      <c r="E288" s="34"/>
      <c r="F288" s="160" t="s">
        <v>4062</v>
      </c>
      <c r="G288" s="34"/>
      <c r="H288" s="34"/>
      <c r="I288" s="155"/>
      <c r="J288" s="34"/>
      <c r="K288" s="34"/>
      <c r="L288" s="35"/>
      <c r="M288" s="156"/>
      <c r="N288" s="157"/>
      <c r="O288" s="55"/>
      <c r="P288" s="55"/>
      <c r="Q288" s="55"/>
      <c r="R288" s="55"/>
      <c r="S288" s="55"/>
      <c r="T288" s="56"/>
      <c r="U288" s="34"/>
      <c r="V288" s="34"/>
      <c r="W288" s="34"/>
      <c r="X288" s="34"/>
      <c r="Y288" s="34"/>
      <c r="Z288" s="34"/>
      <c r="AA288" s="34"/>
      <c r="AB288" s="34"/>
      <c r="AC288" s="34"/>
      <c r="AD288" s="34"/>
      <c r="AE288" s="34"/>
      <c r="AT288" s="19" t="s">
        <v>191</v>
      </c>
      <c r="AU288" s="19" t="s">
        <v>87</v>
      </c>
    </row>
    <row r="289" spans="1:65" s="2" customFormat="1" ht="21.75" customHeight="1">
      <c r="A289" s="34"/>
      <c r="B289" s="139"/>
      <c r="C289" s="140" t="s">
        <v>1179</v>
      </c>
      <c r="D289" s="140" t="s">
        <v>180</v>
      </c>
      <c r="E289" s="141" t="s">
        <v>4073</v>
      </c>
      <c r="F289" s="142" t="s">
        <v>4074</v>
      </c>
      <c r="G289" s="143" t="s">
        <v>476</v>
      </c>
      <c r="H289" s="144">
        <v>61</v>
      </c>
      <c r="I289" s="145"/>
      <c r="J289" s="146">
        <f>ROUND(I289*H289,2)</f>
        <v>0</v>
      </c>
      <c r="K289" s="142" t="s">
        <v>184</v>
      </c>
      <c r="L289" s="35"/>
      <c r="M289" s="147" t="s">
        <v>3</v>
      </c>
      <c r="N289" s="148" t="s">
        <v>48</v>
      </c>
      <c r="O289" s="55"/>
      <c r="P289" s="149">
        <f>O289*H289</f>
        <v>0</v>
      </c>
      <c r="Q289" s="149">
        <v>1.2155999999999999E-4</v>
      </c>
      <c r="R289" s="149">
        <f>Q289*H289</f>
        <v>7.4151599999999996E-3</v>
      </c>
      <c r="S289" s="149">
        <v>0</v>
      </c>
      <c r="T289" s="150">
        <f>S289*H289</f>
        <v>0</v>
      </c>
      <c r="U289" s="34"/>
      <c r="V289" s="34"/>
      <c r="W289" s="34"/>
      <c r="X289" s="34"/>
      <c r="Y289" s="34"/>
      <c r="Z289" s="34"/>
      <c r="AA289" s="34"/>
      <c r="AB289" s="34"/>
      <c r="AC289" s="34"/>
      <c r="AD289" s="34"/>
      <c r="AE289" s="34"/>
      <c r="AR289" s="151" t="s">
        <v>237</v>
      </c>
      <c r="AT289" s="151" t="s">
        <v>180</v>
      </c>
      <c r="AU289" s="151" t="s">
        <v>87</v>
      </c>
      <c r="AY289" s="19" t="s">
        <v>177</v>
      </c>
      <c r="BE289" s="152">
        <f>IF(N289="základní",J289,0)</f>
        <v>0</v>
      </c>
      <c r="BF289" s="152">
        <f>IF(N289="snížená",J289,0)</f>
        <v>0</v>
      </c>
      <c r="BG289" s="152">
        <f>IF(N289="zákl. přenesená",J289,0)</f>
        <v>0</v>
      </c>
      <c r="BH289" s="152">
        <f>IF(N289="sníž. přenesená",J289,0)</f>
        <v>0</v>
      </c>
      <c r="BI289" s="152">
        <f>IF(N289="nulová",J289,0)</f>
        <v>0</v>
      </c>
      <c r="BJ289" s="19" t="s">
        <v>85</v>
      </c>
      <c r="BK289" s="152">
        <f>ROUND(I289*H289,2)</f>
        <v>0</v>
      </c>
      <c r="BL289" s="19" t="s">
        <v>237</v>
      </c>
      <c r="BM289" s="151" t="s">
        <v>4075</v>
      </c>
    </row>
    <row r="290" spans="1:65" s="2" customFormat="1" ht="19.5">
      <c r="A290" s="34"/>
      <c r="B290" s="35"/>
      <c r="C290" s="34"/>
      <c r="D290" s="153" t="s">
        <v>187</v>
      </c>
      <c r="E290" s="34"/>
      <c r="F290" s="154" t="s">
        <v>4076</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187</v>
      </c>
      <c r="AU290" s="19" t="s">
        <v>87</v>
      </c>
    </row>
    <row r="291" spans="1:65" s="2" customFormat="1">
      <c r="A291" s="34"/>
      <c r="B291" s="35"/>
      <c r="C291" s="34"/>
      <c r="D291" s="158" t="s">
        <v>189</v>
      </c>
      <c r="E291" s="34"/>
      <c r="F291" s="159" t="s">
        <v>4077</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189</v>
      </c>
      <c r="AU291" s="19" t="s">
        <v>87</v>
      </c>
    </row>
    <row r="292" spans="1:65" s="2" customFormat="1" ht="29.25">
      <c r="A292" s="34"/>
      <c r="B292" s="35"/>
      <c r="C292" s="34"/>
      <c r="D292" s="153" t="s">
        <v>191</v>
      </c>
      <c r="E292" s="34"/>
      <c r="F292" s="160" t="s">
        <v>4062</v>
      </c>
      <c r="G292" s="34"/>
      <c r="H292" s="34"/>
      <c r="I292" s="155"/>
      <c r="J292" s="34"/>
      <c r="K292" s="34"/>
      <c r="L292" s="35"/>
      <c r="M292" s="156"/>
      <c r="N292" s="157"/>
      <c r="O292" s="55"/>
      <c r="P292" s="55"/>
      <c r="Q292" s="55"/>
      <c r="R292" s="55"/>
      <c r="S292" s="55"/>
      <c r="T292" s="56"/>
      <c r="U292" s="34"/>
      <c r="V292" s="34"/>
      <c r="W292" s="34"/>
      <c r="X292" s="34"/>
      <c r="Y292" s="34"/>
      <c r="Z292" s="34"/>
      <c r="AA292" s="34"/>
      <c r="AB292" s="34"/>
      <c r="AC292" s="34"/>
      <c r="AD292" s="34"/>
      <c r="AE292" s="34"/>
      <c r="AT292" s="19" t="s">
        <v>191</v>
      </c>
      <c r="AU292" s="19" t="s">
        <v>87</v>
      </c>
    </row>
    <row r="293" spans="1:65" s="2" customFormat="1" ht="24.2" customHeight="1">
      <c r="A293" s="34"/>
      <c r="B293" s="139"/>
      <c r="C293" s="140" t="s">
        <v>1182</v>
      </c>
      <c r="D293" s="140" t="s">
        <v>180</v>
      </c>
      <c r="E293" s="141" t="s">
        <v>4078</v>
      </c>
      <c r="F293" s="142" t="s">
        <v>4079</v>
      </c>
      <c r="G293" s="143" t="s">
        <v>476</v>
      </c>
      <c r="H293" s="144">
        <v>10</v>
      </c>
      <c r="I293" s="145"/>
      <c r="J293" s="146">
        <f>ROUND(I293*H293,2)</f>
        <v>0</v>
      </c>
      <c r="K293" s="142" t="s">
        <v>184</v>
      </c>
      <c r="L293" s="35"/>
      <c r="M293" s="147" t="s">
        <v>3</v>
      </c>
      <c r="N293" s="148" t="s">
        <v>48</v>
      </c>
      <c r="O293" s="55"/>
      <c r="P293" s="149">
        <f>O293*H293</f>
        <v>0</v>
      </c>
      <c r="Q293" s="149">
        <v>2.4078000000000001E-4</v>
      </c>
      <c r="R293" s="149">
        <f>Q293*H293</f>
        <v>2.4077999999999999E-3</v>
      </c>
      <c r="S293" s="149">
        <v>0</v>
      </c>
      <c r="T293" s="150">
        <f>S293*H293</f>
        <v>0</v>
      </c>
      <c r="U293" s="34"/>
      <c r="V293" s="34"/>
      <c r="W293" s="34"/>
      <c r="X293" s="34"/>
      <c r="Y293" s="34"/>
      <c r="Z293" s="34"/>
      <c r="AA293" s="34"/>
      <c r="AB293" s="34"/>
      <c r="AC293" s="34"/>
      <c r="AD293" s="34"/>
      <c r="AE293" s="34"/>
      <c r="AR293" s="151" t="s">
        <v>237</v>
      </c>
      <c r="AT293" s="151" t="s">
        <v>180</v>
      </c>
      <c r="AU293" s="151" t="s">
        <v>87</v>
      </c>
      <c r="AY293" s="19" t="s">
        <v>177</v>
      </c>
      <c r="BE293" s="152">
        <f>IF(N293="základní",J293,0)</f>
        <v>0</v>
      </c>
      <c r="BF293" s="152">
        <f>IF(N293="snížená",J293,0)</f>
        <v>0</v>
      </c>
      <c r="BG293" s="152">
        <f>IF(N293="zákl. přenesená",J293,0)</f>
        <v>0</v>
      </c>
      <c r="BH293" s="152">
        <f>IF(N293="sníž. přenesená",J293,0)</f>
        <v>0</v>
      </c>
      <c r="BI293" s="152">
        <f>IF(N293="nulová",J293,0)</f>
        <v>0</v>
      </c>
      <c r="BJ293" s="19" t="s">
        <v>85</v>
      </c>
      <c r="BK293" s="152">
        <f>ROUND(I293*H293,2)</f>
        <v>0</v>
      </c>
      <c r="BL293" s="19" t="s">
        <v>237</v>
      </c>
      <c r="BM293" s="151" t="s">
        <v>4080</v>
      </c>
    </row>
    <row r="294" spans="1:65" s="2" customFormat="1" ht="19.5">
      <c r="A294" s="34"/>
      <c r="B294" s="35"/>
      <c r="C294" s="34"/>
      <c r="D294" s="153" t="s">
        <v>187</v>
      </c>
      <c r="E294" s="34"/>
      <c r="F294" s="154" t="s">
        <v>4081</v>
      </c>
      <c r="G294" s="34"/>
      <c r="H294" s="34"/>
      <c r="I294" s="155"/>
      <c r="J294" s="34"/>
      <c r="K294" s="34"/>
      <c r="L294" s="35"/>
      <c r="M294" s="156"/>
      <c r="N294" s="157"/>
      <c r="O294" s="55"/>
      <c r="P294" s="55"/>
      <c r="Q294" s="55"/>
      <c r="R294" s="55"/>
      <c r="S294" s="55"/>
      <c r="T294" s="56"/>
      <c r="U294" s="34"/>
      <c r="V294" s="34"/>
      <c r="W294" s="34"/>
      <c r="X294" s="34"/>
      <c r="Y294" s="34"/>
      <c r="Z294" s="34"/>
      <c r="AA294" s="34"/>
      <c r="AB294" s="34"/>
      <c r="AC294" s="34"/>
      <c r="AD294" s="34"/>
      <c r="AE294" s="34"/>
      <c r="AT294" s="19" t="s">
        <v>187</v>
      </c>
      <c r="AU294" s="19" t="s">
        <v>87</v>
      </c>
    </row>
    <row r="295" spans="1:65" s="2" customFormat="1">
      <c r="A295" s="34"/>
      <c r="B295" s="35"/>
      <c r="C295" s="34"/>
      <c r="D295" s="158" t="s">
        <v>189</v>
      </c>
      <c r="E295" s="34"/>
      <c r="F295" s="159" t="s">
        <v>4082</v>
      </c>
      <c r="G295" s="34"/>
      <c r="H295" s="34"/>
      <c r="I295" s="155"/>
      <c r="J295" s="34"/>
      <c r="K295" s="34"/>
      <c r="L295" s="35"/>
      <c r="M295" s="156"/>
      <c r="N295" s="157"/>
      <c r="O295" s="55"/>
      <c r="P295" s="55"/>
      <c r="Q295" s="55"/>
      <c r="R295" s="55"/>
      <c r="S295" s="55"/>
      <c r="T295" s="56"/>
      <c r="U295" s="34"/>
      <c r="V295" s="34"/>
      <c r="W295" s="34"/>
      <c r="X295" s="34"/>
      <c r="Y295" s="34"/>
      <c r="Z295" s="34"/>
      <c r="AA295" s="34"/>
      <c r="AB295" s="34"/>
      <c r="AC295" s="34"/>
      <c r="AD295" s="34"/>
      <c r="AE295" s="34"/>
      <c r="AT295" s="19" t="s">
        <v>189</v>
      </c>
      <c r="AU295" s="19" t="s">
        <v>87</v>
      </c>
    </row>
    <row r="296" spans="1:65" s="2" customFormat="1" ht="29.25">
      <c r="A296" s="34"/>
      <c r="B296" s="35"/>
      <c r="C296" s="34"/>
      <c r="D296" s="153" t="s">
        <v>191</v>
      </c>
      <c r="E296" s="34"/>
      <c r="F296" s="160" t="s">
        <v>4062</v>
      </c>
      <c r="G296" s="34"/>
      <c r="H296" s="34"/>
      <c r="I296" s="155"/>
      <c r="J296" s="34"/>
      <c r="K296" s="34"/>
      <c r="L296" s="35"/>
      <c r="M296" s="156"/>
      <c r="N296" s="157"/>
      <c r="O296" s="55"/>
      <c r="P296" s="55"/>
      <c r="Q296" s="55"/>
      <c r="R296" s="55"/>
      <c r="S296" s="55"/>
      <c r="T296" s="56"/>
      <c r="U296" s="34"/>
      <c r="V296" s="34"/>
      <c r="W296" s="34"/>
      <c r="X296" s="34"/>
      <c r="Y296" s="34"/>
      <c r="Z296" s="34"/>
      <c r="AA296" s="34"/>
      <c r="AB296" s="34"/>
      <c r="AC296" s="34"/>
      <c r="AD296" s="34"/>
      <c r="AE296" s="34"/>
      <c r="AT296" s="19" t="s">
        <v>191</v>
      </c>
      <c r="AU296" s="19" t="s">
        <v>87</v>
      </c>
    </row>
    <row r="297" spans="1:65" s="2" customFormat="1" ht="16.5" customHeight="1">
      <c r="A297" s="34"/>
      <c r="B297" s="139"/>
      <c r="C297" s="140" t="s">
        <v>1185</v>
      </c>
      <c r="D297" s="140" t="s">
        <v>180</v>
      </c>
      <c r="E297" s="141" t="s">
        <v>4083</v>
      </c>
      <c r="F297" s="142" t="s">
        <v>4084</v>
      </c>
      <c r="G297" s="143" t="s">
        <v>236</v>
      </c>
      <c r="H297" s="144">
        <v>4</v>
      </c>
      <c r="I297" s="145"/>
      <c r="J297" s="146">
        <f>ROUND(I297*H297,2)</f>
        <v>0</v>
      </c>
      <c r="K297" s="142" t="s">
        <v>184</v>
      </c>
      <c r="L297" s="35"/>
      <c r="M297" s="147" t="s">
        <v>3</v>
      </c>
      <c r="N297" s="148" t="s">
        <v>48</v>
      </c>
      <c r="O297" s="55"/>
      <c r="P297" s="149">
        <f>O297*H297</f>
        <v>0</v>
      </c>
      <c r="Q297" s="149">
        <v>6.0000000000000002E-5</v>
      </c>
      <c r="R297" s="149">
        <f>Q297*H297</f>
        <v>2.4000000000000001E-4</v>
      </c>
      <c r="S297" s="149">
        <v>0</v>
      </c>
      <c r="T297" s="150">
        <f>S297*H297</f>
        <v>0</v>
      </c>
      <c r="U297" s="34"/>
      <c r="V297" s="34"/>
      <c r="W297" s="34"/>
      <c r="X297" s="34"/>
      <c r="Y297" s="34"/>
      <c r="Z297" s="34"/>
      <c r="AA297" s="34"/>
      <c r="AB297" s="34"/>
      <c r="AC297" s="34"/>
      <c r="AD297" s="34"/>
      <c r="AE297" s="34"/>
      <c r="AR297" s="151" t="s">
        <v>237</v>
      </c>
      <c r="AT297" s="151" t="s">
        <v>180</v>
      </c>
      <c r="AU297" s="151" t="s">
        <v>87</v>
      </c>
      <c r="AY297" s="19" t="s">
        <v>177</v>
      </c>
      <c r="BE297" s="152">
        <f>IF(N297="základní",J297,0)</f>
        <v>0</v>
      </c>
      <c r="BF297" s="152">
        <f>IF(N297="snížená",J297,0)</f>
        <v>0</v>
      </c>
      <c r="BG297" s="152">
        <f>IF(N297="zákl. přenesená",J297,0)</f>
        <v>0</v>
      </c>
      <c r="BH297" s="152">
        <f>IF(N297="sníž. přenesená",J297,0)</f>
        <v>0</v>
      </c>
      <c r="BI297" s="152">
        <f>IF(N297="nulová",J297,0)</f>
        <v>0</v>
      </c>
      <c r="BJ297" s="19" t="s">
        <v>85</v>
      </c>
      <c r="BK297" s="152">
        <f>ROUND(I297*H297,2)</f>
        <v>0</v>
      </c>
      <c r="BL297" s="19" t="s">
        <v>237</v>
      </c>
      <c r="BM297" s="151" t="s">
        <v>4085</v>
      </c>
    </row>
    <row r="298" spans="1:65" s="2" customFormat="1">
      <c r="A298" s="34"/>
      <c r="B298" s="35"/>
      <c r="C298" s="34"/>
      <c r="D298" s="153" t="s">
        <v>187</v>
      </c>
      <c r="E298" s="34"/>
      <c r="F298" s="154" t="s">
        <v>4086</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187</v>
      </c>
      <c r="AU298" s="19" t="s">
        <v>87</v>
      </c>
    </row>
    <row r="299" spans="1:65" s="2" customFormat="1">
      <c r="A299" s="34"/>
      <c r="B299" s="35"/>
      <c r="C299" s="34"/>
      <c r="D299" s="158" t="s">
        <v>189</v>
      </c>
      <c r="E299" s="34"/>
      <c r="F299" s="159" t="s">
        <v>4087</v>
      </c>
      <c r="G299" s="34"/>
      <c r="H299" s="34"/>
      <c r="I299" s="155"/>
      <c r="J299" s="34"/>
      <c r="K299" s="34"/>
      <c r="L299" s="35"/>
      <c r="M299" s="156"/>
      <c r="N299" s="157"/>
      <c r="O299" s="55"/>
      <c r="P299" s="55"/>
      <c r="Q299" s="55"/>
      <c r="R299" s="55"/>
      <c r="S299" s="55"/>
      <c r="T299" s="56"/>
      <c r="U299" s="34"/>
      <c r="V299" s="34"/>
      <c r="W299" s="34"/>
      <c r="X299" s="34"/>
      <c r="Y299" s="34"/>
      <c r="Z299" s="34"/>
      <c r="AA299" s="34"/>
      <c r="AB299" s="34"/>
      <c r="AC299" s="34"/>
      <c r="AD299" s="34"/>
      <c r="AE299" s="34"/>
      <c r="AT299" s="19" t="s">
        <v>189</v>
      </c>
      <c r="AU299" s="19" t="s">
        <v>87</v>
      </c>
    </row>
    <row r="300" spans="1:65" s="2" customFormat="1" ht="39">
      <c r="A300" s="34"/>
      <c r="B300" s="35"/>
      <c r="C300" s="34"/>
      <c r="D300" s="153" t="s">
        <v>191</v>
      </c>
      <c r="E300" s="34"/>
      <c r="F300" s="160" t="s">
        <v>4088</v>
      </c>
      <c r="G300" s="34"/>
      <c r="H300" s="34"/>
      <c r="I300" s="155"/>
      <c r="J300" s="34"/>
      <c r="K300" s="34"/>
      <c r="L300" s="35"/>
      <c r="M300" s="156"/>
      <c r="N300" s="157"/>
      <c r="O300" s="55"/>
      <c r="P300" s="55"/>
      <c r="Q300" s="55"/>
      <c r="R300" s="55"/>
      <c r="S300" s="55"/>
      <c r="T300" s="56"/>
      <c r="U300" s="34"/>
      <c r="V300" s="34"/>
      <c r="W300" s="34"/>
      <c r="X300" s="34"/>
      <c r="Y300" s="34"/>
      <c r="Z300" s="34"/>
      <c r="AA300" s="34"/>
      <c r="AB300" s="34"/>
      <c r="AC300" s="34"/>
      <c r="AD300" s="34"/>
      <c r="AE300" s="34"/>
      <c r="AT300" s="19" t="s">
        <v>191</v>
      </c>
      <c r="AU300" s="19" t="s">
        <v>87</v>
      </c>
    </row>
    <row r="301" spans="1:65" s="2" customFormat="1" ht="16.5" customHeight="1">
      <c r="A301" s="34"/>
      <c r="B301" s="139"/>
      <c r="C301" s="140" t="s">
        <v>1187</v>
      </c>
      <c r="D301" s="140" t="s">
        <v>180</v>
      </c>
      <c r="E301" s="141" t="s">
        <v>4089</v>
      </c>
      <c r="F301" s="142" t="s">
        <v>4090</v>
      </c>
      <c r="G301" s="143" t="s">
        <v>236</v>
      </c>
      <c r="H301" s="144">
        <v>2</v>
      </c>
      <c r="I301" s="145"/>
      <c r="J301" s="146">
        <f>ROUND(I301*H301,2)</f>
        <v>0</v>
      </c>
      <c r="K301" s="142" t="s">
        <v>184</v>
      </c>
      <c r="L301" s="35"/>
      <c r="M301" s="147" t="s">
        <v>3</v>
      </c>
      <c r="N301" s="148" t="s">
        <v>48</v>
      </c>
      <c r="O301" s="55"/>
      <c r="P301" s="149">
        <f>O301*H301</f>
        <v>0</v>
      </c>
      <c r="Q301" s="149">
        <v>2.9999999999999997E-4</v>
      </c>
      <c r="R301" s="149">
        <f>Q301*H301</f>
        <v>5.9999999999999995E-4</v>
      </c>
      <c r="S301" s="149">
        <v>0</v>
      </c>
      <c r="T301" s="150">
        <f>S301*H301</f>
        <v>0</v>
      </c>
      <c r="U301" s="34"/>
      <c r="V301" s="34"/>
      <c r="W301" s="34"/>
      <c r="X301" s="34"/>
      <c r="Y301" s="34"/>
      <c r="Z301" s="34"/>
      <c r="AA301" s="34"/>
      <c r="AB301" s="34"/>
      <c r="AC301" s="34"/>
      <c r="AD301" s="34"/>
      <c r="AE301" s="34"/>
      <c r="AR301" s="151" t="s">
        <v>237</v>
      </c>
      <c r="AT301" s="151" t="s">
        <v>180</v>
      </c>
      <c r="AU301" s="151" t="s">
        <v>87</v>
      </c>
      <c r="AY301" s="19" t="s">
        <v>177</v>
      </c>
      <c r="BE301" s="152">
        <f>IF(N301="základní",J301,0)</f>
        <v>0</v>
      </c>
      <c r="BF301" s="152">
        <f>IF(N301="snížená",J301,0)</f>
        <v>0</v>
      </c>
      <c r="BG301" s="152">
        <f>IF(N301="zákl. přenesená",J301,0)</f>
        <v>0</v>
      </c>
      <c r="BH301" s="152">
        <f>IF(N301="sníž. přenesená",J301,0)</f>
        <v>0</v>
      </c>
      <c r="BI301" s="152">
        <f>IF(N301="nulová",J301,0)</f>
        <v>0</v>
      </c>
      <c r="BJ301" s="19" t="s">
        <v>85</v>
      </c>
      <c r="BK301" s="152">
        <f>ROUND(I301*H301,2)</f>
        <v>0</v>
      </c>
      <c r="BL301" s="19" t="s">
        <v>237</v>
      </c>
      <c r="BM301" s="151" t="s">
        <v>4091</v>
      </c>
    </row>
    <row r="302" spans="1:65" s="2" customFormat="1">
      <c r="A302" s="34"/>
      <c r="B302" s="35"/>
      <c r="C302" s="34"/>
      <c r="D302" s="153" t="s">
        <v>187</v>
      </c>
      <c r="E302" s="34"/>
      <c r="F302" s="154" t="s">
        <v>4092</v>
      </c>
      <c r="G302" s="34"/>
      <c r="H302" s="34"/>
      <c r="I302" s="155"/>
      <c r="J302" s="34"/>
      <c r="K302" s="34"/>
      <c r="L302" s="35"/>
      <c r="M302" s="156"/>
      <c r="N302" s="157"/>
      <c r="O302" s="55"/>
      <c r="P302" s="55"/>
      <c r="Q302" s="55"/>
      <c r="R302" s="55"/>
      <c r="S302" s="55"/>
      <c r="T302" s="56"/>
      <c r="U302" s="34"/>
      <c r="V302" s="34"/>
      <c r="W302" s="34"/>
      <c r="X302" s="34"/>
      <c r="Y302" s="34"/>
      <c r="Z302" s="34"/>
      <c r="AA302" s="34"/>
      <c r="AB302" s="34"/>
      <c r="AC302" s="34"/>
      <c r="AD302" s="34"/>
      <c r="AE302" s="34"/>
      <c r="AT302" s="19" t="s">
        <v>187</v>
      </c>
      <c r="AU302" s="19" t="s">
        <v>87</v>
      </c>
    </row>
    <row r="303" spans="1:65" s="2" customFormat="1">
      <c r="A303" s="34"/>
      <c r="B303" s="35"/>
      <c r="C303" s="34"/>
      <c r="D303" s="158" t="s">
        <v>189</v>
      </c>
      <c r="E303" s="34"/>
      <c r="F303" s="159" t="s">
        <v>4093</v>
      </c>
      <c r="G303" s="34"/>
      <c r="H303" s="34"/>
      <c r="I303" s="155"/>
      <c r="J303" s="34"/>
      <c r="K303" s="34"/>
      <c r="L303" s="35"/>
      <c r="M303" s="156"/>
      <c r="N303" s="157"/>
      <c r="O303" s="55"/>
      <c r="P303" s="55"/>
      <c r="Q303" s="55"/>
      <c r="R303" s="55"/>
      <c r="S303" s="55"/>
      <c r="T303" s="56"/>
      <c r="U303" s="34"/>
      <c r="V303" s="34"/>
      <c r="W303" s="34"/>
      <c r="X303" s="34"/>
      <c r="Y303" s="34"/>
      <c r="Z303" s="34"/>
      <c r="AA303" s="34"/>
      <c r="AB303" s="34"/>
      <c r="AC303" s="34"/>
      <c r="AD303" s="34"/>
      <c r="AE303" s="34"/>
      <c r="AT303" s="19" t="s">
        <v>189</v>
      </c>
      <c r="AU303" s="19" t="s">
        <v>87</v>
      </c>
    </row>
    <row r="304" spans="1:65" s="2" customFormat="1" ht="39">
      <c r="A304" s="34"/>
      <c r="B304" s="35"/>
      <c r="C304" s="34"/>
      <c r="D304" s="153" t="s">
        <v>191</v>
      </c>
      <c r="E304" s="34"/>
      <c r="F304" s="160" t="s">
        <v>4088</v>
      </c>
      <c r="G304" s="34"/>
      <c r="H304" s="34"/>
      <c r="I304" s="155"/>
      <c r="J304" s="34"/>
      <c r="K304" s="34"/>
      <c r="L304" s="35"/>
      <c r="M304" s="156"/>
      <c r="N304" s="157"/>
      <c r="O304" s="55"/>
      <c r="P304" s="55"/>
      <c r="Q304" s="55"/>
      <c r="R304" s="55"/>
      <c r="S304" s="55"/>
      <c r="T304" s="56"/>
      <c r="U304" s="34"/>
      <c r="V304" s="34"/>
      <c r="W304" s="34"/>
      <c r="X304" s="34"/>
      <c r="Y304" s="34"/>
      <c r="Z304" s="34"/>
      <c r="AA304" s="34"/>
      <c r="AB304" s="34"/>
      <c r="AC304" s="34"/>
      <c r="AD304" s="34"/>
      <c r="AE304" s="34"/>
      <c r="AT304" s="19" t="s">
        <v>191</v>
      </c>
      <c r="AU304" s="19" t="s">
        <v>87</v>
      </c>
    </row>
    <row r="305" spans="1:65" s="2" customFormat="1" ht="16.5" customHeight="1">
      <c r="A305" s="34"/>
      <c r="B305" s="139"/>
      <c r="C305" s="140" t="s">
        <v>1190</v>
      </c>
      <c r="D305" s="140" t="s">
        <v>180</v>
      </c>
      <c r="E305" s="141" t="s">
        <v>4094</v>
      </c>
      <c r="F305" s="142" t="s">
        <v>4095</v>
      </c>
      <c r="G305" s="143" t="s">
        <v>236</v>
      </c>
      <c r="H305" s="144">
        <v>2</v>
      </c>
      <c r="I305" s="145"/>
      <c r="J305" s="146">
        <f>ROUND(I305*H305,2)</f>
        <v>0</v>
      </c>
      <c r="K305" s="142" t="s">
        <v>184</v>
      </c>
      <c r="L305" s="35"/>
      <c r="M305" s="147" t="s">
        <v>3</v>
      </c>
      <c r="N305" s="148" t="s">
        <v>48</v>
      </c>
      <c r="O305" s="55"/>
      <c r="P305" s="149">
        <f>O305*H305</f>
        <v>0</v>
      </c>
      <c r="Q305" s="149">
        <v>2.0956999999999999E-4</v>
      </c>
      <c r="R305" s="149">
        <f>Q305*H305</f>
        <v>4.1913999999999997E-4</v>
      </c>
      <c r="S305" s="149">
        <v>0</v>
      </c>
      <c r="T305" s="150">
        <f>S305*H305</f>
        <v>0</v>
      </c>
      <c r="U305" s="34"/>
      <c r="V305" s="34"/>
      <c r="W305" s="34"/>
      <c r="X305" s="34"/>
      <c r="Y305" s="34"/>
      <c r="Z305" s="34"/>
      <c r="AA305" s="34"/>
      <c r="AB305" s="34"/>
      <c r="AC305" s="34"/>
      <c r="AD305" s="34"/>
      <c r="AE305" s="34"/>
      <c r="AR305" s="151" t="s">
        <v>237</v>
      </c>
      <c r="AT305" s="151" t="s">
        <v>180</v>
      </c>
      <c r="AU305" s="151" t="s">
        <v>87</v>
      </c>
      <c r="AY305" s="19" t="s">
        <v>177</v>
      </c>
      <c r="BE305" s="152">
        <f>IF(N305="základní",J305,0)</f>
        <v>0</v>
      </c>
      <c r="BF305" s="152">
        <f>IF(N305="snížená",J305,0)</f>
        <v>0</v>
      </c>
      <c r="BG305" s="152">
        <f>IF(N305="zákl. přenesená",J305,0)</f>
        <v>0</v>
      </c>
      <c r="BH305" s="152">
        <f>IF(N305="sníž. přenesená",J305,0)</f>
        <v>0</v>
      </c>
      <c r="BI305" s="152">
        <f>IF(N305="nulová",J305,0)</f>
        <v>0</v>
      </c>
      <c r="BJ305" s="19" t="s">
        <v>85</v>
      </c>
      <c r="BK305" s="152">
        <f>ROUND(I305*H305,2)</f>
        <v>0</v>
      </c>
      <c r="BL305" s="19" t="s">
        <v>237</v>
      </c>
      <c r="BM305" s="151" t="s">
        <v>4096</v>
      </c>
    </row>
    <row r="306" spans="1:65" s="2" customFormat="1">
      <c r="A306" s="34"/>
      <c r="B306" s="35"/>
      <c r="C306" s="34"/>
      <c r="D306" s="153" t="s">
        <v>187</v>
      </c>
      <c r="E306" s="34"/>
      <c r="F306" s="154" t="s">
        <v>4097</v>
      </c>
      <c r="G306" s="34"/>
      <c r="H306" s="34"/>
      <c r="I306" s="155"/>
      <c r="J306" s="34"/>
      <c r="K306" s="34"/>
      <c r="L306" s="35"/>
      <c r="M306" s="156"/>
      <c r="N306" s="157"/>
      <c r="O306" s="55"/>
      <c r="P306" s="55"/>
      <c r="Q306" s="55"/>
      <c r="R306" s="55"/>
      <c r="S306" s="55"/>
      <c r="T306" s="56"/>
      <c r="U306" s="34"/>
      <c r="V306" s="34"/>
      <c r="W306" s="34"/>
      <c r="X306" s="34"/>
      <c r="Y306" s="34"/>
      <c r="Z306" s="34"/>
      <c r="AA306" s="34"/>
      <c r="AB306" s="34"/>
      <c r="AC306" s="34"/>
      <c r="AD306" s="34"/>
      <c r="AE306" s="34"/>
      <c r="AT306" s="19" t="s">
        <v>187</v>
      </c>
      <c r="AU306" s="19" t="s">
        <v>87</v>
      </c>
    </row>
    <row r="307" spans="1:65" s="2" customFormat="1">
      <c r="A307" s="34"/>
      <c r="B307" s="35"/>
      <c r="C307" s="34"/>
      <c r="D307" s="158" t="s">
        <v>189</v>
      </c>
      <c r="E307" s="34"/>
      <c r="F307" s="159" t="s">
        <v>4098</v>
      </c>
      <c r="G307" s="34"/>
      <c r="H307" s="34"/>
      <c r="I307" s="155"/>
      <c r="J307" s="34"/>
      <c r="K307" s="34"/>
      <c r="L307" s="35"/>
      <c r="M307" s="156"/>
      <c r="N307" s="157"/>
      <c r="O307" s="55"/>
      <c r="P307" s="55"/>
      <c r="Q307" s="55"/>
      <c r="R307" s="55"/>
      <c r="S307" s="55"/>
      <c r="T307" s="56"/>
      <c r="U307" s="34"/>
      <c r="V307" s="34"/>
      <c r="W307" s="34"/>
      <c r="X307" s="34"/>
      <c r="Y307" s="34"/>
      <c r="Z307" s="34"/>
      <c r="AA307" s="34"/>
      <c r="AB307" s="34"/>
      <c r="AC307" s="34"/>
      <c r="AD307" s="34"/>
      <c r="AE307" s="34"/>
      <c r="AT307" s="19" t="s">
        <v>189</v>
      </c>
      <c r="AU307" s="19" t="s">
        <v>87</v>
      </c>
    </row>
    <row r="308" spans="1:65" s="2" customFormat="1" ht="16.5" customHeight="1">
      <c r="A308" s="34"/>
      <c r="B308" s="139"/>
      <c r="C308" s="140" t="s">
        <v>1192</v>
      </c>
      <c r="D308" s="140" t="s">
        <v>180</v>
      </c>
      <c r="E308" s="141" t="s">
        <v>4099</v>
      </c>
      <c r="F308" s="142" t="s">
        <v>4100</v>
      </c>
      <c r="G308" s="143" t="s">
        <v>236</v>
      </c>
      <c r="H308" s="144">
        <v>1</v>
      </c>
      <c r="I308" s="145"/>
      <c r="J308" s="146">
        <f>ROUND(I308*H308,2)</f>
        <v>0</v>
      </c>
      <c r="K308" s="142" t="s">
        <v>184</v>
      </c>
      <c r="L308" s="35"/>
      <c r="M308" s="147" t="s">
        <v>3</v>
      </c>
      <c r="N308" s="148" t="s">
        <v>48</v>
      </c>
      <c r="O308" s="55"/>
      <c r="P308" s="149">
        <f>O308*H308</f>
        <v>0</v>
      </c>
      <c r="Q308" s="149">
        <v>6.9957000000000005E-4</v>
      </c>
      <c r="R308" s="149">
        <f>Q308*H308</f>
        <v>6.9957000000000005E-4</v>
      </c>
      <c r="S308" s="149">
        <v>0</v>
      </c>
      <c r="T308" s="150">
        <f>S308*H308</f>
        <v>0</v>
      </c>
      <c r="U308" s="34"/>
      <c r="V308" s="34"/>
      <c r="W308" s="34"/>
      <c r="X308" s="34"/>
      <c r="Y308" s="34"/>
      <c r="Z308" s="34"/>
      <c r="AA308" s="34"/>
      <c r="AB308" s="34"/>
      <c r="AC308" s="34"/>
      <c r="AD308" s="34"/>
      <c r="AE308" s="34"/>
      <c r="AR308" s="151" t="s">
        <v>237</v>
      </c>
      <c r="AT308" s="151" t="s">
        <v>180</v>
      </c>
      <c r="AU308" s="151" t="s">
        <v>87</v>
      </c>
      <c r="AY308" s="19" t="s">
        <v>177</v>
      </c>
      <c r="BE308" s="152">
        <f>IF(N308="základní",J308,0)</f>
        <v>0</v>
      </c>
      <c r="BF308" s="152">
        <f>IF(N308="snížená",J308,0)</f>
        <v>0</v>
      </c>
      <c r="BG308" s="152">
        <f>IF(N308="zákl. přenesená",J308,0)</f>
        <v>0</v>
      </c>
      <c r="BH308" s="152">
        <f>IF(N308="sníž. přenesená",J308,0)</f>
        <v>0</v>
      </c>
      <c r="BI308" s="152">
        <f>IF(N308="nulová",J308,0)</f>
        <v>0</v>
      </c>
      <c r="BJ308" s="19" t="s">
        <v>85</v>
      </c>
      <c r="BK308" s="152">
        <f>ROUND(I308*H308,2)</f>
        <v>0</v>
      </c>
      <c r="BL308" s="19" t="s">
        <v>237</v>
      </c>
      <c r="BM308" s="151" t="s">
        <v>4101</v>
      </c>
    </row>
    <row r="309" spans="1:65" s="2" customFormat="1">
      <c r="A309" s="34"/>
      <c r="B309" s="35"/>
      <c r="C309" s="34"/>
      <c r="D309" s="153" t="s">
        <v>187</v>
      </c>
      <c r="E309" s="34"/>
      <c r="F309" s="154" t="s">
        <v>4102</v>
      </c>
      <c r="G309" s="34"/>
      <c r="H309" s="34"/>
      <c r="I309" s="155"/>
      <c r="J309" s="34"/>
      <c r="K309" s="34"/>
      <c r="L309" s="35"/>
      <c r="M309" s="156"/>
      <c r="N309" s="157"/>
      <c r="O309" s="55"/>
      <c r="P309" s="55"/>
      <c r="Q309" s="55"/>
      <c r="R309" s="55"/>
      <c r="S309" s="55"/>
      <c r="T309" s="56"/>
      <c r="U309" s="34"/>
      <c r="V309" s="34"/>
      <c r="W309" s="34"/>
      <c r="X309" s="34"/>
      <c r="Y309" s="34"/>
      <c r="Z309" s="34"/>
      <c r="AA309" s="34"/>
      <c r="AB309" s="34"/>
      <c r="AC309" s="34"/>
      <c r="AD309" s="34"/>
      <c r="AE309" s="34"/>
      <c r="AT309" s="19" t="s">
        <v>187</v>
      </c>
      <c r="AU309" s="19" t="s">
        <v>87</v>
      </c>
    </row>
    <row r="310" spans="1:65" s="2" customFormat="1">
      <c r="A310" s="34"/>
      <c r="B310" s="35"/>
      <c r="C310" s="34"/>
      <c r="D310" s="158" t="s">
        <v>189</v>
      </c>
      <c r="E310" s="34"/>
      <c r="F310" s="159" t="s">
        <v>4103</v>
      </c>
      <c r="G310" s="34"/>
      <c r="H310" s="34"/>
      <c r="I310" s="155"/>
      <c r="J310" s="34"/>
      <c r="K310" s="34"/>
      <c r="L310" s="35"/>
      <c r="M310" s="156"/>
      <c r="N310" s="157"/>
      <c r="O310" s="55"/>
      <c r="P310" s="55"/>
      <c r="Q310" s="55"/>
      <c r="R310" s="55"/>
      <c r="S310" s="55"/>
      <c r="T310" s="56"/>
      <c r="U310" s="34"/>
      <c r="V310" s="34"/>
      <c r="W310" s="34"/>
      <c r="X310" s="34"/>
      <c r="Y310" s="34"/>
      <c r="Z310" s="34"/>
      <c r="AA310" s="34"/>
      <c r="AB310" s="34"/>
      <c r="AC310" s="34"/>
      <c r="AD310" s="34"/>
      <c r="AE310" s="34"/>
      <c r="AT310" s="19" t="s">
        <v>189</v>
      </c>
      <c r="AU310" s="19" t="s">
        <v>87</v>
      </c>
    </row>
    <row r="311" spans="1:65" s="2" customFormat="1" ht="16.5" customHeight="1">
      <c r="A311" s="34"/>
      <c r="B311" s="139"/>
      <c r="C311" s="140" t="s">
        <v>1195</v>
      </c>
      <c r="D311" s="140" t="s">
        <v>180</v>
      </c>
      <c r="E311" s="141" t="s">
        <v>4104</v>
      </c>
      <c r="F311" s="142" t="s">
        <v>4105</v>
      </c>
      <c r="G311" s="143" t="s">
        <v>476</v>
      </c>
      <c r="H311" s="144">
        <v>183</v>
      </c>
      <c r="I311" s="145"/>
      <c r="J311" s="146">
        <f>ROUND(I311*H311,2)</f>
        <v>0</v>
      </c>
      <c r="K311" s="142" t="s">
        <v>184</v>
      </c>
      <c r="L311" s="35"/>
      <c r="M311" s="147" t="s">
        <v>3</v>
      </c>
      <c r="N311" s="148" t="s">
        <v>48</v>
      </c>
      <c r="O311" s="55"/>
      <c r="P311" s="149">
        <f>O311*H311</f>
        <v>0</v>
      </c>
      <c r="Q311" s="149">
        <v>1.8972349999999999E-4</v>
      </c>
      <c r="R311" s="149">
        <f>Q311*H311</f>
        <v>3.4719400499999997E-2</v>
      </c>
      <c r="S311" s="149">
        <v>0</v>
      </c>
      <c r="T311" s="150">
        <f>S311*H311</f>
        <v>0</v>
      </c>
      <c r="U311" s="34"/>
      <c r="V311" s="34"/>
      <c r="W311" s="34"/>
      <c r="X311" s="34"/>
      <c r="Y311" s="34"/>
      <c r="Z311" s="34"/>
      <c r="AA311" s="34"/>
      <c r="AB311" s="34"/>
      <c r="AC311" s="34"/>
      <c r="AD311" s="34"/>
      <c r="AE311" s="34"/>
      <c r="AR311" s="151" t="s">
        <v>237</v>
      </c>
      <c r="AT311" s="151" t="s">
        <v>180</v>
      </c>
      <c r="AU311" s="151" t="s">
        <v>87</v>
      </c>
      <c r="AY311" s="19" t="s">
        <v>177</v>
      </c>
      <c r="BE311" s="152">
        <f>IF(N311="základní",J311,0)</f>
        <v>0</v>
      </c>
      <c r="BF311" s="152">
        <f>IF(N311="snížená",J311,0)</f>
        <v>0</v>
      </c>
      <c r="BG311" s="152">
        <f>IF(N311="zákl. přenesená",J311,0)</f>
        <v>0</v>
      </c>
      <c r="BH311" s="152">
        <f>IF(N311="sníž. přenesená",J311,0)</f>
        <v>0</v>
      </c>
      <c r="BI311" s="152">
        <f>IF(N311="nulová",J311,0)</f>
        <v>0</v>
      </c>
      <c r="BJ311" s="19" t="s">
        <v>85</v>
      </c>
      <c r="BK311" s="152">
        <f>ROUND(I311*H311,2)</f>
        <v>0</v>
      </c>
      <c r="BL311" s="19" t="s">
        <v>237</v>
      </c>
      <c r="BM311" s="151" t="s">
        <v>4106</v>
      </c>
    </row>
    <row r="312" spans="1:65" s="2" customFormat="1">
      <c r="A312" s="34"/>
      <c r="B312" s="35"/>
      <c r="C312" s="34"/>
      <c r="D312" s="153" t="s">
        <v>187</v>
      </c>
      <c r="E312" s="34"/>
      <c r="F312" s="154" t="s">
        <v>4107</v>
      </c>
      <c r="G312" s="34"/>
      <c r="H312" s="34"/>
      <c r="I312" s="155"/>
      <c r="J312" s="34"/>
      <c r="K312" s="34"/>
      <c r="L312" s="35"/>
      <c r="M312" s="156"/>
      <c r="N312" s="157"/>
      <c r="O312" s="55"/>
      <c r="P312" s="55"/>
      <c r="Q312" s="55"/>
      <c r="R312" s="55"/>
      <c r="S312" s="55"/>
      <c r="T312" s="56"/>
      <c r="U312" s="34"/>
      <c r="V312" s="34"/>
      <c r="W312" s="34"/>
      <c r="X312" s="34"/>
      <c r="Y312" s="34"/>
      <c r="Z312" s="34"/>
      <c r="AA312" s="34"/>
      <c r="AB312" s="34"/>
      <c r="AC312" s="34"/>
      <c r="AD312" s="34"/>
      <c r="AE312" s="34"/>
      <c r="AT312" s="19" t="s">
        <v>187</v>
      </c>
      <c r="AU312" s="19" t="s">
        <v>87</v>
      </c>
    </row>
    <row r="313" spans="1:65" s="2" customFormat="1">
      <c r="A313" s="34"/>
      <c r="B313" s="35"/>
      <c r="C313" s="34"/>
      <c r="D313" s="158" t="s">
        <v>189</v>
      </c>
      <c r="E313" s="34"/>
      <c r="F313" s="159" t="s">
        <v>4108</v>
      </c>
      <c r="G313" s="34"/>
      <c r="H313" s="34"/>
      <c r="I313" s="155"/>
      <c r="J313" s="34"/>
      <c r="K313" s="34"/>
      <c r="L313" s="35"/>
      <c r="M313" s="156"/>
      <c r="N313" s="157"/>
      <c r="O313" s="55"/>
      <c r="P313" s="55"/>
      <c r="Q313" s="55"/>
      <c r="R313" s="55"/>
      <c r="S313" s="55"/>
      <c r="T313" s="56"/>
      <c r="U313" s="34"/>
      <c r="V313" s="34"/>
      <c r="W313" s="34"/>
      <c r="X313" s="34"/>
      <c r="Y313" s="34"/>
      <c r="Z313" s="34"/>
      <c r="AA313" s="34"/>
      <c r="AB313" s="34"/>
      <c r="AC313" s="34"/>
      <c r="AD313" s="34"/>
      <c r="AE313" s="34"/>
      <c r="AT313" s="19" t="s">
        <v>189</v>
      </c>
      <c r="AU313" s="19" t="s">
        <v>87</v>
      </c>
    </row>
    <row r="314" spans="1:65" s="2" customFormat="1" ht="68.25">
      <c r="A314" s="34"/>
      <c r="B314" s="35"/>
      <c r="C314" s="34"/>
      <c r="D314" s="153" t="s">
        <v>191</v>
      </c>
      <c r="E314" s="34"/>
      <c r="F314" s="160" t="s">
        <v>4109</v>
      </c>
      <c r="G314" s="34"/>
      <c r="H314" s="34"/>
      <c r="I314" s="155"/>
      <c r="J314" s="34"/>
      <c r="K314" s="34"/>
      <c r="L314" s="35"/>
      <c r="M314" s="156"/>
      <c r="N314" s="157"/>
      <c r="O314" s="55"/>
      <c r="P314" s="55"/>
      <c r="Q314" s="55"/>
      <c r="R314" s="55"/>
      <c r="S314" s="55"/>
      <c r="T314" s="56"/>
      <c r="U314" s="34"/>
      <c r="V314" s="34"/>
      <c r="W314" s="34"/>
      <c r="X314" s="34"/>
      <c r="Y314" s="34"/>
      <c r="Z314" s="34"/>
      <c r="AA314" s="34"/>
      <c r="AB314" s="34"/>
      <c r="AC314" s="34"/>
      <c r="AD314" s="34"/>
      <c r="AE314" s="34"/>
      <c r="AT314" s="19" t="s">
        <v>191</v>
      </c>
      <c r="AU314" s="19" t="s">
        <v>87</v>
      </c>
    </row>
    <row r="315" spans="1:65" s="2" customFormat="1" ht="16.5" customHeight="1">
      <c r="A315" s="34"/>
      <c r="B315" s="139"/>
      <c r="C315" s="140" t="s">
        <v>1203</v>
      </c>
      <c r="D315" s="140" t="s">
        <v>180</v>
      </c>
      <c r="E315" s="141" t="s">
        <v>4110</v>
      </c>
      <c r="F315" s="142" t="s">
        <v>4111</v>
      </c>
      <c r="G315" s="143" t="s">
        <v>476</v>
      </c>
      <c r="H315" s="144">
        <v>183</v>
      </c>
      <c r="I315" s="145"/>
      <c r="J315" s="146">
        <f>ROUND(I315*H315,2)</f>
        <v>0</v>
      </c>
      <c r="K315" s="142" t="s">
        <v>184</v>
      </c>
      <c r="L315" s="35"/>
      <c r="M315" s="147" t="s">
        <v>3</v>
      </c>
      <c r="N315" s="148" t="s">
        <v>48</v>
      </c>
      <c r="O315" s="55"/>
      <c r="P315" s="149">
        <f>O315*H315</f>
        <v>0</v>
      </c>
      <c r="Q315" s="149">
        <v>1.0000000000000001E-5</v>
      </c>
      <c r="R315" s="149">
        <f>Q315*H315</f>
        <v>1.8300000000000002E-3</v>
      </c>
      <c r="S315" s="149">
        <v>0</v>
      </c>
      <c r="T315" s="150">
        <f>S315*H315</f>
        <v>0</v>
      </c>
      <c r="U315" s="34"/>
      <c r="V315" s="34"/>
      <c r="W315" s="34"/>
      <c r="X315" s="34"/>
      <c r="Y315" s="34"/>
      <c r="Z315" s="34"/>
      <c r="AA315" s="34"/>
      <c r="AB315" s="34"/>
      <c r="AC315" s="34"/>
      <c r="AD315" s="34"/>
      <c r="AE315" s="34"/>
      <c r="AR315" s="151" t="s">
        <v>237</v>
      </c>
      <c r="AT315" s="151" t="s">
        <v>180</v>
      </c>
      <c r="AU315" s="151" t="s">
        <v>87</v>
      </c>
      <c r="AY315" s="19" t="s">
        <v>177</v>
      </c>
      <c r="BE315" s="152">
        <f>IF(N315="základní",J315,0)</f>
        <v>0</v>
      </c>
      <c r="BF315" s="152">
        <f>IF(N315="snížená",J315,0)</f>
        <v>0</v>
      </c>
      <c r="BG315" s="152">
        <f>IF(N315="zákl. přenesená",J315,0)</f>
        <v>0</v>
      </c>
      <c r="BH315" s="152">
        <f>IF(N315="sníž. přenesená",J315,0)</f>
        <v>0</v>
      </c>
      <c r="BI315" s="152">
        <f>IF(N315="nulová",J315,0)</f>
        <v>0</v>
      </c>
      <c r="BJ315" s="19" t="s">
        <v>85</v>
      </c>
      <c r="BK315" s="152">
        <f>ROUND(I315*H315,2)</f>
        <v>0</v>
      </c>
      <c r="BL315" s="19" t="s">
        <v>237</v>
      </c>
      <c r="BM315" s="151" t="s">
        <v>4112</v>
      </c>
    </row>
    <row r="316" spans="1:65" s="2" customFormat="1">
      <c r="A316" s="34"/>
      <c r="B316" s="35"/>
      <c r="C316" s="34"/>
      <c r="D316" s="153" t="s">
        <v>187</v>
      </c>
      <c r="E316" s="34"/>
      <c r="F316" s="154" t="s">
        <v>4113</v>
      </c>
      <c r="G316" s="34"/>
      <c r="H316" s="34"/>
      <c r="I316" s="155"/>
      <c r="J316" s="34"/>
      <c r="K316" s="34"/>
      <c r="L316" s="35"/>
      <c r="M316" s="156"/>
      <c r="N316" s="157"/>
      <c r="O316" s="55"/>
      <c r="P316" s="55"/>
      <c r="Q316" s="55"/>
      <c r="R316" s="55"/>
      <c r="S316" s="55"/>
      <c r="T316" s="56"/>
      <c r="U316" s="34"/>
      <c r="V316" s="34"/>
      <c r="W316" s="34"/>
      <c r="X316" s="34"/>
      <c r="Y316" s="34"/>
      <c r="Z316" s="34"/>
      <c r="AA316" s="34"/>
      <c r="AB316" s="34"/>
      <c r="AC316" s="34"/>
      <c r="AD316" s="34"/>
      <c r="AE316" s="34"/>
      <c r="AT316" s="19" t="s">
        <v>187</v>
      </c>
      <c r="AU316" s="19" t="s">
        <v>87</v>
      </c>
    </row>
    <row r="317" spans="1:65" s="2" customFormat="1">
      <c r="A317" s="34"/>
      <c r="B317" s="35"/>
      <c r="C317" s="34"/>
      <c r="D317" s="158" t="s">
        <v>189</v>
      </c>
      <c r="E317" s="34"/>
      <c r="F317" s="159" t="s">
        <v>4114</v>
      </c>
      <c r="G317" s="34"/>
      <c r="H317" s="34"/>
      <c r="I317" s="155"/>
      <c r="J317" s="34"/>
      <c r="K317" s="34"/>
      <c r="L317" s="35"/>
      <c r="M317" s="156"/>
      <c r="N317" s="157"/>
      <c r="O317" s="55"/>
      <c r="P317" s="55"/>
      <c r="Q317" s="55"/>
      <c r="R317" s="55"/>
      <c r="S317" s="55"/>
      <c r="T317" s="56"/>
      <c r="U317" s="34"/>
      <c r="V317" s="34"/>
      <c r="W317" s="34"/>
      <c r="X317" s="34"/>
      <c r="Y317" s="34"/>
      <c r="Z317" s="34"/>
      <c r="AA317" s="34"/>
      <c r="AB317" s="34"/>
      <c r="AC317" s="34"/>
      <c r="AD317" s="34"/>
      <c r="AE317" s="34"/>
      <c r="AT317" s="19" t="s">
        <v>189</v>
      </c>
      <c r="AU317" s="19" t="s">
        <v>87</v>
      </c>
    </row>
    <row r="318" spans="1:65" s="2" customFormat="1" ht="68.25">
      <c r="A318" s="34"/>
      <c r="B318" s="35"/>
      <c r="C318" s="34"/>
      <c r="D318" s="153" t="s">
        <v>191</v>
      </c>
      <c r="E318" s="34"/>
      <c r="F318" s="160" t="s">
        <v>4109</v>
      </c>
      <c r="G318" s="34"/>
      <c r="H318" s="34"/>
      <c r="I318" s="155"/>
      <c r="J318" s="34"/>
      <c r="K318" s="34"/>
      <c r="L318" s="35"/>
      <c r="M318" s="156"/>
      <c r="N318" s="157"/>
      <c r="O318" s="55"/>
      <c r="P318" s="55"/>
      <c r="Q318" s="55"/>
      <c r="R318" s="55"/>
      <c r="S318" s="55"/>
      <c r="T318" s="56"/>
      <c r="U318" s="34"/>
      <c r="V318" s="34"/>
      <c r="W318" s="34"/>
      <c r="X318" s="34"/>
      <c r="Y318" s="34"/>
      <c r="Z318" s="34"/>
      <c r="AA318" s="34"/>
      <c r="AB318" s="34"/>
      <c r="AC318" s="34"/>
      <c r="AD318" s="34"/>
      <c r="AE318" s="34"/>
      <c r="AT318" s="19" t="s">
        <v>191</v>
      </c>
      <c r="AU318" s="19" t="s">
        <v>87</v>
      </c>
    </row>
    <row r="319" spans="1:65" s="2" customFormat="1" ht="16.5" customHeight="1">
      <c r="A319" s="34"/>
      <c r="B319" s="139"/>
      <c r="C319" s="140" t="s">
        <v>1210</v>
      </c>
      <c r="D319" s="140" t="s">
        <v>180</v>
      </c>
      <c r="E319" s="141" t="s">
        <v>4115</v>
      </c>
      <c r="F319" s="142" t="s">
        <v>4116</v>
      </c>
      <c r="G319" s="143" t="s">
        <v>183</v>
      </c>
      <c r="H319" s="144">
        <v>0.28399999999999997</v>
      </c>
      <c r="I319" s="145"/>
      <c r="J319" s="146">
        <f>ROUND(I319*H319,2)</f>
        <v>0</v>
      </c>
      <c r="K319" s="142" t="s">
        <v>184</v>
      </c>
      <c r="L319" s="35"/>
      <c r="M319" s="147" t="s">
        <v>3</v>
      </c>
      <c r="N319" s="148" t="s">
        <v>48</v>
      </c>
      <c r="O319" s="55"/>
      <c r="P319" s="149">
        <f>O319*H319</f>
        <v>0</v>
      </c>
      <c r="Q319" s="149">
        <v>0</v>
      </c>
      <c r="R319" s="149">
        <f>Q319*H319</f>
        <v>0</v>
      </c>
      <c r="S319" s="149">
        <v>0</v>
      </c>
      <c r="T319" s="150">
        <f>S319*H319</f>
        <v>0</v>
      </c>
      <c r="U319" s="34"/>
      <c r="V319" s="34"/>
      <c r="W319" s="34"/>
      <c r="X319" s="34"/>
      <c r="Y319" s="34"/>
      <c r="Z319" s="34"/>
      <c r="AA319" s="34"/>
      <c r="AB319" s="34"/>
      <c r="AC319" s="34"/>
      <c r="AD319" s="34"/>
      <c r="AE319" s="34"/>
      <c r="AR319" s="151" t="s">
        <v>237</v>
      </c>
      <c r="AT319" s="151" t="s">
        <v>180</v>
      </c>
      <c r="AU319" s="151" t="s">
        <v>87</v>
      </c>
      <c r="AY319" s="19" t="s">
        <v>177</v>
      </c>
      <c r="BE319" s="152">
        <f>IF(N319="základní",J319,0)</f>
        <v>0</v>
      </c>
      <c r="BF319" s="152">
        <f>IF(N319="snížená",J319,0)</f>
        <v>0</v>
      </c>
      <c r="BG319" s="152">
        <f>IF(N319="zákl. přenesená",J319,0)</f>
        <v>0</v>
      </c>
      <c r="BH319" s="152">
        <f>IF(N319="sníž. přenesená",J319,0)</f>
        <v>0</v>
      </c>
      <c r="BI319" s="152">
        <f>IF(N319="nulová",J319,0)</f>
        <v>0</v>
      </c>
      <c r="BJ319" s="19" t="s">
        <v>85</v>
      </c>
      <c r="BK319" s="152">
        <f>ROUND(I319*H319,2)</f>
        <v>0</v>
      </c>
      <c r="BL319" s="19" t="s">
        <v>237</v>
      </c>
      <c r="BM319" s="151" t="s">
        <v>4117</v>
      </c>
    </row>
    <row r="320" spans="1:65" s="2" customFormat="1" ht="19.5">
      <c r="A320" s="34"/>
      <c r="B320" s="35"/>
      <c r="C320" s="34"/>
      <c r="D320" s="153" t="s">
        <v>187</v>
      </c>
      <c r="E320" s="34"/>
      <c r="F320" s="154" t="s">
        <v>4118</v>
      </c>
      <c r="G320" s="34"/>
      <c r="H320" s="34"/>
      <c r="I320" s="155"/>
      <c r="J320" s="34"/>
      <c r="K320" s="34"/>
      <c r="L320" s="35"/>
      <c r="M320" s="156"/>
      <c r="N320" s="157"/>
      <c r="O320" s="55"/>
      <c r="P320" s="55"/>
      <c r="Q320" s="55"/>
      <c r="R320" s="55"/>
      <c r="S320" s="55"/>
      <c r="T320" s="56"/>
      <c r="U320" s="34"/>
      <c r="V320" s="34"/>
      <c r="W320" s="34"/>
      <c r="X320" s="34"/>
      <c r="Y320" s="34"/>
      <c r="Z320" s="34"/>
      <c r="AA320" s="34"/>
      <c r="AB320" s="34"/>
      <c r="AC320" s="34"/>
      <c r="AD320" s="34"/>
      <c r="AE320" s="34"/>
      <c r="AT320" s="19" t="s">
        <v>187</v>
      </c>
      <c r="AU320" s="19" t="s">
        <v>87</v>
      </c>
    </row>
    <row r="321" spans="1:65" s="2" customFormat="1">
      <c r="A321" s="34"/>
      <c r="B321" s="35"/>
      <c r="C321" s="34"/>
      <c r="D321" s="158" t="s">
        <v>189</v>
      </c>
      <c r="E321" s="34"/>
      <c r="F321" s="159" t="s">
        <v>4119</v>
      </c>
      <c r="G321" s="34"/>
      <c r="H321" s="34"/>
      <c r="I321" s="155"/>
      <c r="J321" s="34"/>
      <c r="K321" s="34"/>
      <c r="L321" s="35"/>
      <c r="M321" s="156"/>
      <c r="N321" s="157"/>
      <c r="O321" s="55"/>
      <c r="P321" s="55"/>
      <c r="Q321" s="55"/>
      <c r="R321" s="55"/>
      <c r="S321" s="55"/>
      <c r="T321" s="56"/>
      <c r="U321" s="34"/>
      <c r="V321" s="34"/>
      <c r="W321" s="34"/>
      <c r="X321" s="34"/>
      <c r="Y321" s="34"/>
      <c r="Z321" s="34"/>
      <c r="AA321" s="34"/>
      <c r="AB321" s="34"/>
      <c r="AC321" s="34"/>
      <c r="AD321" s="34"/>
      <c r="AE321" s="34"/>
      <c r="AT321" s="19" t="s">
        <v>189</v>
      </c>
      <c r="AU321" s="19" t="s">
        <v>87</v>
      </c>
    </row>
    <row r="322" spans="1:65" s="2" customFormat="1" ht="78">
      <c r="A322" s="34"/>
      <c r="B322" s="35"/>
      <c r="C322" s="34"/>
      <c r="D322" s="153" t="s">
        <v>191</v>
      </c>
      <c r="E322" s="34"/>
      <c r="F322" s="160" t="s">
        <v>1440</v>
      </c>
      <c r="G322" s="34"/>
      <c r="H322" s="34"/>
      <c r="I322" s="155"/>
      <c r="J322" s="34"/>
      <c r="K322" s="34"/>
      <c r="L322" s="35"/>
      <c r="M322" s="156"/>
      <c r="N322" s="157"/>
      <c r="O322" s="55"/>
      <c r="P322" s="55"/>
      <c r="Q322" s="55"/>
      <c r="R322" s="55"/>
      <c r="S322" s="55"/>
      <c r="T322" s="56"/>
      <c r="U322" s="34"/>
      <c r="V322" s="34"/>
      <c r="W322" s="34"/>
      <c r="X322" s="34"/>
      <c r="Y322" s="34"/>
      <c r="Z322" s="34"/>
      <c r="AA322" s="34"/>
      <c r="AB322" s="34"/>
      <c r="AC322" s="34"/>
      <c r="AD322" s="34"/>
      <c r="AE322" s="34"/>
      <c r="AT322" s="19" t="s">
        <v>191</v>
      </c>
      <c r="AU322" s="19" t="s">
        <v>87</v>
      </c>
    </row>
    <row r="323" spans="1:65" s="2" customFormat="1" ht="16.5" customHeight="1">
      <c r="A323" s="34"/>
      <c r="B323" s="139"/>
      <c r="C323" s="140" t="s">
        <v>1216</v>
      </c>
      <c r="D323" s="140" t="s">
        <v>180</v>
      </c>
      <c r="E323" s="141" t="s">
        <v>4120</v>
      </c>
      <c r="F323" s="142" t="s">
        <v>4121</v>
      </c>
      <c r="G323" s="143" t="s">
        <v>183</v>
      </c>
      <c r="H323" s="144">
        <v>0.28399999999999997</v>
      </c>
      <c r="I323" s="145"/>
      <c r="J323" s="146">
        <f>ROUND(I323*H323,2)</f>
        <v>0</v>
      </c>
      <c r="K323" s="142" t="s">
        <v>184</v>
      </c>
      <c r="L323" s="35"/>
      <c r="M323" s="147" t="s">
        <v>3</v>
      </c>
      <c r="N323" s="148" t="s">
        <v>48</v>
      </c>
      <c r="O323" s="55"/>
      <c r="P323" s="149">
        <f>O323*H323</f>
        <v>0</v>
      </c>
      <c r="Q323" s="149">
        <v>0</v>
      </c>
      <c r="R323" s="149">
        <f>Q323*H323</f>
        <v>0</v>
      </c>
      <c r="S323" s="149">
        <v>0</v>
      </c>
      <c r="T323" s="150">
        <f>S323*H323</f>
        <v>0</v>
      </c>
      <c r="U323" s="34"/>
      <c r="V323" s="34"/>
      <c r="W323" s="34"/>
      <c r="X323" s="34"/>
      <c r="Y323" s="34"/>
      <c r="Z323" s="34"/>
      <c r="AA323" s="34"/>
      <c r="AB323" s="34"/>
      <c r="AC323" s="34"/>
      <c r="AD323" s="34"/>
      <c r="AE323" s="34"/>
      <c r="AR323" s="151" t="s">
        <v>237</v>
      </c>
      <c r="AT323" s="151" t="s">
        <v>180</v>
      </c>
      <c r="AU323" s="151" t="s">
        <v>87</v>
      </c>
      <c r="AY323" s="19" t="s">
        <v>177</v>
      </c>
      <c r="BE323" s="152">
        <f>IF(N323="základní",J323,0)</f>
        <v>0</v>
      </c>
      <c r="BF323" s="152">
        <f>IF(N323="snížená",J323,0)</f>
        <v>0</v>
      </c>
      <c r="BG323" s="152">
        <f>IF(N323="zákl. přenesená",J323,0)</f>
        <v>0</v>
      </c>
      <c r="BH323" s="152">
        <f>IF(N323="sníž. přenesená",J323,0)</f>
        <v>0</v>
      </c>
      <c r="BI323" s="152">
        <f>IF(N323="nulová",J323,0)</f>
        <v>0</v>
      </c>
      <c r="BJ323" s="19" t="s">
        <v>85</v>
      </c>
      <c r="BK323" s="152">
        <f>ROUND(I323*H323,2)</f>
        <v>0</v>
      </c>
      <c r="BL323" s="19" t="s">
        <v>237</v>
      </c>
      <c r="BM323" s="151" t="s">
        <v>4122</v>
      </c>
    </row>
    <row r="324" spans="1:65" s="2" customFormat="1" ht="19.5">
      <c r="A324" s="34"/>
      <c r="B324" s="35"/>
      <c r="C324" s="34"/>
      <c r="D324" s="153" t="s">
        <v>187</v>
      </c>
      <c r="E324" s="34"/>
      <c r="F324" s="154" t="s">
        <v>4123</v>
      </c>
      <c r="G324" s="34"/>
      <c r="H324" s="34"/>
      <c r="I324" s="155"/>
      <c r="J324" s="34"/>
      <c r="K324" s="34"/>
      <c r="L324" s="35"/>
      <c r="M324" s="156"/>
      <c r="N324" s="157"/>
      <c r="O324" s="55"/>
      <c r="P324" s="55"/>
      <c r="Q324" s="55"/>
      <c r="R324" s="55"/>
      <c r="S324" s="55"/>
      <c r="T324" s="56"/>
      <c r="U324" s="34"/>
      <c r="V324" s="34"/>
      <c r="W324" s="34"/>
      <c r="X324" s="34"/>
      <c r="Y324" s="34"/>
      <c r="Z324" s="34"/>
      <c r="AA324" s="34"/>
      <c r="AB324" s="34"/>
      <c r="AC324" s="34"/>
      <c r="AD324" s="34"/>
      <c r="AE324" s="34"/>
      <c r="AT324" s="19" t="s">
        <v>187</v>
      </c>
      <c r="AU324" s="19" t="s">
        <v>87</v>
      </c>
    </row>
    <row r="325" spans="1:65" s="2" customFormat="1">
      <c r="A325" s="34"/>
      <c r="B325" s="35"/>
      <c r="C325" s="34"/>
      <c r="D325" s="158" t="s">
        <v>189</v>
      </c>
      <c r="E325" s="34"/>
      <c r="F325" s="159" t="s">
        <v>4124</v>
      </c>
      <c r="G325" s="34"/>
      <c r="H325" s="34"/>
      <c r="I325" s="155"/>
      <c r="J325" s="34"/>
      <c r="K325" s="34"/>
      <c r="L325" s="35"/>
      <c r="M325" s="156"/>
      <c r="N325" s="157"/>
      <c r="O325" s="55"/>
      <c r="P325" s="55"/>
      <c r="Q325" s="55"/>
      <c r="R325" s="55"/>
      <c r="S325" s="55"/>
      <c r="T325" s="56"/>
      <c r="U325" s="34"/>
      <c r="V325" s="34"/>
      <c r="W325" s="34"/>
      <c r="X325" s="34"/>
      <c r="Y325" s="34"/>
      <c r="Z325" s="34"/>
      <c r="AA325" s="34"/>
      <c r="AB325" s="34"/>
      <c r="AC325" s="34"/>
      <c r="AD325" s="34"/>
      <c r="AE325" s="34"/>
      <c r="AT325" s="19" t="s">
        <v>189</v>
      </c>
      <c r="AU325" s="19" t="s">
        <v>87</v>
      </c>
    </row>
    <row r="326" spans="1:65" s="2" customFormat="1" ht="78">
      <c r="A326" s="34"/>
      <c r="B326" s="35"/>
      <c r="C326" s="34"/>
      <c r="D326" s="153" t="s">
        <v>191</v>
      </c>
      <c r="E326" s="34"/>
      <c r="F326" s="160" t="s">
        <v>1440</v>
      </c>
      <c r="G326" s="34"/>
      <c r="H326" s="34"/>
      <c r="I326" s="155"/>
      <c r="J326" s="34"/>
      <c r="K326" s="34"/>
      <c r="L326" s="35"/>
      <c r="M326" s="156"/>
      <c r="N326" s="157"/>
      <c r="O326" s="55"/>
      <c r="P326" s="55"/>
      <c r="Q326" s="55"/>
      <c r="R326" s="55"/>
      <c r="S326" s="55"/>
      <c r="T326" s="56"/>
      <c r="U326" s="34"/>
      <c r="V326" s="34"/>
      <c r="W326" s="34"/>
      <c r="X326" s="34"/>
      <c r="Y326" s="34"/>
      <c r="Z326" s="34"/>
      <c r="AA326" s="34"/>
      <c r="AB326" s="34"/>
      <c r="AC326" s="34"/>
      <c r="AD326" s="34"/>
      <c r="AE326" s="34"/>
      <c r="AT326" s="19" t="s">
        <v>191</v>
      </c>
      <c r="AU326" s="19" t="s">
        <v>87</v>
      </c>
    </row>
    <row r="327" spans="1:65" s="12" customFormat="1" ht="22.9" customHeight="1">
      <c r="B327" s="126"/>
      <c r="D327" s="127" t="s">
        <v>76</v>
      </c>
      <c r="E327" s="137" t="s">
        <v>256</v>
      </c>
      <c r="F327" s="137" t="s">
        <v>257</v>
      </c>
      <c r="I327" s="129"/>
      <c r="J327" s="138">
        <f>BK327</f>
        <v>0</v>
      </c>
      <c r="L327" s="126"/>
      <c r="M327" s="131"/>
      <c r="N327" s="132"/>
      <c r="O327" s="132"/>
      <c r="P327" s="133">
        <f>SUM(P328:P403)</f>
        <v>0</v>
      </c>
      <c r="Q327" s="132"/>
      <c r="R327" s="133">
        <f>SUM(R328:R403)</f>
        <v>0.5421340897000001</v>
      </c>
      <c r="S327" s="132"/>
      <c r="T327" s="134">
        <f>SUM(T328:T403)</f>
        <v>1.8000000000000002E-3</v>
      </c>
      <c r="AR327" s="127" t="s">
        <v>87</v>
      </c>
      <c r="AT327" s="135" t="s">
        <v>76</v>
      </c>
      <c r="AU327" s="135" t="s">
        <v>85</v>
      </c>
      <c r="AY327" s="127" t="s">
        <v>177</v>
      </c>
      <c r="BK327" s="136">
        <f>SUM(BK328:BK403)</f>
        <v>0</v>
      </c>
    </row>
    <row r="328" spans="1:65" s="2" customFormat="1" ht="16.5" customHeight="1">
      <c r="A328" s="34"/>
      <c r="B328" s="139"/>
      <c r="C328" s="140" t="s">
        <v>1224</v>
      </c>
      <c r="D328" s="140" t="s">
        <v>180</v>
      </c>
      <c r="E328" s="141" t="s">
        <v>4125</v>
      </c>
      <c r="F328" s="142" t="s">
        <v>4126</v>
      </c>
      <c r="G328" s="143" t="s">
        <v>261</v>
      </c>
      <c r="H328" s="144">
        <v>2</v>
      </c>
      <c r="I328" s="145"/>
      <c r="J328" s="146">
        <f>ROUND(I328*H328,2)</f>
        <v>0</v>
      </c>
      <c r="K328" s="142" t="s">
        <v>184</v>
      </c>
      <c r="L328" s="35"/>
      <c r="M328" s="147" t="s">
        <v>3</v>
      </c>
      <c r="N328" s="148" t="s">
        <v>48</v>
      </c>
      <c r="O328" s="55"/>
      <c r="P328" s="149">
        <f>O328*H328</f>
        <v>0</v>
      </c>
      <c r="Q328" s="149">
        <v>1.6968836300000002E-2</v>
      </c>
      <c r="R328" s="149">
        <f>Q328*H328</f>
        <v>3.3937672600000003E-2</v>
      </c>
      <c r="S328" s="149">
        <v>0</v>
      </c>
      <c r="T328" s="150">
        <f>S328*H328</f>
        <v>0</v>
      </c>
      <c r="U328" s="34"/>
      <c r="V328" s="34"/>
      <c r="W328" s="34"/>
      <c r="X328" s="34"/>
      <c r="Y328" s="34"/>
      <c r="Z328" s="34"/>
      <c r="AA328" s="34"/>
      <c r="AB328" s="34"/>
      <c r="AC328" s="34"/>
      <c r="AD328" s="34"/>
      <c r="AE328" s="34"/>
      <c r="AR328" s="151" t="s">
        <v>237</v>
      </c>
      <c r="AT328" s="151" t="s">
        <v>180</v>
      </c>
      <c r="AU328" s="151" t="s">
        <v>87</v>
      </c>
      <c r="AY328" s="19" t="s">
        <v>177</v>
      </c>
      <c r="BE328" s="152">
        <f>IF(N328="základní",J328,0)</f>
        <v>0</v>
      </c>
      <c r="BF328" s="152">
        <f>IF(N328="snížená",J328,0)</f>
        <v>0</v>
      </c>
      <c r="BG328" s="152">
        <f>IF(N328="zákl. přenesená",J328,0)</f>
        <v>0</v>
      </c>
      <c r="BH328" s="152">
        <f>IF(N328="sníž. přenesená",J328,0)</f>
        <v>0</v>
      </c>
      <c r="BI328" s="152">
        <f>IF(N328="nulová",J328,0)</f>
        <v>0</v>
      </c>
      <c r="BJ328" s="19" t="s">
        <v>85</v>
      </c>
      <c r="BK328" s="152">
        <f>ROUND(I328*H328,2)</f>
        <v>0</v>
      </c>
      <c r="BL328" s="19" t="s">
        <v>237</v>
      </c>
      <c r="BM328" s="151" t="s">
        <v>4127</v>
      </c>
    </row>
    <row r="329" spans="1:65" s="2" customFormat="1">
      <c r="A329" s="34"/>
      <c r="B329" s="35"/>
      <c r="C329" s="34"/>
      <c r="D329" s="153" t="s">
        <v>187</v>
      </c>
      <c r="E329" s="34"/>
      <c r="F329" s="154" t="s">
        <v>4128</v>
      </c>
      <c r="G329" s="34"/>
      <c r="H329" s="34"/>
      <c r="I329" s="155"/>
      <c r="J329" s="34"/>
      <c r="K329" s="34"/>
      <c r="L329" s="35"/>
      <c r="M329" s="156"/>
      <c r="N329" s="157"/>
      <c r="O329" s="55"/>
      <c r="P329" s="55"/>
      <c r="Q329" s="55"/>
      <c r="R329" s="55"/>
      <c r="S329" s="55"/>
      <c r="T329" s="56"/>
      <c r="U329" s="34"/>
      <c r="V329" s="34"/>
      <c r="W329" s="34"/>
      <c r="X329" s="34"/>
      <c r="Y329" s="34"/>
      <c r="Z329" s="34"/>
      <c r="AA329" s="34"/>
      <c r="AB329" s="34"/>
      <c r="AC329" s="34"/>
      <c r="AD329" s="34"/>
      <c r="AE329" s="34"/>
      <c r="AT329" s="19" t="s">
        <v>187</v>
      </c>
      <c r="AU329" s="19" t="s">
        <v>87</v>
      </c>
    </row>
    <row r="330" spans="1:65" s="2" customFormat="1">
      <c r="A330" s="34"/>
      <c r="B330" s="35"/>
      <c r="C330" s="34"/>
      <c r="D330" s="158" t="s">
        <v>189</v>
      </c>
      <c r="E330" s="34"/>
      <c r="F330" s="159" t="s">
        <v>4129</v>
      </c>
      <c r="G330" s="34"/>
      <c r="H330" s="34"/>
      <c r="I330" s="155"/>
      <c r="J330" s="34"/>
      <c r="K330" s="34"/>
      <c r="L330" s="35"/>
      <c r="M330" s="156"/>
      <c r="N330" s="157"/>
      <c r="O330" s="55"/>
      <c r="P330" s="55"/>
      <c r="Q330" s="55"/>
      <c r="R330" s="55"/>
      <c r="S330" s="55"/>
      <c r="T330" s="56"/>
      <c r="U330" s="34"/>
      <c r="V330" s="34"/>
      <c r="W330" s="34"/>
      <c r="X330" s="34"/>
      <c r="Y330" s="34"/>
      <c r="Z330" s="34"/>
      <c r="AA330" s="34"/>
      <c r="AB330" s="34"/>
      <c r="AC330" s="34"/>
      <c r="AD330" s="34"/>
      <c r="AE330" s="34"/>
      <c r="AT330" s="19" t="s">
        <v>189</v>
      </c>
      <c r="AU330" s="19" t="s">
        <v>87</v>
      </c>
    </row>
    <row r="331" spans="1:65" s="2" customFormat="1" ht="39">
      <c r="A331" s="34"/>
      <c r="B331" s="35"/>
      <c r="C331" s="34"/>
      <c r="D331" s="153" t="s">
        <v>191</v>
      </c>
      <c r="E331" s="34"/>
      <c r="F331" s="160" t="s">
        <v>4130</v>
      </c>
      <c r="G331" s="34"/>
      <c r="H331" s="34"/>
      <c r="I331" s="155"/>
      <c r="J331" s="34"/>
      <c r="K331" s="34"/>
      <c r="L331" s="35"/>
      <c r="M331" s="156"/>
      <c r="N331" s="157"/>
      <c r="O331" s="55"/>
      <c r="P331" s="55"/>
      <c r="Q331" s="55"/>
      <c r="R331" s="55"/>
      <c r="S331" s="55"/>
      <c r="T331" s="56"/>
      <c r="U331" s="34"/>
      <c r="V331" s="34"/>
      <c r="W331" s="34"/>
      <c r="X331" s="34"/>
      <c r="Y331" s="34"/>
      <c r="Z331" s="34"/>
      <c r="AA331" s="34"/>
      <c r="AB331" s="34"/>
      <c r="AC331" s="34"/>
      <c r="AD331" s="34"/>
      <c r="AE331" s="34"/>
      <c r="AT331" s="19" t="s">
        <v>191</v>
      </c>
      <c r="AU331" s="19" t="s">
        <v>87</v>
      </c>
    </row>
    <row r="332" spans="1:65" s="2" customFormat="1" ht="16.5" customHeight="1">
      <c r="A332" s="34"/>
      <c r="B332" s="139"/>
      <c r="C332" s="140" t="s">
        <v>1231</v>
      </c>
      <c r="D332" s="140" t="s">
        <v>180</v>
      </c>
      <c r="E332" s="141" t="s">
        <v>4125</v>
      </c>
      <c r="F332" s="142" t="s">
        <v>4126</v>
      </c>
      <c r="G332" s="143" t="s">
        <v>261</v>
      </c>
      <c r="H332" s="144">
        <v>7</v>
      </c>
      <c r="I332" s="145"/>
      <c r="J332" s="146">
        <f>ROUND(I332*H332,2)</f>
        <v>0</v>
      </c>
      <c r="K332" s="142" t="s">
        <v>184</v>
      </c>
      <c r="L332" s="35"/>
      <c r="M332" s="147" t="s">
        <v>3</v>
      </c>
      <c r="N332" s="148" t="s">
        <v>48</v>
      </c>
      <c r="O332" s="55"/>
      <c r="P332" s="149">
        <f>O332*H332</f>
        <v>0</v>
      </c>
      <c r="Q332" s="149">
        <v>1.6968836300000002E-2</v>
      </c>
      <c r="R332" s="149">
        <f>Q332*H332</f>
        <v>0.11878185410000001</v>
      </c>
      <c r="S332" s="149">
        <v>0</v>
      </c>
      <c r="T332" s="150">
        <f>S332*H332</f>
        <v>0</v>
      </c>
      <c r="U332" s="34"/>
      <c r="V332" s="34"/>
      <c r="W332" s="34"/>
      <c r="X332" s="34"/>
      <c r="Y332" s="34"/>
      <c r="Z332" s="34"/>
      <c r="AA332" s="34"/>
      <c r="AB332" s="34"/>
      <c r="AC332" s="34"/>
      <c r="AD332" s="34"/>
      <c r="AE332" s="34"/>
      <c r="AR332" s="151" t="s">
        <v>237</v>
      </c>
      <c r="AT332" s="151" t="s">
        <v>180</v>
      </c>
      <c r="AU332" s="151" t="s">
        <v>87</v>
      </c>
      <c r="AY332" s="19" t="s">
        <v>177</v>
      </c>
      <c r="BE332" s="152">
        <f>IF(N332="základní",J332,0)</f>
        <v>0</v>
      </c>
      <c r="BF332" s="152">
        <f>IF(N332="snížená",J332,0)</f>
        <v>0</v>
      </c>
      <c r="BG332" s="152">
        <f>IF(N332="zákl. přenesená",J332,0)</f>
        <v>0</v>
      </c>
      <c r="BH332" s="152">
        <f>IF(N332="sníž. přenesená",J332,0)</f>
        <v>0</v>
      </c>
      <c r="BI332" s="152">
        <f>IF(N332="nulová",J332,0)</f>
        <v>0</v>
      </c>
      <c r="BJ332" s="19" t="s">
        <v>85</v>
      </c>
      <c r="BK332" s="152">
        <f>ROUND(I332*H332,2)</f>
        <v>0</v>
      </c>
      <c r="BL332" s="19" t="s">
        <v>237</v>
      </c>
      <c r="BM332" s="151" t="s">
        <v>4131</v>
      </c>
    </row>
    <row r="333" spans="1:65" s="2" customFormat="1">
      <c r="A333" s="34"/>
      <c r="B333" s="35"/>
      <c r="C333" s="34"/>
      <c r="D333" s="153" t="s">
        <v>187</v>
      </c>
      <c r="E333" s="34"/>
      <c r="F333" s="154" t="s">
        <v>4128</v>
      </c>
      <c r="G333" s="34"/>
      <c r="H333" s="34"/>
      <c r="I333" s="155"/>
      <c r="J333" s="34"/>
      <c r="K333" s="34"/>
      <c r="L333" s="35"/>
      <c r="M333" s="156"/>
      <c r="N333" s="157"/>
      <c r="O333" s="55"/>
      <c r="P333" s="55"/>
      <c r="Q333" s="55"/>
      <c r="R333" s="55"/>
      <c r="S333" s="55"/>
      <c r="T333" s="56"/>
      <c r="U333" s="34"/>
      <c r="V333" s="34"/>
      <c r="W333" s="34"/>
      <c r="X333" s="34"/>
      <c r="Y333" s="34"/>
      <c r="Z333" s="34"/>
      <c r="AA333" s="34"/>
      <c r="AB333" s="34"/>
      <c r="AC333" s="34"/>
      <c r="AD333" s="34"/>
      <c r="AE333" s="34"/>
      <c r="AT333" s="19" t="s">
        <v>187</v>
      </c>
      <c r="AU333" s="19" t="s">
        <v>87</v>
      </c>
    </row>
    <row r="334" spans="1:65" s="2" customFormat="1">
      <c r="A334" s="34"/>
      <c r="B334" s="35"/>
      <c r="C334" s="34"/>
      <c r="D334" s="158" t="s">
        <v>189</v>
      </c>
      <c r="E334" s="34"/>
      <c r="F334" s="159" t="s">
        <v>4129</v>
      </c>
      <c r="G334" s="34"/>
      <c r="H334" s="34"/>
      <c r="I334" s="155"/>
      <c r="J334" s="34"/>
      <c r="K334" s="34"/>
      <c r="L334" s="35"/>
      <c r="M334" s="156"/>
      <c r="N334" s="157"/>
      <c r="O334" s="55"/>
      <c r="P334" s="55"/>
      <c r="Q334" s="55"/>
      <c r="R334" s="55"/>
      <c r="S334" s="55"/>
      <c r="T334" s="56"/>
      <c r="U334" s="34"/>
      <c r="V334" s="34"/>
      <c r="W334" s="34"/>
      <c r="X334" s="34"/>
      <c r="Y334" s="34"/>
      <c r="Z334" s="34"/>
      <c r="AA334" s="34"/>
      <c r="AB334" s="34"/>
      <c r="AC334" s="34"/>
      <c r="AD334" s="34"/>
      <c r="AE334" s="34"/>
      <c r="AT334" s="19" t="s">
        <v>189</v>
      </c>
      <c r="AU334" s="19" t="s">
        <v>87</v>
      </c>
    </row>
    <row r="335" spans="1:65" s="2" customFormat="1" ht="39">
      <c r="A335" s="34"/>
      <c r="B335" s="35"/>
      <c r="C335" s="34"/>
      <c r="D335" s="153" t="s">
        <v>191</v>
      </c>
      <c r="E335" s="34"/>
      <c r="F335" s="160" t="s">
        <v>4130</v>
      </c>
      <c r="G335" s="34"/>
      <c r="H335" s="34"/>
      <c r="I335" s="155"/>
      <c r="J335" s="34"/>
      <c r="K335" s="34"/>
      <c r="L335" s="35"/>
      <c r="M335" s="156"/>
      <c r="N335" s="157"/>
      <c r="O335" s="55"/>
      <c r="P335" s="55"/>
      <c r="Q335" s="55"/>
      <c r="R335" s="55"/>
      <c r="S335" s="55"/>
      <c r="T335" s="56"/>
      <c r="U335" s="34"/>
      <c r="V335" s="34"/>
      <c r="W335" s="34"/>
      <c r="X335" s="34"/>
      <c r="Y335" s="34"/>
      <c r="Z335" s="34"/>
      <c r="AA335" s="34"/>
      <c r="AB335" s="34"/>
      <c r="AC335" s="34"/>
      <c r="AD335" s="34"/>
      <c r="AE335" s="34"/>
      <c r="AT335" s="19" t="s">
        <v>191</v>
      </c>
      <c r="AU335" s="19" t="s">
        <v>87</v>
      </c>
    </row>
    <row r="336" spans="1:65" s="2" customFormat="1" ht="16.5" customHeight="1">
      <c r="A336" s="34"/>
      <c r="B336" s="139"/>
      <c r="C336" s="140" t="s">
        <v>1235</v>
      </c>
      <c r="D336" s="140" t="s">
        <v>180</v>
      </c>
      <c r="E336" s="141" t="s">
        <v>4132</v>
      </c>
      <c r="F336" s="142" t="s">
        <v>4133</v>
      </c>
      <c r="G336" s="143" t="s">
        <v>236</v>
      </c>
      <c r="H336" s="144">
        <v>9</v>
      </c>
      <c r="I336" s="145"/>
      <c r="J336" s="146">
        <f>ROUND(I336*H336,2)</f>
        <v>0</v>
      </c>
      <c r="K336" s="142" t="s">
        <v>184</v>
      </c>
      <c r="L336" s="35"/>
      <c r="M336" s="147" t="s">
        <v>3</v>
      </c>
      <c r="N336" s="148" t="s">
        <v>48</v>
      </c>
      <c r="O336" s="55"/>
      <c r="P336" s="149">
        <f>O336*H336</f>
        <v>0</v>
      </c>
      <c r="Q336" s="149">
        <v>0</v>
      </c>
      <c r="R336" s="149">
        <f>Q336*H336</f>
        <v>0</v>
      </c>
      <c r="S336" s="149">
        <v>0</v>
      </c>
      <c r="T336" s="150">
        <f>S336*H336</f>
        <v>0</v>
      </c>
      <c r="U336" s="34"/>
      <c r="V336" s="34"/>
      <c r="W336" s="34"/>
      <c r="X336" s="34"/>
      <c r="Y336" s="34"/>
      <c r="Z336" s="34"/>
      <c r="AA336" s="34"/>
      <c r="AB336" s="34"/>
      <c r="AC336" s="34"/>
      <c r="AD336" s="34"/>
      <c r="AE336" s="34"/>
      <c r="AR336" s="151" t="s">
        <v>237</v>
      </c>
      <c r="AT336" s="151" t="s">
        <v>180</v>
      </c>
      <c r="AU336" s="151" t="s">
        <v>87</v>
      </c>
      <c r="AY336" s="19" t="s">
        <v>177</v>
      </c>
      <c r="BE336" s="152">
        <f>IF(N336="základní",J336,0)</f>
        <v>0</v>
      </c>
      <c r="BF336" s="152">
        <f>IF(N336="snížená",J336,0)</f>
        <v>0</v>
      </c>
      <c r="BG336" s="152">
        <f>IF(N336="zákl. přenesená",J336,0)</f>
        <v>0</v>
      </c>
      <c r="BH336" s="152">
        <f>IF(N336="sníž. přenesená",J336,0)</f>
        <v>0</v>
      </c>
      <c r="BI336" s="152">
        <f>IF(N336="nulová",J336,0)</f>
        <v>0</v>
      </c>
      <c r="BJ336" s="19" t="s">
        <v>85</v>
      </c>
      <c r="BK336" s="152">
        <f>ROUND(I336*H336,2)</f>
        <v>0</v>
      </c>
      <c r="BL336" s="19" t="s">
        <v>237</v>
      </c>
      <c r="BM336" s="151" t="s">
        <v>4134</v>
      </c>
    </row>
    <row r="337" spans="1:65" s="2" customFormat="1">
      <c r="A337" s="34"/>
      <c r="B337" s="35"/>
      <c r="C337" s="34"/>
      <c r="D337" s="153" t="s">
        <v>187</v>
      </c>
      <c r="E337" s="34"/>
      <c r="F337" s="154" t="s">
        <v>4135</v>
      </c>
      <c r="G337" s="34"/>
      <c r="H337" s="34"/>
      <c r="I337" s="155"/>
      <c r="J337" s="34"/>
      <c r="K337" s="34"/>
      <c r="L337" s="35"/>
      <c r="M337" s="156"/>
      <c r="N337" s="157"/>
      <c r="O337" s="55"/>
      <c r="P337" s="55"/>
      <c r="Q337" s="55"/>
      <c r="R337" s="55"/>
      <c r="S337" s="55"/>
      <c r="T337" s="56"/>
      <c r="U337" s="34"/>
      <c r="V337" s="34"/>
      <c r="W337" s="34"/>
      <c r="X337" s="34"/>
      <c r="Y337" s="34"/>
      <c r="Z337" s="34"/>
      <c r="AA337" s="34"/>
      <c r="AB337" s="34"/>
      <c r="AC337" s="34"/>
      <c r="AD337" s="34"/>
      <c r="AE337" s="34"/>
      <c r="AT337" s="19" t="s">
        <v>187</v>
      </c>
      <c r="AU337" s="19" t="s">
        <v>87</v>
      </c>
    </row>
    <row r="338" spans="1:65" s="2" customFormat="1">
      <c r="A338" s="34"/>
      <c r="B338" s="35"/>
      <c r="C338" s="34"/>
      <c r="D338" s="158" t="s">
        <v>189</v>
      </c>
      <c r="E338" s="34"/>
      <c r="F338" s="159" t="s">
        <v>4136</v>
      </c>
      <c r="G338" s="34"/>
      <c r="H338" s="34"/>
      <c r="I338" s="155"/>
      <c r="J338" s="34"/>
      <c r="K338" s="34"/>
      <c r="L338" s="35"/>
      <c r="M338" s="156"/>
      <c r="N338" s="157"/>
      <c r="O338" s="55"/>
      <c r="P338" s="55"/>
      <c r="Q338" s="55"/>
      <c r="R338" s="55"/>
      <c r="S338" s="55"/>
      <c r="T338" s="56"/>
      <c r="U338" s="34"/>
      <c r="V338" s="34"/>
      <c r="W338" s="34"/>
      <c r="X338" s="34"/>
      <c r="Y338" s="34"/>
      <c r="Z338" s="34"/>
      <c r="AA338" s="34"/>
      <c r="AB338" s="34"/>
      <c r="AC338" s="34"/>
      <c r="AD338" s="34"/>
      <c r="AE338" s="34"/>
      <c r="AT338" s="19" t="s">
        <v>189</v>
      </c>
      <c r="AU338" s="19" t="s">
        <v>87</v>
      </c>
    </row>
    <row r="339" spans="1:65" s="2" customFormat="1" ht="16.5" customHeight="1">
      <c r="A339" s="34"/>
      <c r="B339" s="139"/>
      <c r="C339" s="140" t="s">
        <v>1239</v>
      </c>
      <c r="D339" s="140" t="s">
        <v>180</v>
      </c>
      <c r="E339" s="141" t="s">
        <v>4137</v>
      </c>
      <c r="F339" s="142" t="s">
        <v>4138</v>
      </c>
      <c r="G339" s="143" t="s">
        <v>236</v>
      </c>
      <c r="H339" s="144">
        <v>9</v>
      </c>
      <c r="I339" s="145"/>
      <c r="J339" s="146">
        <f>ROUND(I339*H339,2)</f>
        <v>0</v>
      </c>
      <c r="K339" s="142" t="s">
        <v>184</v>
      </c>
      <c r="L339" s="35"/>
      <c r="M339" s="147" t="s">
        <v>3</v>
      </c>
      <c r="N339" s="148" t="s">
        <v>48</v>
      </c>
      <c r="O339" s="55"/>
      <c r="P339" s="149">
        <f>O339*H339</f>
        <v>0</v>
      </c>
      <c r="Q339" s="149">
        <v>2.0000000000000001E-4</v>
      </c>
      <c r="R339" s="149">
        <f>Q339*H339</f>
        <v>1.8000000000000002E-3</v>
      </c>
      <c r="S339" s="149">
        <v>2.0000000000000001E-4</v>
      </c>
      <c r="T339" s="150">
        <f>S339*H339</f>
        <v>1.8000000000000002E-3</v>
      </c>
      <c r="U339" s="34"/>
      <c r="V339" s="34"/>
      <c r="W339" s="34"/>
      <c r="X339" s="34"/>
      <c r="Y339" s="34"/>
      <c r="Z339" s="34"/>
      <c r="AA339" s="34"/>
      <c r="AB339" s="34"/>
      <c r="AC339" s="34"/>
      <c r="AD339" s="34"/>
      <c r="AE339" s="34"/>
      <c r="AR339" s="151" t="s">
        <v>237</v>
      </c>
      <c r="AT339" s="151" t="s">
        <v>180</v>
      </c>
      <c r="AU339" s="151" t="s">
        <v>87</v>
      </c>
      <c r="AY339" s="19" t="s">
        <v>177</v>
      </c>
      <c r="BE339" s="152">
        <f>IF(N339="základní",J339,0)</f>
        <v>0</v>
      </c>
      <c r="BF339" s="152">
        <f>IF(N339="snížená",J339,0)</f>
        <v>0</v>
      </c>
      <c r="BG339" s="152">
        <f>IF(N339="zákl. přenesená",J339,0)</f>
        <v>0</v>
      </c>
      <c r="BH339" s="152">
        <f>IF(N339="sníž. přenesená",J339,0)</f>
        <v>0</v>
      </c>
      <c r="BI339" s="152">
        <f>IF(N339="nulová",J339,0)</f>
        <v>0</v>
      </c>
      <c r="BJ339" s="19" t="s">
        <v>85</v>
      </c>
      <c r="BK339" s="152">
        <f>ROUND(I339*H339,2)</f>
        <v>0</v>
      </c>
      <c r="BL339" s="19" t="s">
        <v>237</v>
      </c>
      <c r="BM339" s="151" t="s">
        <v>4139</v>
      </c>
    </row>
    <row r="340" spans="1:65" s="2" customFormat="1">
      <c r="A340" s="34"/>
      <c r="B340" s="35"/>
      <c r="C340" s="34"/>
      <c r="D340" s="153" t="s">
        <v>187</v>
      </c>
      <c r="E340" s="34"/>
      <c r="F340" s="154" t="s">
        <v>4140</v>
      </c>
      <c r="G340" s="34"/>
      <c r="H340" s="34"/>
      <c r="I340" s="155"/>
      <c r="J340" s="34"/>
      <c r="K340" s="34"/>
      <c r="L340" s="35"/>
      <c r="M340" s="156"/>
      <c r="N340" s="157"/>
      <c r="O340" s="55"/>
      <c r="P340" s="55"/>
      <c r="Q340" s="55"/>
      <c r="R340" s="55"/>
      <c r="S340" s="55"/>
      <c r="T340" s="56"/>
      <c r="U340" s="34"/>
      <c r="V340" s="34"/>
      <c r="W340" s="34"/>
      <c r="X340" s="34"/>
      <c r="Y340" s="34"/>
      <c r="Z340" s="34"/>
      <c r="AA340" s="34"/>
      <c r="AB340" s="34"/>
      <c r="AC340" s="34"/>
      <c r="AD340" s="34"/>
      <c r="AE340" s="34"/>
      <c r="AT340" s="19" t="s">
        <v>187</v>
      </c>
      <c r="AU340" s="19" t="s">
        <v>87</v>
      </c>
    </row>
    <row r="341" spans="1:65" s="2" customFormat="1">
      <c r="A341" s="34"/>
      <c r="B341" s="35"/>
      <c r="C341" s="34"/>
      <c r="D341" s="158" t="s">
        <v>189</v>
      </c>
      <c r="E341" s="34"/>
      <c r="F341" s="159" t="s">
        <v>4141</v>
      </c>
      <c r="G341" s="34"/>
      <c r="H341" s="34"/>
      <c r="I341" s="155"/>
      <c r="J341" s="34"/>
      <c r="K341" s="34"/>
      <c r="L341" s="35"/>
      <c r="M341" s="156"/>
      <c r="N341" s="157"/>
      <c r="O341" s="55"/>
      <c r="P341" s="55"/>
      <c r="Q341" s="55"/>
      <c r="R341" s="55"/>
      <c r="S341" s="55"/>
      <c r="T341" s="56"/>
      <c r="U341" s="34"/>
      <c r="V341" s="34"/>
      <c r="W341" s="34"/>
      <c r="X341" s="34"/>
      <c r="Y341" s="34"/>
      <c r="Z341" s="34"/>
      <c r="AA341" s="34"/>
      <c r="AB341" s="34"/>
      <c r="AC341" s="34"/>
      <c r="AD341" s="34"/>
      <c r="AE341" s="34"/>
      <c r="AT341" s="19" t="s">
        <v>189</v>
      </c>
      <c r="AU341" s="19" t="s">
        <v>87</v>
      </c>
    </row>
    <row r="342" spans="1:65" s="2" customFormat="1" ht="16.5" customHeight="1">
      <c r="A342" s="34"/>
      <c r="B342" s="139"/>
      <c r="C342" s="140" t="s">
        <v>1249</v>
      </c>
      <c r="D342" s="140" t="s">
        <v>180</v>
      </c>
      <c r="E342" s="141" t="s">
        <v>4142</v>
      </c>
      <c r="F342" s="142" t="s">
        <v>4143</v>
      </c>
      <c r="G342" s="143" t="s">
        <v>261</v>
      </c>
      <c r="H342" s="144">
        <v>4</v>
      </c>
      <c r="I342" s="145"/>
      <c r="J342" s="146">
        <f>ROUND(I342*H342,2)</f>
        <v>0</v>
      </c>
      <c r="K342" s="142" t="s">
        <v>184</v>
      </c>
      <c r="L342" s="35"/>
      <c r="M342" s="147" t="s">
        <v>3</v>
      </c>
      <c r="N342" s="148" t="s">
        <v>48</v>
      </c>
      <c r="O342" s="55"/>
      <c r="P342" s="149">
        <f>O342*H342</f>
        <v>0</v>
      </c>
      <c r="Q342" s="149">
        <v>1.90793132E-2</v>
      </c>
      <c r="R342" s="149">
        <f>Q342*H342</f>
        <v>7.6317252799999999E-2</v>
      </c>
      <c r="S342" s="149">
        <v>0</v>
      </c>
      <c r="T342" s="150">
        <f>S342*H342</f>
        <v>0</v>
      </c>
      <c r="U342" s="34"/>
      <c r="V342" s="34"/>
      <c r="W342" s="34"/>
      <c r="X342" s="34"/>
      <c r="Y342" s="34"/>
      <c r="Z342" s="34"/>
      <c r="AA342" s="34"/>
      <c r="AB342" s="34"/>
      <c r="AC342" s="34"/>
      <c r="AD342" s="34"/>
      <c r="AE342" s="34"/>
      <c r="AR342" s="151" t="s">
        <v>237</v>
      </c>
      <c r="AT342" s="151" t="s">
        <v>180</v>
      </c>
      <c r="AU342" s="151" t="s">
        <v>87</v>
      </c>
      <c r="AY342" s="19" t="s">
        <v>177</v>
      </c>
      <c r="BE342" s="152">
        <f>IF(N342="základní",J342,0)</f>
        <v>0</v>
      </c>
      <c r="BF342" s="152">
        <f>IF(N342="snížená",J342,0)</f>
        <v>0</v>
      </c>
      <c r="BG342" s="152">
        <f>IF(N342="zákl. přenesená",J342,0)</f>
        <v>0</v>
      </c>
      <c r="BH342" s="152">
        <f>IF(N342="sníž. přenesená",J342,0)</f>
        <v>0</v>
      </c>
      <c r="BI342" s="152">
        <f>IF(N342="nulová",J342,0)</f>
        <v>0</v>
      </c>
      <c r="BJ342" s="19" t="s">
        <v>85</v>
      </c>
      <c r="BK342" s="152">
        <f>ROUND(I342*H342,2)</f>
        <v>0</v>
      </c>
      <c r="BL342" s="19" t="s">
        <v>237</v>
      </c>
      <c r="BM342" s="151" t="s">
        <v>4144</v>
      </c>
    </row>
    <row r="343" spans="1:65" s="2" customFormat="1">
      <c r="A343" s="34"/>
      <c r="B343" s="35"/>
      <c r="C343" s="34"/>
      <c r="D343" s="153" t="s">
        <v>187</v>
      </c>
      <c r="E343" s="34"/>
      <c r="F343" s="154" t="s">
        <v>4145</v>
      </c>
      <c r="G343" s="34"/>
      <c r="H343" s="34"/>
      <c r="I343" s="155"/>
      <c r="J343" s="34"/>
      <c r="K343" s="34"/>
      <c r="L343" s="35"/>
      <c r="M343" s="156"/>
      <c r="N343" s="157"/>
      <c r="O343" s="55"/>
      <c r="P343" s="55"/>
      <c r="Q343" s="55"/>
      <c r="R343" s="55"/>
      <c r="S343" s="55"/>
      <c r="T343" s="56"/>
      <c r="U343" s="34"/>
      <c r="V343" s="34"/>
      <c r="W343" s="34"/>
      <c r="X343" s="34"/>
      <c r="Y343" s="34"/>
      <c r="Z343" s="34"/>
      <c r="AA343" s="34"/>
      <c r="AB343" s="34"/>
      <c r="AC343" s="34"/>
      <c r="AD343" s="34"/>
      <c r="AE343" s="34"/>
      <c r="AT343" s="19" t="s">
        <v>187</v>
      </c>
      <c r="AU343" s="19" t="s">
        <v>87</v>
      </c>
    </row>
    <row r="344" spans="1:65" s="2" customFormat="1">
      <c r="A344" s="34"/>
      <c r="B344" s="35"/>
      <c r="C344" s="34"/>
      <c r="D344" s="158" t="s">
        <v>189</v>
      </c>
      <c r="E344" s="34"/>
      <c r="F344" s="159" t="s">
        <v>4146</v>
      </c>
      <c r="G344" s="34"/>
      <c r="H344" s="34"/>
      <c r="I344" s="155"/>
      <c r="J344" s="34"/>
      <c r="K344" s="34"/>
      <c r="L344" s="35"/>
      <c r="M344" s="156"/>
      <c r="N344" s="157"/>
      <c r="O344" s="55"/>
      <c r="P344" s="55"/>
      <c r="Q344" s="55"/>
      <c r="R344" s="55"/>
      <c r="S344" s="55"/>
      <c r="T344" s="56"/>
      <c r="U344" s="34"/>
      <c r="V344" s="34"/>
      <c r="W344" s="34"/>
      <c r="X344" s="34"/>
      <c r="Y344" s="34"/>
      <c r="Z344" s="34"/>
      <c r="AA344" s="34"/>
      <c r="AB344" s="34"/>
      <c r="AC344" s="34"/>
      <c r="AD344" s="34"/>
      <c r="AE344" s="34"/>
      <c r="AT344" s="19" t="s">
        <v>189</v>
      </c>
      <c r="AU344" s="19" t="s">
        <v>87</v>
      </c>
    </row>
    <row r="345" spans="1:65" s="2" customFormat="1" ht="39">
      <c r="A345" s="34"/>
      <c r="B345" s="35"/>
      <c r="C345" s="34"/>
      <c r="D345" s="153" t="s">
        <v>191</v>
      </c>
      <c r="E345" s="34"/>
      <c r="F345" s="160" t="s">
        <v>4147</v>
      </c>
      <c r="G345" s="34"/>
      <c r="H345" s="34"/>
      <c r="I345" s="155"/>
      <c r="J345" s="34"/>
      <c r="K345" s="34"/>
      <c r="L345" s="35"/>
      <c r="M345" s="156"/>
      <c r="N345" s="157"/>
      <c r="O345" s="55"/>
      <c r="P345" s="55"/>
      <c r="Q345" s="55"/>
      <c r="R345" s="55"/>
      <c r="S345" s="55"/>
      <c r="T345" s="56"/>
      <c r="U345" s="34"/>
      <c r="V345" s="34"/>
      <c r="W345" s="34"/>
      <c r="X345" s="34"/>
      <c r="Y345" s="34"/>
      <c r="Z345" s="34"/>
      <c r="AA345" s="34"/>
      <c r="AB345" s="34"/>
      <c r="AC345" s="34"/>
      <c r="AD345" s="34"/>
      <c r="AE345" s="34"/>
      <c r="AT345" s="19" t="s">
        <v>191</v>
      </c>
      <c r="AU345" s="19" t="s">
        <v>87</v>
      </c>
    </row>
    <row r="346" spans="1:65" s="2" customFormat="1" ht="16.5" customHeight="1">
      <c r="A346" s="34"/>
      <c r="B346" s="139"/>
      <c r="C346" s="140" t="s">
        <v>1255</v>
      </c>
      <c r="D346" s="140" t="s">
        <v>180</v>
      </c>
      <c r="E346" s="141" t="s">
        <v>4148</v>
      </c>
      <c r="F346" s="142" t="s">
        <v>4149</v>
      </c>
      <c r="G346" s="143" t="s">
        <v>261</v>
      </c>
      <c r="H346" s="144">
        <v>8</v>
      </c>
      <c r="I346" s="145"/>
      <c r="J346" s="146">
        <f>ROUND(I346*H346,2)</f>
        <v>0</v>
      </c>
      <c r="K346" s="142" t="s">
        <v>184</v>
      </c>
      <c r="L346" s="35"/>
      <c r="M346" s="147" t="s">
        <v>3</v>
      </c>
      <c r="N346" s="148" t="s">
        <v>48</v>
      </c>
      <c r="O346" s="55"/>
      <c r="P346" s="149">
        <f>O346*H346</f>
        <v>0</v>
      </c>
      <c r="Q346" s="149">
        <v>2.0729276500000001E-2</v>
      </c>
      <c r="R346" s="149">
        <f>Q346*H346</f>
        <v>0.16583421200000001</v>
      </c>
      <c r="S346" s="149">
        <v>0</v>
      </c>
      <c r="T346" s="150">
        <f>S346*H346</f>
        <v>0</v>
      </c>
      <c r="U346" s="34"/>
      <c r="V346" s="34"/>
      <c r="W346" s="34"/>
      <c r="X346" s="34"/>
      <c r="Y346" s="34"/>
      <c r="Z346" s="34"/>
      <c r="AA346" s="34"/>
      <c r="AB346" s="34"/>
      <c r="AC346" s="34"/>
      <c r="AD346" s="34"/>
      <c r="AE346" s="34"/>
      <c r="AR346" s="151" t="s">
        <v>237</v>
      </c>
      <c r="AT346" s="151" t="s">
        <v>180</v>
      </c>
      <c r="AU346" s="151" t="s">
        <v>87</v>
      </c>
      <c r="AY346" s="19" t="s">
        <v>177</v>
      </c>
      <c r="BE346" s="152">
        <f>IF(N346="základní",J346,0)</f>
        <v>0</v>
      </c>
      <c r="BF346" s="152">
        <f>IF(N346="snížená",J346,0)</f>
        <v>0</v>
      </c>
      <c r="BG346" s="152">
        <f>IF(N346="zákl. přenesená",J346,0)</f>
        <v>0</v>
      </c>
      <c r="BH346" s="152">
        <f>IF(N346="sníž. přenesená",J346,0)</f>
        <v>0</v>
      </c>
      <c r="BI346" s="152">
        <f>IF(N346="nulová",J346,0)</f>
        <v>0</v>
      </c>
      <c r="BJ346" s="19" t="s">
        <v>85</v>
      </c>
      <c r="BK346" s="152">
        <f>ROUND(I346*H346,2)</f>
        <v>0</v>
      </c>
      <c r="BL346" s="19" t="s">
        <v>237</v>
      </c>
      <c r="BM346" s="151" t="s">
        <v>4150</v>
      </c>
    </row>
    <row r="347" spans="1:65" s="2" customFormat="1" ht="19.5">
      <c r="A347" s="34"/>
      <c r="B347" s="35"/>
      <c r="C347" s="34"/>
      <c r="D347" s="153" t="s">
        <v>187</v>
      </c>
      <c r="E347" s="34"/>
      <c r="F347" s="154" t="s">
        <v>4151</v>
      </c>
      <c r="G347" s="34"/>
      <c r="H347" s="34"/>
      <c r="I347" s="155"/>
      <c r="J347" s="34"/>
      <c r="K347" s="34"/>
      <c r="L347" s="35"/>
      <c r="M347" s="156"/>
      <c r="N347" s="157"/>
      <c r="O347" s="55"/>
      <c r="P347" s="55"/>
      <c r="Q347" s="55"/>
      <c r="R347" s="55"/>
      <c r="S347" s="55"/>
      <c r="T347" s="56"/>
      <c r="U347" s="34"/>
      <c r="V347" s="34"/>
      <c r="W347" s="34"/>
      <c r="X347" s="34"/>
      <c r="Y347" s="34"/>
      <c r="Z347" s="34"/>
      <c r="AA347" s="34"/>
      <c r="AB347" s="34"/>
      <c r="AC347" s="34"/>
      <c r="AD347" s="34"/>
      <c r="AE347" s="34"/>
      <c r="AT347" s="19" t="s">
        <v>187</v>
      </c>
      <c r="AU347" s="19" t="s">
        <v>87</v>
      </c>
    </row>
    <row r="348" spans="1:65" s="2" customFormat="1">
      <c r="A348" s="34"/>
      <c r="B348" s="35"/>
      <c r="C348" s="34"/>
      <c r="D348" s="158" t="s">
        <v>189</v>
      </c>
      <c r="E348" s="34"/>
      <c r="F348" s="159" t="s">
        <v>4152</v>
      </c>
      <c r="G348" s="34"/>
      <c r="H348" s="34"/>
      <c r="I348" s="155"/>
      <c r="J348" s="34"/>
      <c r="K348" s="34"/>
      <c r="L348" s="35"/>
      <c r="M348" s="156"/>
      <c r="N348" s="157"/>
      <c r="O348" s="55"/>
      <c r="P348" s="55"/>
      <c r="Q348" s="55"/>
      <c r="R348" s="55"/>
      <c r="S348" s="55"/>
      <c r="T348" s="56"/>
      <c r="U348" s="34"/>
      <c r="V348" s="34"/>
      <c r="W348" s="34"/>
      <c r="X348" s="34"/>
      <c r="Y348" s="34"/>
      <c r="Z348" s="34"/>
      <c r="AA348" s="34"/>
      <c r="AB348" s="34"/>
      <c r="AC348" s="34"/>
      <c r="AD348" s="34"/>
      <c r="AE348" s="34"/>
      <c r="AT348" s="19" t="s">
        <v>189</v>
      </c>
      <c r="AU348" s="19" t="s">
        <v>87</v>
      </c>
    </row>
    <row r="349" spans="1:65" s="2" customFormat="1" ht="58.5">
      <c r="A349" s="34"/>
      <c r="B349" s="35"/>
      <c r="C349" s="34"/>
      <c r="D349" s="153" t="s">
        <v>191</v>
      </c>
      <c r="E349" s="34"/>
      <c r="F349" s="160" t="s">
        <v>4153</v>
      </c>
      <c r="G349" s="34"/>
      <c r="H349" s="34"/>
      <c r="I349" s="155"/>
      <c r="J349" s="34"/>
      <c r="K349" s="34"/>
      <c r="L349" s="35"/>
      <c r="M349" s="156"/>
      <c r="N349" s="157"/>
      <c r="O349" s="55"/>
      <c r="P349" s="55"/>
      <c r="Q349" s="55"/>
      <c r="R349" s="55"/>
      <c r="S349" s="55"/>
      <c r="T349" s="56"/>
      <c r="U349" s="34"/>
      <c r="V349" s="34"/>
      <c r="W349" s="34"/>
      <c r="X349" s="34"/>
      <c r="Y349" s="34"/>
      <c r="Z349" s="34"/>
      <c r="AA349" s="34"/>
      <c r="AB349" s="34"/>
      <c r="AC349" s="34"/>
      <c r="AD349" s="34"/>
      <c r="AE349" s="34"/>
      <c r="AT349" s="19" t="s">
        <v>191</v>
      </c>
      <c r="AU349" s="19" t="s">
        <v>87</v>
      </c>
    </row>
    <row r="350" spans="1:65" s="2" customFormat="1" ht="16.5" customHeight="1">
      <c r="A350" s="34"/>
      <c r="B350" s="139"/>
      <c r="C350" s="140" t="s">
        <v>1261</v>
      </c>
      <c r="D350" s="140" t="s">
        <v>180</v>
      </c>
      <c r="E350" s="141" t="s">
        <v>4154</v>
      </c>
      <c r="F350" s="142" t="s">
        <v>4155</v>
      </c>
      <c r="G350" s="143" t="s">
        <v>261</v>
      </c>
      <c r="H350" s="144">
        <v>2</v>
      </c>
      <c r="I350" s="145"/>
      <c r="J350" s="146">
        <f>ROUND(I350*H350,2)</f>
        <v>0</v>
      </c>
      <c r="K350" s="142" t="s">
        <v>184</v>
      </c>
      <c r="L350" s="35"/>
      <c r="M350" s="147" t="s">
        <v>3</v>
      </c>
      <c r="N350" s="148" t="s">
        <v>48</v>
      </c>
      <c r="O350" s="55"/>
      <c r="P350" s="149">
        <f>O350*H350</f>
        <v>0</v>
      </c>
      <c r="Q350" s="149">
        <v>1.9209276500000001E-2</v>
      </c>
      <c r="R350" s="149">
        <f>Q350*H350</f>
        <v>3.8418553000000001E-2</v>
      </c>
      <c r="S350" s="149">
        <v>0</v>
      </c>
      <c r="T350" s="150">
        <f>S350*H350</f>
        <v>0</v>
      </c>
      <c r="U350" s="34"/>
      <c r="V350" s="34"/>
      <c r="W350" s="34"/>
      <c r="X350" s="34"/>
      <c r="Y350" s="34"/>
      <c r="Z350" s="34"/>
      <c r="AA350" s="34"/>
      <c r="AB350" s="34"/>
      <c r="AC350" s="34"/>
      <c r="AD350" s="34"/>
      <c r="AE350" s="34"/>
      <c r="AR350" s="151" t="s">
        <v>237</v>
      </c>
      <c r="AT350" s="151" t="s">
        <v>180</v>
      </c>
      <c r="AU350" s="151" t="s">
        <v>87</v>
      </c>
      <c r="AY350" s="19" t="s">
        <v>177</v>
      </c>
      <c r="BE350" s="152">
        <f>IF(N350="základní",J350,0)</f>
        <v>0</v>
      </c>
      <c r="BF350" s="152">
        <f>IF(N350="snížená",J350,0)</f>
        <v>0</v>
      </c>
      <c r="BG350" s="152">
        <f>IF(N350="zákl. přenesená",J350,0)</f>
        <v>0</v>
      </c>
      <c r="BH350" s="152">
        <f>IF(N350="sníž. přenesená",J350,0)</f>
        <v>0</v>
      </c>
      <c r="BI350" s="152">
        <f>IF(N350="nulová",J350,0)</f>
        <v>0</v>
      </c>
      <c r="BJ350" s="19" t="s">
        <v>85</v>
      </c>
      <c r="BK350" s="152">
        <f>ROUND(I350*H350,2)</f>
        <v>0</v>
      </c>
      <c r="BL350" s="19" t="s">
        <v>237</v>
      </c>
      <c r="BM350" s="151" t="s">
        <v>4156</v>
      </c>
    </row>
    <row r="351" spans="1:65" s="2" customFormat="1">
      <c r="A351" s="34"/>
      <c r="B351" s="35"/>
      <c r="C351" s="34"/>
      <c r="D351" s="153" t="s">
        <v>187</v>
      </c>
      <c r="E351" s="34"/>
      <c r="F351" s="154" t="s">
        <v>4157</v>
      </c>
      <c r="G351" s="34"/>
      <c r="H351" s="34"/>
      <c r="I351" s="155"/>
      <c r="J351" s="34"/>
      <c r="K351" s="34"/>
      <c r="L351" s="35"/>
      <c r="M351" s="156"/>
      <c r="N351" s="157"/>
      <c r="O351" s="55"/>
      <c r="P351" s="55"/>
      <c r="Q351" s="55"/>
      <c r="R351" s="55"/>
      <c r="S351" s="55"/>
      <c r="T351" s="56"/>
      <c r="U351" s="34"/>
      <c r="V351" s="34"/>
      <c r="W351" s="34"/>
      <c r="X351" s="34"/>
      <c r="Y351" s="34"/>
      <c r="Z351" s="34"/>
      <c r="AA351" s="34"/>
      <c r="AB351" s="34"/>
      <c r="AC351" s="34"/>
      <c r="AD351" s="34"/>
      <c r="AE351" s="34"/>
      <c r="AT351" s="19" t="s">
        <v>187</v>
      </c>
      <c r="AU351" s="19" t="s">
        <v>87</v>
      </c>
    </row>
    <row r="352" spans="1:65" s="2" customFormat="1">
      <c r="A352" s="34"/>
      <c r="B352" s="35"/>
      <c r="C352" s="34"/>
      <c r="D352" s="158" t="s">
        <v>189</v>
      </c>
      <c r="E352" s="34"/>
      <c r="F352" s="159" t="s">
        <v>4158</v>
      </c>
      <c r="G352" s="34"/>
      <c r="H352" s="34"/>
      <c r="I352" s="155"/>
      <c r="J352" s="34"/>
      <c r="K352" s="34"/>
      <c r="L352" s="35"/>
      <c r="M352" s="156"/>
      <c r="N352" s="157"/>
      <c r="O352" s="55"/>
      <c r="P352" s="55"/>
      <c r="Q352" s="55"/>
      <c r="R352" s="55"/>
      <c r="S352" s="55"/>
      <c r="T352" s="56"/>
      <c r="U352" s="34"/>
      <c r="V352" s="34"/>
      <c r="W352" s="34"/>
      <c r="X352" s="34"/>
      <c r="Y352" s="34"/>
      <c r="Z352" s="34"/>
      <c r="AA352" s="34"/>
      <c r="AB352" s="34"/>
      <c r="AC352" s="34"/>
      <c r="AD352" s="34"/>
      <c r="AE352" s="34"/>
      <c r="AT352" s="19" t="s">
        <v>189</v>
      </c>
      <c r="AU352" s="19" t="s">
        <v>87</v>
      </c>
    </row>
    <row r="353" spans="1:65" s="2" customFormat="1" ht="58.5">
      <c r="A353" s="34"/>
      <c r="B353" s="35"/>
      <c r="C353" s="34"/>
      <c r="D353" s="153" t="s">
        <v>191</v>
      </c>
      <c r="E353" s="34"/>
      <c r="F353" s="160" t="s">
        <v>4153</v>
      </c>
      <c r="G353" s="34"/>
      <c r="H353" s="34"/>
      <c r="I353" s="155"/>
      <c r="J353" s="34"/>
      <c r="K353" s="34"/>
      <c r="L353" s="35"/>
      <c r="M353" s="156"/>
      <c r="N353" s="157"/>
      <c r="O353" s="55"/>
      <c r="P353" s="55"/>
      <c r="Q353" s="55"/>
      <c r="R353" s="55"/>
      <c r="S353" s="55"/>
      <c r="T353" s="56"/>
      <c r="U353" s="34"/>
      <c r="V353" s="34"/>
      <c r="W353" s="34"/>
      <c r="X353" s="34"/>
      <c r="Y353" s="34"/>
      <c r="Z353" s="34"/>
      <c r="AA353" s="34"/>
      <c r="AB353" s="34"/>
      <c r="AC353" s="34"/>
      <c r="AD353" s="34"/>
      <c r="AE353" s="34"/>
      <c r="AT353" s="19" t="s">
        <v>191</v>
      </c>
      <c r="AU353" s="19" t="s">
        <v>87</v>
      </c>
    </row>
    <row r="354" spans="1:65" s="2" customFormat="1" ht="16.5" customHeight="1">
      <c r="A354" s="34"/>
      <c r="B354" s="139"/>
      <c r="C354" s="140" t="s">
        <v>1268</v>
      </c>
      <c r="D354" s="140" t="s">
        <v>180</v>
      </c>
      <c r="E354" s="141" t="s">
        <v>4159</v>
      </c>
      <c r="F354" s="142" t="s">
        <v>4160</v>
      </c>
      <c r="G354" s="143" t="s">
        <v>261</v>
      </c>
      <c r="H354" s="144">
        <v>2</v>
      </c>
      <c r="I354" s="145"/>
      <c r="J354" s="146">
        <f>ROUND(I354*H354,2)</f>
        <v>0</v>
      </c>
      <c r="K354" s="142" t="s">
        <v>184</v>
      </c>
      <c r="L354" s="35"/>
      <c r="M354" s="147" t="s">
        <v>3</v>
      </c>
      <c r="N354" s="148" t="s">
        <v>48</v>
      </c>
      <c r="O354" s="55"/>
      <c r="P354" s="149">
        <f>O354*H354</f>
        <v>0</v>
      </c>
      <c r="Q354" s="149">
        <v>1.6888836300000001E-2</v>
      </c>
      <c r="R354" s="149">
        <f>Q354*H354</f>
        <v>3.3777672600000003E-2</v>
      </c>
      <c r="S354" s="149">
        <v>0</v>
      </c>
      <c r="T354" s="150">
        <f>S354*H354</f>
        <v>0</v>
      </c>
      <c r="U354" s="34"/>
      <c r="V354" s="34"/>
      <c r="W354" s="34"/>
      <c r="X354" s="34"/>
      <c r="Y354" s="34"/>
      <c r="Z354" s="34"/>
      <c r="AA354" s="34"/>
      <c r="AB354" s="34"/>
      <c r="AC354" s="34"/>
      <c r="AD354" s="34"/>
      <c r="AE354" s="34"/>
      <c r="AR354" s="151" t="s">
        <v>237</v>
      </c>
      <c r="AT354" s="151" t="s">
        <v>180</v>
      </c>
      <c r="AU354" s="151" t="s">
        <v>87</v>
      </c>
      <c r="AY354" s="19" t="s">
        <v>177</v>
      </c>
      <c r="BE354" s="152">
        <f>IF(N354="základní",J354,0)</f>
        <v>0</v>
      </c>
      <c r="BF354" s="152">
        <f>IF(N354="snížená",J354,0)</f>
        <v>0</v>
      </c>
      <c r="BG354" s="152">
        <f>IF(N354="zákl. přenesená",J354,0)</f>
        <v>0</v>
      </c>
      <c r="BH354" s="152">
        <f>IF(N354="sníž. přenesená",J354,0)</f>
        <v>0</v>
      </c>
      <c r="BI354" s="152">
        <f>IF(N354="nulová",J354,0)</f>
        <v>0</v>
      </c>
      <c r="BJ354" s="19" t="s">
        <v>85</v>
      </c>
      <c r="BK354" s="152">
        <f>ROUND(I354*H354,2)</f>
        <v>0</v>
      </c>
      <c r="BL354" s="19" t="s">
        <v>237</v>
      </c>
      <c r="BM354" s="151" t="s">
        <v>4161</v>
      </c>
    </row>
    <row r="355" spans="1:65" s="2" customFormat="1">
      <c r="A355" s="34"/>
      <c r="B355" s="35"/>
      <c r="C355" s="34"/>
      <c r="D355" s="153" t="s">
        <v>187</v>
      </c>
      <c r="E355" s="34"/>
      <c r="F355" s="154" t="s">
        <v>4162</v>
      </c>
      <c r="G355" s="34"/>
      <c r="H355" s="34"/>
      <c r="I355" s="155"/>
      <c r="J355" s="34"/>
      <c r="K355" s="34"/>
      <c r="L355" s="35"/>
      <c r="M355" s="156"/>
      <c r="N355" s="157"/>
      <c r="O355" s="55"/>
      <c r="P355" s="55"/>
      <c r="Q355" s="55"/>
      <c r="R355" s="55"/>
      <c r="S355" s="55"/>
      <c r="T355" s="56"/>
      <c r="U355" s="34"/>
      <c r="V355" s="34"/>
      <c r="W355" s="34"/>
      <c r="X355" s="34"/>
      <c r="Y355" s="34"/>
      <c r="Z355" s="34"/>
      <c r="AA355" s="34"/>
      <c r="AB355" s="34"/>
      <c r="AC355" s="34"/>
      <c r="AD355" s="34"/>
      <c r="AE355" s="34"/>
      <c r="AT355" s="19" t="s">
        <v>187</v>
      </c>
      <c r="AU355" s="19" t="s">
        <v>87</v>
      </c>
    </row>
    <row r="356" spans="1:65" s="2" customFormat="1">
      <c r="A356" s="34"/>
      <c r="B356" s="35"/>
      <c r="C356" s="34"/>
      <c r="D356" s="158" t="s">
        <v>189</v>
      </c>
      <c r="E356" s="34"/>
      <c r="F356" s="159" t="s">
        <v>4163</v>
      </c>
      <c r="G356" s="34"/>
      <c r="H356" s="34"/>
      <c r="I356" s="155"/>
      <c r="J356" s="34"/>
      <c r="K356" s="34"/>
      <c r="L356" s="35"/>
      <c r="M356" s="156"/>
      <c r="N356" s="157"/>
      <c r="O356" s="55"/>
      <c r="P356" s="55"/>
      <c r="Q356" s="55"/>
      <c r="R356" s="55"/>
      <c r="S356" s="55"/>
      <c r="T356" s="56"/>
      <c r="U356" s="34"/>
      <c r="V356" s="34"/>
      <c r="W356" s="34"/>
      <c r="X356" s="34"/>
      <c r="Y356" s="34"/>
      <c r="Z356" s="34"/>
      <c r="AA356" s="34"/>
      <c r="AB356" s="34"/>
      <c r="AC356" s="34"/>
      <c r="AD356" s="34"/>
      <c r="AE356" s="34"/>
      <c r="AT356" s="19" t="s">
        <v>189</v>
      </c>
      <c r="AU356" s="19" t="s">
        <v>87</v>
      </c>
    </row>
    <row r="357" spans="1:65" s="2" customFormat="1" ht="16.5" customHeight="1">
      <c r="A357" s="34"/>
      <c r="B357" s="139"/>
      <c r="C357" s="140" t="s">
        <v>1276</v>
      </c>
      <c r="D357" s="140" t="s">
        <v>180</v>
      </c>
      <c r="E357" s="141" t="s">
        <v>4164</v>
      </c>
      <c r="F357" s="142" t="s">
        <v>4165</v>
      </c>
      <c r="G357" s="143" t="s">
        <v>261</v>
      </c>
      <c r="H357" s="144">
        <v>2</v>
      </c>
      <c r="I357" s="145"/>
      <c r="J357" s="146">
        <f>ROUND(I357*H357,2)</f>
        <v>0</v>
      </c>
      <c r="K357" s="142" t="s">
        <v>184</v>
      </c>
      <c r="L357" s="35"/>
      <c r="M357" s="147" t="s">
        <v>3</v>
      </c>
      <c r="N357" s="148" t="s">
        <v>48</v>
      </c>
      <c r="O357" s="55"/>
      <c r="P357" s="149">
        <f>O357*H357</f>
        <v>0</v>
      </c>
      <c r="Q357" s="149">
        <v>8.0000000000000004E-4</v>
      </c>
      <c r="R357" s="149">
        <f>Q357*H357</f>
        <v>1.6000000000000001E-3</v>
      </c>
      <c r="S357" s="149">
        <v>0</v>
      </c>
      <c r="T357" s="150">
        <f>S357*H357</f>
        <v>0</v>
      </c>
      <c r="U357" s="34"/>
      <c r="V357" s="34"/>
      <c r="W357" s="34"/>
      <c r="X357" s="34"/>
      <c r="Y357" s="34"/>
      <c r="Z357" s="34"/>
      <c r="AA357" s="34"/>
      <c r="AB357" s="34"/>
      <c r="AC357" s="34"/>
      <c r="AD357" s="34"/>
      <c r="AE357" s="34"/>
      <c r="AR357" s="151" t="s">
        <v>237</v>
      </c>
      <c r="AT357" s="151" t="s">
        <v>180</v>
      </c>
      <c r="AU357" s="151" t="s">
        <v>87</v>
      </c>
      <c r="AY357" s="19" t="s">
        <v>177</v>
      </c>
      <c r="BE357" s="152">
        <f>IF(N357="základní",J357,0)</f>
        <v>0</v>
      </c>
      <c r="BF357" s="152">
        <f>IF(N357="snížená",J357,0)</f>
        <v>0</v>
      </c>
      <c r="BG357" s="152">
        <f>IF(N357="zákl. přenesená",J357,0)</f>
        <v>0</v>
      </c>
      <c r="BH357" s="152">
        <f>IF(N357="sníž. přenesená",J357,0)</f>
        <v>0</v>
      </c>
      <c r="BI357" s="152">
        <f>IF(N357="nulová",J357,0)</f>
        <v>0</v>
      </c>
      <c r="BJ357" s="19" t="s">
        <v>85</v>
      </c>
      <c r="BK357" s="152">
        <f>ROUND(I357*H357,2)</f>
        <v>0</v>
      </c>
      <c r="BL357" s="19" t="s">
        <v>237</v>
      </c>
      <c r="BM357" s="151" t="s">
        <v>4166</v>
      </c>
    </row>
    <row r="358" spans="1:65" s="2" customFormat="1">
      <c r="A358" s="34"/>
      <c r="B358" s="35"/>
      <c r="C358" s="34"/>
      <c r="D358" s="153" t="s">
        <v>187</v>
      </c>
      <c r="E358" s="34"/>
      <c r="F358" s="154" t="s">
        <v>4167</v>
      </c>
      <c r="G358" s="34"/>
      <c r="H358" s="34"/>
      <c r="I358" s="155"/>
      <c r="J358" s="34"/>
      <c r="K358" s="34"/>
      <c r="L358" s="35"/>
      <c r="M358" s="156"/>
      <c r="N358" s="157"/>
      <c r="O358" s="55"/>
      <c r="P358" s="55"/>
      <c r="Q358" s="55"/>
      <c r="R358" s="55"/>
      <c r="S358" s="55"/>
      <c r="T358" s="56"/>
      <c r="U358" s="34"/>
      <c r="V358" s="34"/>
      <c r="W358" s="34"/>
      <c r="X358" s="34"/>
      <c r="Y358" s="34"/>
      <c r="Z358" s="34"/>
      <c r="AA358" s="34"/>
      <c r="AB358" s="34"/>
      <c r="AC358" s="34"/>
      <c r="AD358" s="34"/>
      <c r="AE358" s="34"/>
      <c r="AT358" s="19" t="s">
        <v>187</v>
      </c>
      <c r="AU358" s="19" t="s">
        <v>87</v>
      </c>
    </row>
    <row r="359" spans="1:65" s="2" customFormat="1">
      <c r="A359" s="34"/>
      <c r="B359" s="35"/>
      <c r="C359" s="34"/>
      <c r="D359" s="158" t="s">
        <v>189</v>
      </c>
      <c r="E359" s="34"/>
      <c r="F359" s="159" t="s">
        <v>4168</v>
      </c>
      <c r="G359" s="34"/>
      <c r="H359" s="34"/>
      <c r="I359" s="155"/>
      <c r="J359" s="34"/>
      <c r="K359" s="34"/>
      <c r="L359" s="35"/>
      <c r="M359" s="156"/>
      <c r="N359" s="157"/>
      <c r="O359" s="55"/>
      <c r="P359" s="55"/>
      <c r="Q359" s="55"/>
      <c r="R359" s="55"/>
      <c r="S359" s="55"/>
      <c r="T359" s="56"/>
      <c r="U359" s="34"/>
      <c r="V359" s="34"/>
      <c r="W359" s="34"/>
      <c r="X359" s="34"/>
      <c r="Y359" s="34"/>
      <c r="Z359" s="34"/>
      <c r="AA359" s="34"/>
      <c r="AB359" s="34"/>
      <c r="AC359" s="34"/>
      <c r="AD359" s="34"/>
      <c r="AE359" s="34"/>
      <c r="AT359" s="19" t="s">
        <v>189</v>
      </c>
      <c r="AU359" s="19" t="s">
        <v>87</v>
      </c>
    </row>
    <row r="360" spans="1:65" s="2" customFormat="1" ht="16.5" customHeight="1">
      <c r="A360" s="34"/>
      <c r="B360" s="139"/>
      <c r="C360" s="140" t="s">
        <v>1284</v>
      </c>
      <c r="D360" s="140" t="s">
        <v>180</v>
      </c>
      <c r="E360" s="141" t="s">
        <v>4169</v>
      </c>
      <c r="F360" s="142" t="s">
        <v>4170</v>
      </c>
      <c r="G360" s="143" t="s">
        <v>261</v>
      </c>
      <c r="H360" s="144">
        <v>2</v>
      </c>
      <c r="I360" s="145"/>
      <c r="J360" s="146">
        <f>ROUND(I360*H360,2)</f>
        <v>0</v>
      </c>
      <c r="K360" s="142" t="s">
        <v>184</v>
      </c>
      <c r="L360" s="35"/>
      <c r="M360" s="147" t="s">
        <v>3</v>
      </c>
      <c r="N360" s="148" t="s">
        <v>48</v>
      </c>
      <c r="O360" s="55"/>
      <c r="P360" s="149">
        <f>O360*H360</f>
        <v>0</v>
      </c>
      <c r="Q360" s="149">
        <v>8.4999999999999995E-4</v>
      </c>
      <c r="R360" s="149">
        <f>Q360*H360</f>
        <v>1.6999999999999999E-3</v>
      </c>
      <c r="S360" s="149">
        <v>0</v>
      </c>
      <c r="T360" s="150">
        <f>S360*H360</f>
        <v>0</v>
      </c>
      <c r="U360" s="34"/>
      <c r="V360" s="34"/>
      <c r="W360" s="34"/>
      <c r="X360" s="34"/>
      <c r="Y360" s="34"/>
      <c r="Z360" s="34"/>
      <c r="AA360" s="34"/>
      <c r="AB360" s="34"/>
      <c r="AC360" s="34"/>
      <c r="AD360" s="34"/>
      <c r="AE360" s="34"/>
      <c r="AR360" s="151" t="s">
        <v>237</v>
      </c>
      <c r="AT360" s="151" t="s">
        <v>180</v>
      </c>
      <c r="AU360" s="151" t="s">
        <v>87</v>
      </c>
      <c r="AY360" s="19" t="s">
        <v>177</v>
      </c>
      <c r="BE360" s="152">
        <f>IF(N360="základní",J360,0)</f>
        <v>0</v>
      </c>
      <c r="BF360" s="152">
        <f>IF(N360="snížená",J360,0)</f>
        <v>0</v>
      </c>
      <c r="BG360" s="152">
        <f>IF(N360="zákl. přenesená",J360,0)</f>
        <v>0</v>
      </c>
      <c r="BH360" s="152">
        <f>IF(N360="sníž. přenesená",J360,0)</f>
        <v>0</v>
      </c>
      <c r="BI360" s="152">
        <f>IF(N360="nulová",J360,0)</f>
        <v>0</v>
      </c>
      <c r="BJ360" s="19" t="s">
        <v>85</v>
      </c>
      <c r="BK360" s="152">
        <f>ROUND(I360*H360,2)</f>
        <v>0</v>
      </c>
      <c r="BL360" s="19" t="s">
        <v>237</v>
      </c>
      <c r="BM360" s="151" t="s">
        <v>4171</v>
      </c>
    </row>
    <row r="361" spans="1:65" s="2" customFormat="1">
      <c r="A361" s="34"/>
      <c r="B361" s="35"/>
      <c r="C361" s="34"/>
      <c r="D361" s="153" t="s">
        <v>187</v>
      </c>
      <c r="E361" s="34"/>
      <c r="F361" s="154" t="s">
        <v>4172</v>
      </c>
      <c r="G361" s="34"/>
      <c r="H361" s="34"/>
      <c r="I361" s="155"/>
      <c r="J361" s="34"/>
      <c r="K361" s="34"/>
      <c r="L361" s="35"/>
      <c r="M361" s="156"/>
      <c r="N361" s="157"/>
      <c r="O361" s="55"/>
      <c r="P361" s="55"/>
      <c r="Q361" s="55"/>
      <c r="R361" s="55"/>
      <c r="S361" s="55"/>
      <c r="T361" s="56"/>
      <c r="U361" s="34"/>
      <c r="V361" s="34"/>
      <c r="W361" s="34"/>
      <c r="X361" s="34"/>
      <c r="Y361" s="34"/>
      <c r="Z361" s="34"/>
      <c r="AA361" s="34"/>
      <c r="AB361" s="34"/>
      <c r="AC361" s="34"/>
      <c r="AD361" s="34"/>
      <c r="AE361" s="34"/>
      <c r="AT361" s="19" t="s">
        <v>187</v>
      </c>
      <c r="AU361" s="19" t="s">
        <v>87</v>
      </c>
    </row>
    <row r="362" spans="1:65" s="2" customFormat="1">
      <c r="A362" s="34"/>
      <c r="B362" s="35"/>
      <c r="C362" s="34"/>
      <c r="D362" s="158" t="s">
        <v>189</v>
      </c>
      <c r="E362" s="34"/>
      <c r="F362" s="159" t="s">
        <v>4173</v>
      </c>
      <c r="G362" s="34"/>
      <c r="H362" s="34"/>
      <c r="I362" s="155"/>
      <c r="J362" s="34"/>
      <c r="K362" s="34"/>
      <c r="L362" s="35"/>
      <c r="M362" s="156"/>
      <c r="N362" s="157"/>
      <c r="O362" s="55"/>
      <c r="P362" s="55"/>
      <c r="Q362" s="55"/>
      <c r="R362" s="55"/>
      <c r="S362" s="55"/>
      <c r="T362" s="56"/>
      <c r="U362" s="34"/>
      <c r="V362" s="34"/>
      <c r="W362" s="34"/>
      <c r="X362" s="34"/>
      <c r="Y362" s="34"/>
      <c r="Z362" s="34"/>
      <c r="AA362" s="34"/>
      <c r="AB362" s="34"/>
      <c r="AC362" s="34"/>
      <c r="AD362" s="34"/>
      <c r="AE362" s="34"/>
      <c r="AT362" s="19" t="s">
        <v>189</v>
      </c>
      <c r="AU362" s="19" t="s">
        <v>87</v>
      </c>
    </row>
    <row r="363" spans="1:65" s="2" customFormat="1" ht="16.5" customHeight="1">
      <c r="A363" s="34"/>
      <c r="B363" s="139"/>
      <c r="C363" s="140" t="s">
        <v>1292</v>
      </c>
      <c r="D363" s="140" t="s">
        <v>180</v>
      </c>
      <c r="E363" s="141" t="s">
        <v>4174</v>
      </c>
      <c r="F363" s="142" t="s">
        <v>4175</v>
      </c>
      <c r="G363" s="143" t="s">
        <v>261</v>
      </c>
      <c r="H363" s="144">
        <v>2</v>
      </c>
      <c r="I363" s="145"/>
      <c r="J363" s="146">
        <f>ROUND(I363*H363,2)</f>
        <v>0</v>
      </c>
      <c r="K363" s="142" t="s">
        <v>184</v>
      </c>
      <c r="L363" s="35"/>
      <c r="M363" s="147" t="s">
        <v>3</v>
      </c>
      <c r="N363" s="148" t="s">
        <v>48</v>
      </c>
      <c r="O363" s="55"/>
      <c r="P363" s="149">
        <f>O363*H363</f>
        <v>0</v>
      </c>
      <c r="Q363" s="149">
        <v>8.4999999999999995E-4</v>
      </c>
      <c r="R363" s="149">
        <f>Q363*H363</f>
        <v>1.6999999999999999E-3</v>
      </c>
      <c r="S363" s="149">
        <v>0</v>
      </c>
      <c r="T363" s="150">
        <f>S363*H363</f>
        <v>0</v>
      </c>
      <c r="U363" s="34"/>
      <c r="V363" s="34"/>
      <c r="W363" s="34"/>
      <c r="X363" s="34"/>
      <c r="Y363" s="34"/>
      <c r="Z363" s="34"/>
      <c r="AA363" s="34"/>
      <c r="AB363" s="34"/>
      <c r="AC363" s="34"/>
      <c r="AD363" s="34"/>
      <c r="AE363" s="34"/>
      <c r="AR363" s="151" t="s">
        <v>237</v>
      </c>
      <c r="AT363" s="151" t="s">
        <v>180</v>
      </c>
      <c r="AU363" s="151" t="s">
        <v>87</v>
      </c>
      <c r="AY363" s="19" t="s">
        <v>177</v>
      </c>
      <c r="BE363" s="152">
        <f>IF(N363="základní",J363,0)</f>
        <v>0</v>
      </c>
      <c r="BF363" s="152">
        <f>IF(N363="snížená",J363,0)</f>
        <v>0</v>
      </c>
      <c r="BG363" s="152">
        <f>IF(N363="zákl. přenesená",J363,0)</f>
        <v>0</v>
      </c>
      <c r="BH363" s="152">
        <f>IF(N363="sníž. přenesená",J363,0)</f>
        <v>0</v>
      </c>
      <c r="BI363" s="152">
        <f>IF(N363="nulová",J363,0)</f>
        <v>0</v>
      </c>
      <c r="BJ363" s="19" t="s">
        <v>85</v>
      </c>
      <c r="BK363" s="152">
        <f>ROUND(I363*H363,2)</f>
        <v>0</v>
      </c>
      <c r="BL363" s="19" t="s">
        <v>237</v>
      </c>
      <c r="BM363" s="151" t="s">
        <v>4176</v>
      </c>
    </row>
    <row r="364" spans="1:65" s="2" customFormat="1">
      <c r="A364" s="34"/>
      <c r="B364" s="35"/>
      <c r="C364" s="34"/>
      <c r="D364" s="153" t="s">
        <v>187</v>
      </c>
      <c r="E364" s="34"/>
      <c r="F364" s="154" t="s">
        <v>4177</v>
      </c>
      <c r="G364" s="34"/>
      <c r="H364" s="34"/>
      <c r="I364" s="155"/>
      <c r="J364" s="34"/>
      <c r="K364" s="34"/>
      <c r="L364" s="35"/>
      <c r="M364" s="156"/>
      <c r="N364" s="157"/>
      <c r="O364" s="55"/>
      <c r="P364" s="55"/>
      <c r="Q364" s="55"/>
      <c r="R364" s="55"/>
      <c r="S364" s="55"/>
      <c r="T364" s="56"/>
      <c r="U364" s="34"/>
      <c r="V364" s="34"/>
      <c r="W364" s="34"/>
      <c r="X364" s="34"/>
      <c r="Y364" s="34"/>
      <c r="Z364" s="34"/>
      <c r="AA364" s="34"/>
      <c r="AB364" s="34"/>
      <c r="AC364" s="34"/>
      <c r="AD364" s="34"/>
      <c r="AE364" s="34"/>
      <c r="AT364" s="19" t="s">
        <v>187</v>
      </c>
      <c r="AU364" s="19" t="s">
        <v>87</v>
      </c>
    </row>
    <row r="365" spans="1:65" s="2" customFormat="1">
      <c r="A365" s="34"/>
      <c r="B365" s="35"/>
      <c r="C365" s="34"/>
      <c r="D365" s="158" t="s">
        <v>189</v>
      </c>
      <c r="E365" s="34"/>
      <c r="F365" s="159" t="s">
        <v>4178</v>
      </c>
      <c r="G365" s="34"/>
      <c r="H365" s="34"/>
      <c r="I365" s="155"/>
      <c r="J365" s="34"/>
      <c r="K365" s="34"/>
      <c r="L365" s="35"/>
      <c r="M365" s="156"/>
      <c r="N365" s="157"/>
      <c r="O365" s="55"/>
      <c r="P365" s="55"/>
      <c r="Q365" s="55"/>
      <c r="R365" s="55"/>
      <c r="S365" s="55"/>
      <c r="T365" s="56"/>
      <c r="U365" s="34"/>
      <c r="V365" s="34"/>
      <c r="W365" s="34"/>
      <c r="X365" s="34"/>
      <c r="Y365" s="34"/>
      <c r="Z365" s="34"/>
      <c r="AA365" s="34"/>
      <c r="AB365" s="34"/>
      <c r="AC365" s="34"/>
      <c r="AD365" s="34"/>
      <c r="AE365" s="34"/>
      <c r="AT365" s="19" t="s">
        <v>189</v>
      </c>
      <c r="AU365" s="19" t="s">
        <v>87</v>
      </c>
    </row>
    <row r="366" spans="1:65" s="2" customFormat="1" ht="16.5" customHeight="1">
      <c r="A366" s="34"/>
      <c r="B366" s="139"/>
      <c r="C366" s="140" t="s">
        <v>1298</v>
      </c>
      <c r="D366" s="140" t="s">
        <v>180</v>
      </c>
      <c r="E366" s="141" t="s">
        <v>4179</v>
      </c>
      <c r="F366" s="142" t="s">
        <v>4180</v>
      </c>
      <c r="G366" s="143" t="s">
        <v>261</v>
      </c>
      <c r="H366" s="144">
        <v>2</v>
      </c>
      <c r="I366" s="145"/>
      <c r="J366" s="146">
        <f>ROUND(I366*H366,2)</f>
        <v>0</v>
      </c>
      <c r="K366" s="142" t="s">
        <v>184</v>
      </c>
      <c r="L366" s="35"/>
      <c r="M366" s="147" t="s">
        <v>3</v>
      </c>
      <c r="N366" s="148" t="s">
        <v>48</v>
      </c>
      <c r="O366" s="55"/>
      <c r="P366" s="149">
        <f>O366*H366</f>
        <v>0</v>
      </c>
      <c r="Q366" s="149">
        <v>1.47488363E-2</v>
      </c>
      <c r="R366" s="149">
        <f>Q366*H366</f>
        <v>2.94976726E-2</v>
      </c>
      <c r="S366" s="149">
        <v>0</v>
      </c>
      <c r="T366" s="150">
        <f>S366*H366</f>
        <v>0</v>
      </c>
      <c r="U366" s="34"/>
      <c r="V366" s="34"/>
      <c r="W366" s="34"/>
      <c r="X366" s="34"/>
      <c r="Y366" s="34"/>
      <c r="Z366" s="34"/>
      <c r="AA366" s="34"/>
      <c r="AB366" s="34"/>
      <c r="AC366" s="34"/>
      <c r="AD366" s="34"/>
      <c r="AE366" s="34"/>
      <c r="AR366" s="151" t="s">
        <v>237</v>
      </c>
      <c r="AT366" s="151" t="s">
        <v>180</v>
      </c>
      <c r="AU366" s="151" t="s">
        <v>87</v>
      </c>
      <c r="AY366" s="19" t="s">
        <v>177</v>
      </c>
      <c r="BE366" s="152">
        <f>IF(N366="základní",J366,0)</f>
        <v>0</v>
      </c>
      <c r="BF366" s="152">
        <f>IF(N366="snížená",J366,0)</f>
        <v>0</v>
      </c>
      <c r="BG366" s="152">
        <f>IF(N366="zákl. přenesená",J366,0)</f>
        <v>0</v>
      </c>
      <c r="BH366" s="152">
        <f>IF(N366="sníž. přenesená",J366,0)</f>
        <v>0</v>
      </c>
      <c r="BI366" s="152">
        <f>IF(N366="nulová",J366,0)</f>
        <v>0</v>
      </c>
      <c r="BJ366" s="19" t="s">
        <v>85</v>
      </c>
      <c r="BK366" s="152">
        <f>ROUND(I366*H366,2)</f>
        <v>0</v>
      </c>
      <c r="BL366" s="19" t="s">
        <v>237</v>
      </c>
      <c r="BM366" s="151" t="s">
        <v>4181</v>
      </c>
    </row>
    <row r="367" spans="1:65" s="2" customFormat="1">
      <c r="A367" s="34"/>
      <c r="B367" s="35"/>
      <c r="C367" s="34"/>
      <c r="D367" s="153" t="s">
        <v>187</v>
      </c>
      <c r="E367" s="34"/>
      <c r="F367" s="154" t="s">
        <v>4182</v>
      </c>
      <c r="G367" s="34"/>
      <c r="H367" s="34"/>
      <c r="I367" s="155"/>
      <c r="J367" s="34"/>
      <c r="K367" s="34"/>
      <c r="L367" s="35"/>
      <c r="M367" s="156"/>
      <c r="N367" s="157"/>
      <c r="O367" s="55"/>
      <c r="P367" s="55"/>
      <c r="Q367" s="55"/>
      <c r="R367" s="55"/>
      <c r="S367" s="55"/>
      <c r="T367" s="56"/>
      <c r="U367" s="34"/>
      <c r="V367" s="34"/>
      <c r="W367" s="34"/>
      <c r="X367" s="34"/>
      <c r="Y367" s="34"/>
      <c r="Z367" s="34"/>
      <c r="AA367" s="34"/>
      <c r="AB367" s="34"/>
      <c r="AC367" s="34"/>
      <c r="AD367" s="34"/>
      <c r="AE367" s="34"/>
      <c r="AT367" s="19" t="s">
        <v>187</v>
      </c>
      <c r="AU367" s="19" t="s">
        <v>87</v>
      </c>
    </row>
    <row r="368" spans="1:65" s="2" customFormat="1">
      <c r="A368" s="34"/>
      <c r="B368" s="35"/>
      <c r="C368" s="34"/>
      <c r="D368" s="158" t="s">
        <v>189</v>
      </c>
      <c r="E368" s="34"/>
      <c r="F368" s="159" t="s">
        <v>4183</v>
      </c>
      <c r="G368" s="34"/>
      <c r="H368" s="34"/>
      <c r="I368" s="155"/>
      <c r="J368" s="34"/>
      <c r="K368" s="34"/>
      <c r="L368" s="35"/>
      <c r="M368" s="156"/>
      <c r="N368" s="157"/>
      <c r="O368" s="55"/>
      <c r="P368" s="55"/>
      <c r="Q368" s="55"/>
      <c r="R368" s="55"/>
      <c r="S368" s="55"/>
      <c r="T368" s="56"/>
      <c r="U368" s="34"/>
      <c r="V368" s="34"/>
      <c r="W368" s="34"/>
      <c r="X368" s="34"/>
      <c r="Y368" s="34"/>
      <c r="Z368" s="34"/>
      <c r="AA368" s="34"/>
      <c r="AB368" s="34"/>
      <c r="AC368" s="34"/>
      <c r="AD368" s="34"/>
      <c r="AE368" s="34"/>
      <c r="AT368" s="19" t="s">
        <v>189</v>
      </c>
      <c r="AU368" s="19" t="s">
        <v>87</v>
      </c>
    </row>
    <row r="369" spans="1:65" s="2" customFormat="1" ht="16.5" customHeight="1">
      <c r="A369" s="34"/>
      <c r="B369" s="139"/>
      <c r="C369" s="140" t="s">
        <v>1306</v>
      </c>
      <c r="D369" s="140" t="s">
        <v>180</v>
      </c>
      <c r="E369" s="141" t="s">
        <v>4184</v>
      </c>
      <c r="F369" s="142" t="s">
        <v>4185</v>
      </c>
      <c r="G369" s="143" t="s">
        <v>236</v>
      </c>
      <c r="H369" s="144">
        <v>4</v>
      </c>
      <c r="I369" s="145"/>
      <c r="J369" s="146">
        <f>ROUND(I369*H369,2)</f>
        <v>0</v>
      </c>
      <c r="K369" s="142" t="s">
        <v>184</v>
      </c>
      <c r="L369" s="35"/>
      <c r="M369" s="147" t="s">
        <v>3</v>
      </c>
      <c r="N369" s="148" t="s">
        <v>48</v>
      </c>
      <c r="O369" s="55"/>
      <c r="P369" s="149">
        <f>O369*H369</f>
        <v>0</v>
      </c>
      <c r="Q369" s="149">
        <v>1.4191399999999999E-3</v>
      </c>
      <c r="R369" s="149">
        <f>Q369*H369</f>
        <v>5.6765599999999998E-3</v>
      </c>
      <c r="S369" s="149">
        <v>0</v>
      </c>
      <c r="T369" s="150">
        <f>S369*H369</f>
        <v>0</v>
      </c>
      <c r="U369" s="34"/>
      <c r="V369" s="34"/>
      <c r="W369" s="34"/>
      <c r="X369" s="34"/>
      <c r="Y369" s="34"/>
      <c r="Z369" s="34"/>
      <c r="AA369" s="34"/>
      <c r="AB369" s="34"/>
      <c r="AC369" s="34"/>
      <c r="AD369" s="34"/>
      <c r="AE369" s="34"/>
      <c r="AR369" s="151" t="s">
        <v>237</v>
      </c>
      <c r="AT369" s="151" t="s">
        <v>180</v>
      </c>
      <c r="AU369" s="151" t="s">
        <v>87</v>
      </c>
      <c r="AY369" s="19" t="s">
        <v>177</v>
      </c>
      <c r="BE369" s="152">
        <f>IF(N369="základní",J369,0)</f>
        <v>0</v>
      </c>
      <c r="BF369" s="152">
        <f>IF(N369="snížená",J369,0)</f>
        <v>0</v>
      </c>
      <c r="BG369" s="152">
        <f>IF(N369="zákl. přenesená",J369,0)</f>
        <v>0</v>
      </c>
      <c r="BH369" s="152">
        <f>IF(N369="sníž. přenesená",J369,0)</f>
        <v>0</v>
      </c>
      <c r="BI369" s="152">
        <f>IF(N369="nulová",J369,0)</f>
        <v>0</v>
      </c>
      <c r="BJ369" s="19" t="s">
        <v>85</v>
      </c>
      <c r="BK369" s="152">
        <f>ROUND(I369*H369,2)</f>
        <v>0</v>
      </c>
      <c r="BL369" s="19" t="s">
        <v>237</v>
      </c>
      <c r="BM369" s="151" t="s">
        <v>4186</v>
      </c>
    </row>
    <row r="370" spans="1:65" s="2" customFormat="1">
      <c r="A370" s="34"/>
      <c r="B370" s="35"/>
      <c r="C370" s="34"/>
      <c r="D370" s="153" t="s">
        <v>187</v>
      </c>
      <c r="E370" s="34"/>
      <c r="F370" s="154" t="s">
        <v>4187</v>
      </c>
      <c r="G370" s="34"/>
      <c r="H370" s="34"/>
      <c r="I370" s="155"/>
      <c r="J370" s="34"/>
      <c r="K370" s="34"/>
      <c r="L370" s="35"/>
      <c r="M370" s="156"/>
      <c r="N370" s="157"/>
      <c r="O370" s="55"/>
      <c r="P370" s="55"/>
      <c r="Q370" s="55"/>
      <c r="R370" s="55"/>
      <c r="S370" s="55"/>
      <c r="T370" s="56"/>
      <c r="U370" s="34"/>
      <c r="V370" s="34"/>
      <c r="W370" s="34"/>
      <c r="X370" s="34"/>
      <c r="Y370" s="34"/>
      <c r="Z370" s="34"/>
      <c r="AA370" s="34"/>
      <c r="AB370" s="34"/>
      <c r="AC370" s="34"/>
      <c r="AD370" s="34"/>
      <c r="AE370" s="34"/>
      <c r="AT370" s="19" t="s">
        <v>187</v>
      </c>
      <c r="AU370" s="19" t="s">
        <v>87</v>
      </c>
    </row>
    <row r="371" spans="1:65" s="2" customFormat="1">
      <c r="A371" s="34"/>
      <c r="B371" s="35"/>
      <c r="C371" s="34"/>
      <c r="D371" s="158" t="s">
        <v>189</v>
      </c>
      <c r="E371" s="34"/>
      <c r="F371" s="159" t="s">
        <v>4188</v>
      </c>
      <c r="G371" s="34"/>
      <c r="H371" s="34"/>
      <c r="I371" s="155"/>
      <c r="J371" s="34"/>
      <c r="K371" s="34"/>
      <c r="L371" s="35"/>
      <c r="M371" s="156"/>
      <c r="N371" s="157"/>
      <c r="O371" s="55"/>
      <c r="P371" s="55"/>
      <c r="Q371" s="55"/>
      <c r="R371" s="55"/>
      <c r="S371" s="55"/>
      <c r="T371" s="56"/>
      <c r="U371" s="34"/>
      <c r="V371" s="34"/>
      <c r="W371" s="34"/>
      <c r="X371" s="34"/>
      <c r="Y371" s="34"/>
      <c r="Z371" s="34"/>
      <c r="AA371" s="34"/>
      <c r="AB371" s="34"/>
      <c r="AC371" s="34"/>
      <c r="AD371" s="34"/>
      <c r="AE371" s="34"/>
      <c r="AT371" s="19" t="s">
        <v>189</v>
      </c>
      <c r="AU371" s="19" t="s">
        <v>87</v>
      </c>
    </row>
    <row r="372" spans="1:65" s="2" customFormat="1" ht="16.5" customHeight="1">
      <c r="A372" s="34"/>
      <c r="B372" s="139"/>
      <c r="C372" s="195" t="s">
        <v>1314</v>
      </c>
      <c r="D372" s="195" t="s">
        <v>484</v>
      </c>
      <c r="E372" s="196" t="s">
        <v>4189</v>
      </c>
      <c r="F372" s="197" t="s">
        <v>4190</v>
      </c>
      <c r="G372" s="198" t="s">
        <v>476</v>
      </c>
      <c r="H372" s="199">
        <v>14</v>
      </c>
      <c r="I372" s="200"/>
      <c r="J372" s="201">
        <f>ROUND(I372*H372,2)</f>
        <v>0</v>
      </c>
      <c r="K372" s="197" t="s">
        <v>184</v>
      </c>
      <c r="L372" s="202"/>
      <c r="M372" s="203" t="s">
        <v>3</v>
      </c>
      <c r="N372" s="204" t="s">
        <v>48</v>
      </c>
      <c r="O372" s="55"/>
      <c r="P372" s="149">
        <f>O372*H372</f>
        <v>0</v>
      </c>
      <c r="Q372" s="149">
        <v>1.8000000000000001E-4</v>
      </c>
      <c r="R372" s="149">
        <f>Q372*H372</f>
        <v>2.5200000000000001E-3</v>
      </c>
      <c r="S372" s="149">
        <v>0</v>
      </c>
      <c r="T372" s="150">
        <f>S372*H372</f>
        <v>0</v>
      </c>
      <c r="U372" s="34"/>
      <c r="V372" s="34"/>
      <c r="W372" s="34"/>
      <c r="X372" s="34"/>
      <c r="Y372" s="34"/>
      <c r="Z372" s="34"/>
      <c r="AA372" s="34"/>
      <c r="AB372" s="34"/>
      <c r="AC372" s="34"/>
      <c r="AD372" s="34"/>
      <c r="AE372" s="34"/>
      <c r="AR372" s="151" t="s">
        <v>537</v>
      </c>
      <c r="AT372" s="151" t="s">
        <v>484</v>
      </c>
      <c r="AU372" s="151" t="s">
        <v>87</v>
      </c>
      <c r="AY372" s="19" t="s">
        <v>177</v>
      </c>
      <c r="BE372" s="152">
        <f>IF(N372="základní",J372,0)</f>
        <v>0</v>
      </c>
      <c r="BF372" s="152">
        <f>IF(N372="snížená",J372,0)</f>
        <v>0</v>
      </c>
      <c r="BG372" s="152">
        <f>IF(N372="zákl. přenesená",J372,0)</f>
        <v>0</v>
      </c>
      <c r="BH372" s="152">
        <f>IF(N372="sníž. přenesená",J372,0)</f>
        <v>0</v>
      </c>
      <c r="BI372" s="152">
        <f>IF(N372="nulová",J372,0)</f>
        <v>0</v>
      </c>
      <c r="BJ372" s="19" t="s">
        <v>85</v>
      </c>
      <c r="BK372" s="152">
        <f>ROUND(I372*H372,2)</f>
        <v>0</v>
      </c>
      <c r="BL372" s="19" t="s">
        <v>237</v>
      </c>
      <c r="BM372" s="151" t="s">
        <v>4191</v>
      </c>
    </row>
    <row r="373" spans="1:65" s="2" customFormat="1">
      <c r="A373" s="34"/>
      <c r="B373" s="35"/>
      <c r="C373" s="34"/>
      <c r="D373" s="153" t="s">
        <v>187</v>
      </c>
      <c r="E373" s="34"/>
      <c r="F373" s="154" t="s">
        <v>4190</v>
      </c>
      <c r="G373" s="34"/>
      <c r="H373" s="34"/>
      <c r="I373" s="155"/>
      <c r="J373" s="34"/>
      <c r="K373" s="34"/>
      <c r="L373" s="35"/>
      <c r="M373" s="156"/>
      <c r="N373" s="157"/>
      <c r="O373" s="55"/>
      <c r="P373" s="55"/>
      <c r="Q373" s="55"/>
      <c r="R373" s="55"/>
      <c r="S373" s="55"/>
      <c r="T373" s="56"/>
      <c r="U373" s="34"/>
      <c r="V373" s="34"/>
      <c r="W373" s="34"/>
      <c r="X373" s="34"/>
      <c r="Y373" s="34"/>
      <c r="Z373" s="34"/>
      <c r="AA373" s="34"/>
      <c r="AB373" s="34"/>
      <c r="AC373" s="34"/>
      <c r="AD373" s="34"/>
      <c r="AE373" s="34"/>
      <c r="AT373" s="19" t="s">
        <v>187</v>
      </c>
      <c r="AU373" s="19" t="s">
        <v>87</v>
      </c>
    </row>
    <row r="374" spans="1:65" s="13" customFormat="1">
      <c r="B374" s="161"/>
      <c r="D374" s="153" t="s">
        <v>193</v>
      </c>
      <c r="E374" s="162" t="s">
        <v>3</v>
      </c>
      <c r="F374" s="163" t="s">
        <v>4192</v>
      </c>
      <c r="H374" s="164">
        <v>14</v>
      </c>
      <c r="I374" s="165"/>
      <c r="L374" s="161"/>
      <c r="M374" s="166"/>
      <c r="N374" s="167"/>
      <c r="O374" s="167"/>
      <c r="P374" s="167"/>
      <c r="Q374" s="167"/>
      <c r="R374" s="167"/>
      <c r="S374" s="167"/>
      <c r="T374" s="168"/>
      <c r="AT374" s="162" t="s">
        <v>193</v>
      </c>
      <c r="AU374" s="162" t="s">
        <v>87</v>
      </c>
      <c r="AV374" s="13" t="s">
        <v>87</v>
      </c>
      <c r="AW374" s="13" t="s">
        <v>36</v>
      </c>
      <c r="AX374" s="13" t="s">
        <v>85</v>
      </c>
      <c r="AY374" s="162" t="s">
        <v>177</v>
      </c>
    </row>
    <row r="375" spans="1:65" s="2" customFormat="1" ht="16.5" customHeight="1">
      <c r="A375" s="34"/>
      <c r="B375" s="139"/>
      <c r="C375" s="140" t="s">
        <v>1326</v>
      </c>
      <c r="D375" s="140" t="s">
        <v>180</v>
      </c>
      <c r="E375" s="141" t="s">
        <v>4193</v>
      </c>
      <c r="F375" s="142" t="s">
        <v>4194</v>
      </c>
      <c r="G375" s="143" t="s">
        <v>261</v>
      </c>
      <c r="H375" s="144">
        <v>24</v>
      </c>
      <c r="I375" s="145"/>
      <c r="J375" s="146">
        <f>ROUND(I375*H375,2)</f>
        <v>0</v>
      </c>
      <c r="K375" s="142" t="s">
        <v>184</v>
      </c>
      <c r="L375" s="35"/>
      <c r="M375" s="147" t="s">
        <v>3</v>
      </c>
      <c r="N375" s="148" t="s">
        <v>48</v>
      </c>
      <c r="O375" s="55"/>
      <c r="P375" s="149">
        <f>O375*H375</f>
        <v>0</v>
      </c>
      <c r="Q375" s="149">
        <v>2.3913999999999999E-4</v>
      </c>
      <c r="R375" s="149">
        <f>Q375*H375</f>
        <v>5.7393599999999998E-3</v>
      </c>
      <c r="S375" s="149">
        <v>0</v>
      </c>
      <c r="T375" s="150">
        <f>S375*H375</f>
        <v>0</v>
      </c>
      <c r="U375" s="34"/>
      <c r="V375" s="34"/>
      <c r="W375" s="34"/>
      <c r="X375" s="34"/>
      <c r="Y375" s="34"/>
      <c r="Z375" s="34"/>
      <c r="AA375" s="34"/>
      <c r="AB375" s="34"/>
      <c r="AC375" s="34"/>
      <c r="AD375" s="34"/>
      <c r="AE375" s="34"/>
      <c r="AR375" s="151" t="s">
        <v>237</v>
      </c>
      <c r="AT375" s="151" t="s">
        <v>180</v>
      </c>
      <c r="AU375" s="151" t="s">
        <v>87</v>
      </c>
      <c r="AY375" s="19" t="s">
        <v>177</v>
      </c>
      <c r="BE375" s="152">
        <f>IF(N375="základní",J375,0)</f>
        <v>0</v>
      </c>
      <c r="BF375" s="152">
        <f>IF(N375="snížená",J375,0)</f>
        <v>0</v>
      </c>
      <c r="BG375" s="152">
        <f>IF(N375="zákl. přenesená",J375,0)</f>
        <v>0</v>
      </c>
      <c r="BH375" s="152">
        <f>IF(N375="sníž. přenesená",J375,0)</f>
        <v>0</v>
      </c>
      <c r="BI375" s="152">
        <f>IF(N375="nulová",J375,0)</f>
        <v>0</v>
      </c>
      <c r="BJ375" s="19" t="s">
        <v>85</v>
      </c>
      <c r="BK375" s="152">
        <f>ROUND(I375*H375,2)</f>
        <v>0</v>
      </c>
      <c r="BL375" s="19" t="s">
        <v>237</v>
      </c>
      <c r="BM375" s="151" t="s">
        <v>4195</v>
      </c>
    </row>
    <row r="376" spans="1:65" s="2" customFormat="1">
      <c r="A376" s="34"/>
      <c r="B376" s="35"/>
      <c r="C376" s="34"/>
      <c r="D376" s="153" t="s">
        <v>187</v>
      </c>
      <c r="E376" s="34"/>
      <c r="F376" s="154" t="s">
        <v>4196</v>
      </c>
      <c r="G376" s="34"/>
      <c r="H376" s="34"/>
      <c r="I376" s="155"/>
      <c r="J376" s="34"/>
      <c r="K376" s="34"/>
      <c r="L376" s="35"/>
      <c r="M376" s="156"/>
      <c r="N376" s="157"/>
      <c r="O376" s="55"/>
      <c r="P376" s="55"/>
      <c r="Q376" s="55"/>
      <c r="R376" s="55"/>
      <c r="S376" s="55"/>
      <c r="T376" s="56"/>
      <c r="U376" s="34"/>
      <c r="V376" s="34"/>
      <c r="W376" s="34"/>
      <c r="X376" s="34"/>
      <c r="Y376" s="34"/>
      <c r="Z376" s="34"/>
      <c r="AA376" s="34"/>
      <c r="AB376" s="34"/>
      <c r="AC376" s="34"/>
      <c r="AD376" s="34"/>
      <c r="AE376" s="34"/>
      <c r="AT376" s="19" t="s">
        <v>187</v>
      </c>
      <c r="AU376" s="19" t="s">
        <v>87</v>
      </c>
    </row>
    <row r="377" spans="1:65" s="2" customFormat="1">
      <c r="A377" s="34"/>
      <c r="B377" s="35"/>
      <c r="C377" s="34"/>
      <c r="D377" s="158" t="s">
        <v>189</v>
      </c>
      <c r="E377" s="34"/>
      <c r="F377" s="159" t="s">
        <v>4197</v>
      </c>
      <c r="G377" s="34"/>
      <c r="H377" s="34"/>
      <c r="I377" s="155"/>
      <c r="J377" s="34"/>
      <c r="K377" s="34"/>
      <c r="L377" s="35"/>
      <c r="M377" s="156"/>
      <c r="N377" s="157"/>
      <c r="O377" s="55"/>
      <c r="P377" s="55"/>
      <c r="Q377" s="55"/>
      <c r="R377" s="55"/>
      <c r="S377" s="55"/>
      <c r="T377" s="56"/>
      <c r="U377" s="34"/>
      <c r="V377" s="34"/>
      <c r="W377" s="34"/>
      <c r="X377" s="34"/>
      <c r="Y377" s="34"/>
      <c r="Z377" s="34"/>
      <c r="AA377" s="34"/>
      <c r="AB377" s="34"/>
      <c r="AC377" s="34"/>
      <c r="AD377" s="34"/>
      <c r="AE377" s="34"/>
      <c r="AT377" s="19" t="s">
        <v>189</v>
      </c>
      <c r="AU377" s="19" t="s">
        <v>87</v>
      </c>
    </row>
    <row r="378" spans="1:65" s="2" customFormat="1" ht="16.5" customHeight="1">
      <c r="A378" s="34"/>
      <c r="B378" s="139"/>
      <c r="C378" s="140" t="s">
        <v>1334</v>
      </c>
      <c r="D378" s="140" t="s">
        <v>180</v>
      </c>
      <c r="E378" s="141" t="s">
        <v>4198</v>
      </c>
      <c r="F378" s="142" t="s">
        <v>4199</v>
      </c>
      <c r="G378" s="143" t="s">
        <v>261</v>
      </c>
      <c r="H378" s="144">
        <v>10</v>
      </c>
      <c r="I378" s="145"/>
      <c r="J378" s="146">
        <f>ROUND(I378*H378,2)</f>
        <v>0</v>
      </c>
      <c r="K378" s="142" t="s">
        <v>184</v>
      </c>
      <c r="L378" s="35"/>
      <c r="M378" s="147" t="s">
        <v>3</v>
      </c>
      <c r="N378" s="148" t="s">
        <v>48</v>
      </c>
      <c r="O378" s="55"/>
      <c r="P378" s="149">
        <f>O378*H378</f>
        <v>0</v>
      </c>
      <c r="Q378" s="149">
        <v>1.8E-3</v>
      </c>
      <c r="R378" s="149">
        <f>Q378*H378</f>
        <v>1.7999999999999999E-2</v>
      </c>
      <c r="S378" s="149">
        <v>0</v>
      </c>
      <c r="T378" s="150">
        <f>S378*H378</f>
        <v>0</v>
      </c>
      <c r="U378" s="34"/>
      <c r="V378" s="34"/>
      <c r="W378" s="34"/>
      <c r="X378" s="34"/>
      <c r="Y378" s="34"/>
      <c r="Z378" s="34"/>
      <c r="AA378" s="34"/>
      <c r="AB378" s="34"/>
      <c r="AC378" s="34"/>
      <c r="AD378" s="34"/>
      <c r="AE378" s="34"/>
      <c r="AR378" s="151" t="s">
        <v>237</v>
      </c>
      <c r="AT378" s="151" t="s">
        <v>180</v>
      </c>
      <c r="AU378" s="151" t="s">
        <v>87</v>
      </c>
      <c r="AY378" s="19" t="s">
        <v>177</v>
      </c>
      <c r="BE378" s="152">
        <f>IF(N378="základní",J378,0)</f>
        <v>0</v>
      </c>
      <c r="BF378" s="152">
        <f>IF(N378="snížená",J378,0)</f>
        <v>0</v>
      </c>
      <c r="BG378" s="152">
        <f>IF(N378="zákl. přenesená",J378,0)</f>
        <v>0</v>
      </c>
      <c r="BH378" s="152">
        <f>IF(N378="sníž. přenesená",J378,0)</f>
        <v>0</v>
      </c>
      <c r="BI378" s="152">
        <f>IF(N378="nulová",J378,0)</f>
        <v>0</v>
      </c>
      <c r="BJ378" s="19" t="s">
        <v>85</v>
      </c>
      <c r="BK378" s="152">
        <f>ROUND(I378*H378,2)</f>
        <v>0</v>
      </c>
      <c r="BL378" s="19" t="s">
        <v>237</v>
      </c>
      <c r="BM378" s="151" t="s">
        <v>4200</v>
      </c>
    </row>
    <row r="379" spans="1:65" s="2" customFormat="1">
      <c r="A379" s="34"/>
      <c r="B379" s="35"/>
      <c r="C379" s="34"/>
      <c r="D379" s="153" t="s">
        <v>187</v>
      </c>
      <c r="E379" s="34"/>
      <c r="F379" s="154" t="s">
        <v>4201</v>
      </c>
      <c r="G379" s="34"/>
      <c r="H379" s="34"/>
      <c r="I379" s="155"/>
      <c r="J379" s="34"/>
      <c r="K379" s="34"/>
      <c r="L379" s="35"/>
      <c r="M379" s="156"/>
      <c r="N379" s="157"/>
      <c r="O379" s="55"/>
      <c r="P379" s="55"/>
      <c r="Q379" s="55"/>
      <c r="R379" s="55"/>
      <c r="S379" s="55"/>
      <c r="T379" s="56"/>
      <c r="U379" s="34"/>
      <c r="V379" s="34"/>
      <c r="W379" s="34"/>
      <c r="X379" s="34"/>
      <c r="Y379" s="34"/>
      <c r="Z379" s="34"/>
      <c r="AA379" s="34"/>
      <c r="AB379" s="34"/>
      <c r="AC379" s="34"/>
      <c r="AD379" s="34"/>
      <c r="AE379" s="34"/>
      <c r="AT379" s="19" t="s">
        <v>187</v>
      </c>
      <c r="AU379" s="19" t="s">
        <v>87</v>
      </c>
    </row>
    <row r="380" spans="1:65" s="2" customFormat="1">
      <c r="A380" s="34"/>
      <c r="B380" s="35"/>
      <c r="C380" s="34"/>
      <c r="D380" s="158" t="s">
        <v>189</v>
      </c>
      <c r="E380" s="34"/>
      <c r="F380" s="159" t="s">
        <v>4202</v>
      </c>
      <c r="G380" s="34"/>
      <c r="H380" s="34"/>
      <c r="I380" s="155"/>
      <c r="J380" s="34"/>
      <c r="K380" s="34"/>
      <c r="L380" s="35"/>
      <c r="M380" s="156"/>
      <c r="N380" s="157"/>
      <c r="O380" s="55"/>
      <c r="P380" s="55"/>
      <c r="Q380" s="55"/>
      <c r="R380" s="55"/>
      <c r="S380" s="55"/>
      <c r="T380" s="56"/>
      <c r="U380" s="34"/>
      <c r="V380" s="34"/>
      <c r="W380" s="34"/>
      <c r="X380" s="34"/>
      <c r="Y380" s="34"/>
      <c r="Z380" s="34"/>
      <c r="AA380" s="34"/>
      <c r="AB380" s="34"/>
      <c r="AC380" s="34"/>
      <c r="AD380" s="34"/>
      <c r="AE380" s="34"/>
      <c r="AT380" s="19" t="s">
        <v>189</v>
      </c>
      <c r="AU380" s="19" t="s">
        <v>87</v>
      </c>
    </row>
    <row r="381" spans="1:65" s="2" customFormat="1" ht="29.25">
      <c r="A381" s="34"/>
      <c r="B381" s="35"/>
      <c r="C381" s="34"/>
      <c r="D381" s="153" t="s">
        <v>191</v>
      </c>
      <c r="E381" s="34"/>
      <c r="F381" s="160" t="s">
        <v>4203</v>
      </c>
      <c r="G381" s="34"/>
      <c r="H381" s="34"/>
      <c r="I381" s="155"/>
      <c r="J381" s="34"/>
      <c r="K381" s="34"/>
      <c r="L381" s="35"/>
      <c r="M381" s="156"/>
      <c r="N381" s="157"/>
      <c r="O381" s="55"/>
      <c r="P381" s="55"/>
      <c r="Q381" s="55"/>
      <c r="R381" s="55"/>
      <c r="S381" s="55"/>
      <c r="T381" s="56"/>
      <c r="U381" s="34"/>
      <c r="V381" s="34"/>
      <c r="W381" s="34"/>
      <c r="X381" s="34"/>
      <c r="Y381" s="34"/>
      <c r="Z381" s="34"/>
      <c r="AA381" s="34"/>
      <c r="AB381" s="34"/>
      <c r="AC381" s="34"/>
      <c r="AD381" s="34"/>
      <c r="AE381" s="34"/>
      <c r="AT381" s="19" t="s">
        <v>191</v>
      </c>
      <c r="AU381" s="19" t="s">
        <v>87</v>
      </c>
    </row>
    <row r="382" spans="1:65" s="2" customFormat="1" ht="16.5" customHeight="1">
      <c r="A382" s="34"/>
      <c r="B382" s="139"/>
      <c r="C382" s="140" t="s">
        <v>1340</v>
      </c>
      <c r="D382" s="140" t="s">
        <v>180</v>
      </c>
      <c r="E382" s="141" t="s">
        <v>4204</v>
      </c>
      <c r="F382" s="142" t="s">
        <v>4205</v>
      </c>
      <c r="G382" s="143" t="s">
        <v>236</v>
      </c>
      <c r="H382" s="144">
        <v>2</v>
      </c>
      <c r="I382" s="145"/>
      <c r="J382" s="146">
        <f>ROUND(I382*H382,2)</f>
        <v>0</v>
      </c>
      <c r="K382" s="142" t="s">
        <v>184</v>
      </c>
      <c r="L382" s="35"/>
      <c r="M382" s="147" t="s">
        <v>3</v>
      </c>
      <c r="N382" s="148" t="s">
        <v>48</v>
      </c>
      <c r="O382" s="55"/>
      <c r="P382" s="149">
        <f>O382*H382</f>
        <v>0</v>
      </c>
      <c r="Q382" s="149">
        <v>1.5914E-4</v>
      </c>
      <c r="R382" s="149">
        <f>Q382*H382</f>
        <v>3.1828E-4</v>
      </c>
      <c r="S382" s="149">
        <v>0</v>
      </c>
      <c r="T382" s="150">
        <f>S382*H382</f>
        <v>0</v>
      </c>
      <c r="U382" s="34"/>
      <c r="V382" s="34"/>
      <c r="W382" s="34"/>
      <c r="X382" s="34"/>
      <c r="Y382" s="34"/>
      <c r="Z382" s="34"/>
      <c r="AA382" s="34"/>
      <c r="AB382" s="34"/>
      <c r="AC382" s="34"/>
      <c r="AD382" s="34"/>
      <c r="AE382" s="34"/>
      <c r="AR382" s="151" t="s">
        <v>237</v>
      </c>
      <c r="AT382" s="151" t="s">
        <v>180</v>
      </c>
      <c r="AU382" s="151" t="s">
        <v>87</v>
      </c>
      <c r="AY382" s="19" t="s">
        <v>177</v>
      </c>
      <c r="BE382" s="152">
        <f>IF(N382="základní",J382,0)</f>
        <v>0</v>
      </c>
      <c r="BF382" s="152">
        <f>IF(N382="snížená",J382,0)</f>
        <v>0</v>
      </c>
      <c r="BG382" s="152">
        <f>IF(N382="zákl. přenesená",J382,0)</f>
        <v>0</v>
      </c>
      <c r="BH382" s="152">
        <f>IF(N382="sníž. přenesená",J382,0)</f>
        <v>0</v>
      </c>
      <c r="BI382" s="152">
        <f>IF(N382="nulová",J382,0)</f>
        <v>0</v>
      </c>
      <c r="BJ382" s="19" t="s">
        <v>85</v>
      </c>
      <c r="BK382" s="152">
        <f>ROUND(I382*H382,2)</f>
        <v>0</v>
      </c>
      <c r="BL382" s="19" t="s">
        <v>237</v>
      </c>
      <c r="BM382" s="151" t="s">
        <v>4206</v>
      </c>
    </row>
    <row r="383" spans="1:65" s="2" customFormat="1">
      <c r="A383" s="34"/>
      <c r="B383" s="35"/>
      <c r="C383" s="34"/>
      <c r="D383" s="153" t="s">
        <v>187</v>
      </c>
      <c r="E383" s="34"/>
      <c r="F383" s="154" t="s">
        <v>4207</v>
      </c>
      <c r="G383" s="34"/>
      <c r="H383" s="34"/>
      <c r="I383" s="155"/>
      <c r="J383" s="34"/>
      <c r="K383" s="34"/>
      <c r="L383" s="35"/>
      <c r="M383" s="156"/>
      <c r="N383" s="157"/>
      <c r="O383" s="55"/>
      <c r="P383" s="55"/>
      <c r="Q383" s="55"/>
      <c r="R383" s="55"/>
      <c r="S383" s="55"/>
      <c r="T383" s="56"/>
      <c r="U383" s="34"/>
      <c r="V383" s="34"/>
      <c r="W383" s="34"/>
      <c r="X383" s="34"/>
      <c r="Y383" s="34"/>
      <c r="Z383" s="34"/>
      <c r="AA383" s="34"/>
      <c r="AB383" s="34"/>
      <c r="AC383" s="34"/>
      <c r="AD383" s="34"/>
      <c r="AE383" s="34"/>
      <c r="AT383" s="19" t="s">
        <v>187</v>
      </c>
      <c r="AU383" s="19" t="s">
        <v>87</v>
      </c>
    </row>
    <row r="384" spans="1:65" s="2" customFormat="1">
      <c r="A384" s="34"/>
      <c r="B384" s="35"/>
      <c r="C384" s="34"/>
      <c r="D384" s="158" t="s">
        <v>189</v>
      </c>
      <c r="E384" s="34"/>
      <c r="F384" s="159" t="s">
        <v>4208</v>
      </c>
      <c r="G384" s="34"/>
      <c r="H384" s="34"/>
      <c r="I384" s="155"/>
      <c r="J384" s="34"/>
      <c r="K384" s="34"/>
      <c r="L384" s="35"/>
      <c r="M384" s="156"/>
      <c r="N384" s="157"/>
      <c r="O384" s="55"/>
      <c r="P384" s="55"/>
      <c r="Q384" s="55"/>
      <c r="R384" s="55"/>
      <c r="S384" s="55"/>
      <c r="T384" s="56"/>
      <c r="U384" s="34"/>
      <c r="V384" s="34"/>
      <c r="W384" s="34"/>
      <c r="X384" s="34"/>
      <c r="Y384" s="34"/>
      <c r="Z384" s="34"/>
      <c r="AA384" s="34"/>
      <c r="AB384" s="34"/>
      <c r="AC384" s="34"/>
      <c r="AD384" s="34"/>
      <c r="AE384" s="34"/>
      <c r="AT384" s="19" t="s">
        <v>189</v>
      </c>
      <c r="AU384" s="19" t="s">
        <v>87</v>
      </c>
    </row>
    <row r="385" spans="1:65" s="2" customFormat="1" ht="29.25">
      <c r="A385" s="34"/>
      <c r="B385" s="35"/>
      <c r="C385" s="34"/>
      <c r="D385" s="153" t="s">
        <v>191</v>
      </c>
      <c r="E385" s="34"/>
      <c r="F385" s="160" t="s">
        <v>4203</v>
      </c>
      <c r="G385" s="34"/>
      <c r="H385" s="34"/>
      <c r="I385" s="155"/>
      <c r="J385" s="34"/>
      <c r="K385" s="34"/>
      <c r="L385" s="35"/>
      <c r="M385" s="156"/>
      <c r="N385" s="157"/>
      <c r="O385" s="55"/>
      <c r="P385" s="55"/>
      <c r="Q385" s="55"/>
      <c r="R385" s="55"/>
      <c r="S385" s="55"/>
      <c r="T385" s="56"/>
      <c r="U385" s="34"/>
      <c r="V385" s="34"/>
      <c r="W385" s="34"/>
      <c r="X385" s="34"/>
      <c r="Y385" s="34"/>
      <c r="Z385" s="34"/>
      <c r="AA385" s="34"/>
      <c r="AB385" s="34"/>
      <c r="AC385" s="34"/>
      <c r="AD385" s="34"/>
      <c r="AE385" s="34"/>
      <c r="AT385" s="19" t="s">
        <v>191</v>
      </c>
      <c r="AU385" s="19" t="s">
        <v>87</v>
      </c>
    </row>
    <row r="386" spans="1:65" s="2" customFormat="1" ht="16.5" customHeight="1">
      <c r="A386" s="34"/>
      <c r="B386" s="139"/>
      <c r="C386" s="195" t="s">
        <v>2678</v>
      </c>
      <c r="D386" s="195" t="s">
        <v>484</v>
      </c>
      <c r="E386" s="196" t="s">
        <v>4209</v>
      </c>
      <c r="F386" s="197" t="s">
        <v>4210</v>
      </c>
      <c r="G386" s="198" t="s">
        <v>236</v>
      </c>
      <c r="H386" s="199">
        <v>2</v>
      </c>
      <c r="I386" s="200"/>
      <c r="J386" s="201">
        <f>ROUND(I386*H386,2)</f>
        <v>0</v>
      </c>
      <c r="K386" s="197" t="s">
        <v>184</v>
      </c>
      <c r="L386" s="202"/>
      <c r="M386" s="203" t="s">
        <v>3</v>
      </c>
      <c r="N386" s="204" t="s">
        <v>48</v>
      </c>
      <c r="O386" s="55"/>
      <c r="P386" s="149">
        <f>O386*H386</f>
        <v>0</v>
      </c>
      <c r="Q386" s="149">
        <v>1.5200000000000001E-3</v>
      </c>
      <c r="R386" s="149">
        <f>Q386*H386</f>
        <v>3.0400000000000002E-3</v>
      </c>
      <c r="S386" s="149">
        <v>0</v>
      </c>
      <c r="T386" s="150">
        <f>S386*H386</f>
        <v>0</v>
      </c>
      <c r="U386" s="34"/>
      <c r="V386" s="34"/>
      <c r="W386" s="34"/>
      <c r="X386" s="34"/>
      <c r="Y386" s="34"/>
      <c r="Z386" s="34"/>
      <c r="AA386" s="34"/>
      <c r="AB386" s="34"/>
      <c r="AC386" s="34"/>
      <c r="AD386" s="34"/>
      <c r="AE386" s="34"/>
      <c r="AR386" s="151" t="s">
        <v>537</v>
      </c>
      <c r="AT386" s="151" t="s">
        <v>484</v>
      </c>
      <c r="AU386" s="151" t="s">
        <v>87</v>
      </c>
      <c r="AY386" s="19" t="s">
        <v>177</v>
      </c>
      <c r="BE386" s="152">
        <f>IF(N386="základní",J386,0)</f>
        <v>0</v>
      </c>
      <c r="BF386" s="152">
        <f>IF(N386="snížená",J386,0)</f>
        <v>0</v>
      </c>
      <c r="BG386" s="152">
        <f>IF(N386="zákl. přenesená",J386,0)</f>
        <v>0</v>
      </c>
      <c r="BH386" s="152">
        <f>IF(N386="sníž. přenesená",J386,0)</f>
        <v>0</v>
      </c>
      <c r="BI386" s="152">
        <f>IF(N386="nulová",J386,0)</f>
        <v>0</v>
      </c>
      <c r="BJ386" s="19" t="s">
        <v>85</v>
      </c>
      <c r="BK386" s="152">
        <f>ROUND(I386*H386,2)</f>
        <v>0</v>
      </c>
      <c r="BL386" s="19" t="s">
        <v>237</v>
      </c>
      <c r="BM386" s="151" t="s">
        <v>4211</v>
      </c>
    </row>
    <row r="387" spans="1:65" s="2" customFormat="1">
      <c r="A387" s="34"/>
      <c r="B387" s="35"/>
      <c r="C387" s="34"/>
      <c r="D387" s="153" t="s">
        <v>187</v>
      </c>
      <c r="E387" s="34"/>
      <c r="F387" s="154" t="s">
        <v>4210</v>
      </c>
      <c r="G387" s="34"/>
      <c r="H387" s="34"/>
      <c r="I387" s="155"/>
      <c r="J387" s="34"/>
      <c r="K387" s="34"/>
      <c r="L387" s="35"/>
      <c r="M387" s="156"/>
      <c r="N387" s="157"/>
      <c r="O387" s="55"/>
      <c r="P387" s="55"/>
      <c r="Q387" s="55"/>
      <c r="R387" s="55"/>
      <c r="S387" s="55"/>
      <c r="T387" s="56"/>
      <c r="U387" s="34"/>
      <c r="V387" s="34"/>
      <c r="W387" s="34"/>
      <c r="X387" s="34"/>
      <c r="Y387" s="34"/>
      <c r="Z387" s="34"/>
      <c r="AA387" s="34"/>
      <c r="AB387" s="34"/>
      <c r="AC387" s="34"/>
      <c r="AD387" s="34"/>
      <c r="AE387" s="34"/>
      <c r="AT387" s="19" t="s">
        <v>187</v>
      </c>
      <c r="AU387" s="19" t="s">
        <v>87</v>
      </c>
    </row>
    <row r="388" spans="1:65" s="2" customFormat="1" ht="16.5" customHeight="1">
      <c r="A388" s="34"/>
      <c r="B388" s="139"/>
      <c r="C388" s="140" t="s">
        <v>2680</v>
      </c>
      <c r="D388" s="140" t="s">
        <v>180</v>
      </c>
      <c r="E388" s="141" t="s">
        <v>4212</v>
      </c>
      <c r="F388" s="142" t="s">
        <v>4213</v>
      </c>
      <c r="G388" s="143" t="s">
        <v>236</v>
      </c>
      <c r="H388" s="144">
        <v>10</v>
      </c>
      <c r="I388" s="145"/>
      <c r="J388" s="146">
        <f>ROUND(I388*H388,2)</f>
        <v>0</v>
      </c>
      <c r="K388" s="142" t="s">
        <v>184</v>
      </c>
      <c r="L388" s="35"/>
      <c r="M388" s="147" t="s">
        <v>3</v>
      </c>
      <c r="N388" s="148" t="s">
        <v>48</v>
      </c>
      <c r="O388" s="55"/>
      <c r="P388" s="149">
        <f>O388*H388</f>
        <v>0</v>
      </c>
      <c r="Q388" s="149">
        <v>2.375E-4</v>
      </c>
      <c r="R388" s="149">
        <f>Q388*H388</f>
        <v>2.3749999999999999E-3</v>
      </c>
      <c r="S388" s="149">
        <v>0</v>
      </c>
      <c r="T388" s="150">
        <f>S388*H388</f>
        <v>0</v>
      </c>
      <c r="U388" s="34"/>
      <c r="V388" s="34"/>
      <c r="W388" s="34"/>
      <c r="X388" s="34"/>
      <c r="Y388" s="34"/>
      <c r="Z388" s="34"/>
      <c r="AA388" s="34"/>
      <c r="AB388" s="34"/>
      <c r="AC388" s="34"/>
      <c r="AD388" s="34"/>
      <c r="AE388" s="34"/>
      <c r="AR388" s="151" t="s">
        <v>237</v>
      </c>
      <c r="AT388" s="151" t="s">
        <v>180</v>
      </c>
      <c r="AU388" s="151" t="s">
        <v>87</v>
      </c>
      <c r="AY388" s="19" t="s">
        <v>177</v>
      </c>
      <c r="BE388" s="152">
        <f>IF(N388="základní",J388,0)</f>
        <v>0</v>
      </c>
      <c r="BF388" s="152">
        <f>IF(N388="snížená",J388,0)</f>
        <v>0</v>
      </c>
      <c r="BG388" s="152">
        <f>IF(N388="zákl. přenesená",J388,0)</f>
        <v>0</v>
      </c>
      <c r="BH388" s="152">
        <f>IF(N388="sníž. přenesená",J388,0)</f>
        <v>0</v>
      </c>
      <c r="BI388" s="152">
        <f>IF(N388="nulová",J388,0)</f>
        <v>0</v>
      </c>
      <c r="BJ388" s="19" t="s">
        <v>85</v>
      </c>
      <c r="BK388" s="152">
        <f>ROUND(I388*H388,2)</f>
        <v>0</v>
      </c>
      <c r="BL388" s="19" t="s">
        <v>237</v>
      </c>
      <c r="BM388" s="151" t="s">
        <v>4214</v>
      </c>
    </row>
    <row r="389" spans="1:65" s="2" customFormat="1">
      <c r="A389" s="34"/>
      <c r="B389" s="35"/>
      <c r="C389" s="34"/>
      <c r="D389" s="153" t="s">
        <v>187</v>
      </c>
      <c r="E389" s="34"/>
      <c r="F389" s="154" t="s">
        <v>4215</v>
      </c>
      <c r="G389" s="34"/>
      <c r="H389" s="34"/>
      <c r="I389" s="155"/>
      <c r="J389" s="34"/>
      <c r="K389" s="34"/>
      <c r="L389" s="35"/>
      <c r="M389" s="156"/>
      <c r="N389" s="157"/>
      <c r="O389" s="55"/>
      <c r="P389" s="55"/>
      <c r="Q389" s="55"/>
      <c r="R389" s="55"/>
      <c r="S389" s="55"/>
      <c r="T389" s="56"/>
      <c r="U389" s="34"/>
      <c r="V389" s="34"/>
      <c r="W389" s="34"/>
      <c r="X389" s="34"/>
      <c r="Y389" s="34"/>
      <c r="Z389" s="34"/>
      <c r="AA389" s="34"/>
      <c r="AB389" s="34"/>
      <c r="AC389" s="34"/>
      <c r="AD389" s="34"/>
      <c r="AE389" s="34"/>
      <c r="AT389" s="19" t="s">
        <v>187</v>
      </c>
      <c r="AU389" s="19" t="s">
        <v>87</v>
      </c>
    </row>
    <row r="390" spans="1:65" s="2" customFormat="1">
      <c r="A390" s="34"/>
      <c r="B390" s="35"/>
      <c r="C390" s="34"/>
      <c r="D390" s="158" t="s">
        <v>189</v>
      </c>
      <c r="E390" s="34"/>
      <c r="F390" s="159" t="s">
        <v>4216</v>
      </c>
      <c r="G390" s="34"/>
      <c r="H390" s="34"/>
      <c r="I390" s="155"/>
      <c r="J390" s="34"/>
      <c r="K390" s="34"/>
      <c r="L390" s="35"/>
      <c r="M390" s="156"/>
      <c r="N390" s="157"/>
      <c r="O390" s="55"/>
      <c r="P390" s="55"/>
      <c r="Q390" s="55"/>
      <c r="R390" s="55"/>
      <c r="S390" s="55"/>
      <c r="T390" s="56"/>
      <c r="U390" s="34"/>
      <c r="V390" s="34"/>
      <c r="W390" s="34"/>
      <c r="X390" s="34"/>
      <c r="Y390" s="34"/>
      <c r="Z390" s="34"/>
      <c r="AA390" s="34"/>
      <c r="AB390" s="34"/>
      <c r="AC390" s="34"/>
      <c r="AD390" s="34"/>
      <c r="AE390" s="34"/>
      <c r="AT390" s="19" t="s">
        <v>189</v>
      </c>
      <c r="AU390" s="19" t="s">
        <v>87</v>
      </c>
    </row>
    <row r="391" spans="1:65" s="2" customFormat="1" ht="58.5">
      <c r="A391" s="34"/>
      <c r="B391" s="35"/>
      <c r="C391" s="34"/>
      <c r="D391" s="153" t="s">
        <v>191</v>
      </c>
      <c r="E391" s="34"/>
      <c r="F391" s="160" t="s">
        <v>4217</v>
      </c>
      <c r="G391" s="34"/>
      <c r="H391" s="34"/>
      <c r="I391" s="155"/>
      <c r="J391" s="34"/>
      <c r="K391" s="34"/>
      <c r="L391" s="35"/>
      <c r="M391" s="156"/>
      <c r="N391" s="157"/>
      <c r="O391" s="55"/>
      <c r="P391" s="55"/>
      <c r="Q391" s="55"/>
      <c r="R391" s="55"/>
      <c r="S391" s="55"/>
      <c r="T391" s="56"/>
      <c r="U391" s="34"/>
      <c r="V391" s="34"/>
      <c r="W391" s="34"/>
      <c r="X391" s="34"/>
      <c r="Y391" s="34"/>
      <c r="Z391" s="34"/>
      <c r="AA391" s="34"/>
      <c r="AB391" s="34"/>
      <c r="AC391" s="34"/>
      <c r="AD391" s="34"/>
      <c r="AE391" s="34"/>
      <c r="AT391" s="19" t="s">
        <v>191</v>
      </c>
      <c r="AU391" s="19" t="s">
        <v>87</v>
      </c>
    </row>
    <row r="392" spans="1:65" s="2" customFormat="1" ht="16.5" customHeight="1">
      <c r="A392" s="34"/>
      <c r="B392" s="139"/>
      <c r="C392" s="140" t="s">
        <v>2683</v>
      </c>
      <c r="D392" s="140" t="s">
        <v>180</v>
      </c>
      <c r="E392" s="141" t="s">
        <v>4218</v>
      </c>
      <c r="F392" s="142" t="s">
        <v>4219</v>
      </c>
      <c r="G392" s="143" t="s">
        <v>236</v>
      </c>
      <c r="H392" s="144">
        <v>4</v>
      </c>
      <c r="I392" s="145"/>
      <c r="J392" s="146">
        <f>ROUND(I392*H392,2)</f>
        <v>0</v>
      </c>
      <c r="K392" s="142" t="s">
        <v>184</v>
      </c>
      <c r="L392" s="35"/>
      <c r="M392" s="147" t="s">
        <v>3</v>
      </c>
      <c r="N392" s="148" t="s">
        <v>48</v>
      </c>
      <c r="O392" s="55"/>
      <c r="P392" s="149">
        <f>O392*H392</f>
        <v>0</v>
      </c>
      <c r="Q392" s="149">
        <v>2.7500000000000002E-4</v>
      </c>
      <c r="R392" s="149">
        <f>Q392*H392</f>
        <v>1.1000000000000001E-3</v>
      </c>
      <c r="S392" s="149">
        <v>0</v>
      </c>
      <c r="T392" s="150">
        <f>S392*H392</f>
        <v>0</v>
      </c>
      <c r="U392" s="34"/>
      <c r="V392" s="34"/>
      <c r="W392" s="34"/>
      <c r="X392" s="34"/>
      <c r="Y392" s="34"/>
      <c r="Z392" s="34"/>
      <c r="AA392" s="34"/>
      <c r="AB392" s="34"/>
      <c r="AC392" s="34"/>
      <c r="AD392" s="34"/>
      <c r="AE392" s="34"/>
      <c r="AR392" s="151" t="s">
        <v>237</v>
      </c>
      <c r="AT392" s="151" t="s">
        <v>180</v>
      </c>
      <c r="AU392" s="151" t="s">
        <v>87</v>
      </c>
      <c r="AY392" s="19" t="s">
        <v>177</v>
      </c>
      <c r="BE392" s="152">
        <f>IF(N392="základní",J392,0)</f>
        <v>0</v>
      </c>
      <c r="BF392" s="152">
        <f>IF(N392="snížená",J392,0)</f>
        <v>0</v>
      </c>
      <c r="BG392" s="152">
        <f>IF(N392="zákl. přenesená",J392,0)</f>
        <v>0</v>
      </c>
      <c r="BH392" s="152">
        <f>IF(N392="sníž. přenesená",J392,0)</f>
        <v>0</v>
      </c>
      <c r="BI392" s="152">
        <f>IF(N392="nulová",J392,0)</f>
        <v>0</v>
      </c>
      <c r="BJ392" s="19" t="s">
        <v>85</v>
      </c>
      <c r="BK392" s="152">
        <f>ROUND(I392*H392,2)</f>
        <v>0</v>
      </c>
      <c r="BL392" s="19" t="s">
        <v>237</v>
      </c>
      <c r="BM392" s="151" t="s">
        <v>4220</v>
      </c>
    </row>
    <row r="393" spans="1:65" s="2" customFormat="1">
      <c r="A393" s="34"/>
      <c r="B393" s="35"/>
      <c r="C393" s="34"/>
      <c r="D393" s="153" t="s">
        <v>187</v>
      </c>
      <c r="E393" s="34"/>
      <c r="F393" s="154" t="s">
        <v>4221</v>
      </c>
      <c r="G393" s="34"/>
      <c r="H393" s="34"/>
      <c r="I393" s="155"/>
      <c r="J393" s="34"/>
      <c r="K393" s="34"/>
      <c r="L393" s="35"/>
      <c r="M393" s="156"/>
      <c r="N393" s="157"/>
      <c r="O393" s="55"/>
      <c r="P393" s="55"/>
      <c r="Q393" s="55"/>
      <c r="R393" s="55"/>
      <c r="S393" s="55"/>
      <c r="T393" s="56"/>
      <c r="U393" s="34"/>
      <c r="V393" s="34"/>
      <c r="W393" s="34"/>
      <c r="X393" s="34"/>
      <c r="Y393" s="34"/>
      <c r="Z393" s="34"/>
      <c r="AA393" s="34"/>
      <c r="AB393" s="34"/>
      <c r="AC393" s="34"/>
      <c r="AD393" s="34"/>
      <c r="AE393" s="34"/>
      <c r="AT393" s="19" t="s">
        <v>187</v>
      </c>
      <c r="AU393" s="19" t="s">
        <v>87</v>
      </c>
    </row>
    <row r="394" spans="1:65" s="2" customFormat="1">
      <c r="A394" s="34"/>
      <c r="B394" s="35"/>
      <c r="C394" s="34"/>
      <c r="D394" s="158" t="s">
        <v>189</v>
      </c>
      <c r="E394" s="34"/>
      <c r="F394" s="159" t="s">
        <v>4222</v>
      </c>
      <c r="G394" s="34"/>
      <c r="H394" s="34"/>
      <c r="I394" s="155"/>
      <c r="J394" s="34"/>
      <c r="K394" s="34"/>
      <c r="L394" s="35"/>
      <c r="M394" s="156"/>
      <c r="N394" s="157"/>
      <c r="O394" s="55"/>
      <c r="P394" s="55"/>
      <c r="Q394" s="55"/>
      <c r="R394" s="55"/>
      <c r="S394" s="55"/>
      <c r="T394" s="56"/>
      <c r="U394" s="34"/>
      <c r="V394" s="34"/>
      <c r="W394" s="34"/>
      <c r="X394" s="34"/>
      <c r="Y394" s="34"/>
      <c r="Z394" s="34"/>
      <c r="AA394" s="34"/>
      <c r="AB394" s="34"/>
      <c r="AC394" s="34"/>
      <c r="AD394" s="34"/>
      <c r="AE394" s="34"/>
      <c r="AT394" s="19" t="s">
        <v>189</v>
      </c>
      <c r="AU394" s="19" t="s">
        <v>87</v>
      </c>
    </row>
    <row r="395" spans="1:65" s="2" customFormat="1" ht="58.5">
      <c r="A395" s="34"/>
      <c r="B395" s="35"/>
      <c r="C395" s="34"/>
      <c r="D395" s="153" t="s">
        <v>191</v>
      </c>
      <c r="E395" s="34"/>
      <c r="F395" s="160" t="s">
        <v>4217</v>
      </c>
      <c r="G395" s="34"/>
      <c r="H395" s="34"/>
      <c r="I395" s="155"/>
      <c r="J395" s="34"/>
      <c r="K395" s="34"/>
      <c r="L395" s="35"/>
      <c r="M395" s="156"/>
      <c r="N395" s="157"/>
      <c r="O395" s="55"/>
      <c r="P395" s="55"/>
      <c r="Q395" s="55"/>
      <c r="R395" s="55"/>
      <c r="S395" s="55"/>
      <c r="T395" s="56"/>
      <c r="U395" s="34"/>
      <c r="V395" s="34"/>
      <c r="W395" s="34"/>
      <c r="X395" s="34"/>
      <c r="Y395" s="34"/>
      <c r="Z395" s="34"/>
      <c r="AA395" s="34"/>
      <c r="AB395" s="34"/>
      <c r="AC395" s="34"/>
      <c r="AD395" s="34"/>
      <c r="AE395" s="34"/>
      <c r="AT395" s="19" t="s">
        <v>191</v>
      </c>
      <c r="AU395" s="19" t="s">
        <v>87</v>
      </c>
    </row>
    <row r="396" spans="1:65" s="2" customFormat="1" ht="16.5" customHeight="1">
      <c r="A396" s="34"/>
      <c r="B396" s="139"/>
      <c r="C396" s="140" t="s">
        <v>2685</v>
      </c>
      <c r="D396" s="140" t="s">
        <v>180</v>
      </c>
      <c r="E396" s="141" t="s">
        <v>4223</v>
      </c>
      <c r="F396" s="142" t="s">
        <v>4224</v>
      </c>
      <c r="G396" s="143" t="s">
        <v>183</v>
      </c>
      <c r="H396" s="144">
        <v>0.54200000000000004</v>
      </c>
      <c r="I396" s="145"/>
      <c r="J396" s="146">
        <f>ROUND(I396*H396,2)</f>
        <v>0</v>
      </c>
      <c r="K396" s="142" t="s">
        <v>184</v>
      </c>
      <c r="L396" s="35"/>
      <c r="M396" s="147" t="s">
        <v>3</v>
      </c>
      <c r="N396" s="148" t="s">
        <v>48</v>
      </c>
      <c r="O396" s="55"/>
      <c r="P396" s="149">
        <f>O396*H396</f>
        <v>0</v>
      </c>
      <c r="Q396" s="149">
        <v>0</v>
      </c>
      <c r="R396" s="149">
        <f>Q396*H396</f>
        <v>0</v>
      </c>
      <c r="S396" s="149">
        <v>0</v>
      </c>
      <c r="T396" s="150">
        <f>S396*H396</f>
        <v>0</v>
      </c>
      <c r="U396" s="34"/>
      <c r="V396" s="34"/>
      <c r="W396" s="34"/>
      <c r="X396" s="34"/>
      <c r="Y396" s="34"/>
      <c r="Z396" s="34"/>
      <c r="AA396" s="34"/>
      <c r="AB396" s="34"/>
      <c r="AC396" s="34"/>
      <c r="AD396" s="34"/>
      <c r="AE396" s="34"/>
      <c r="AR396" s="151" t="s">
        <v>237</v>
      </c>
      <c r="AT396" s="151" t="s">
        <v>180</v>
      </c>
      <c r="AU396" s="151" t="s">
        <v>87</v>
      </c>
      <c r="AY396" s="19" t="s">
        <v>177</v>
      </c>
      <c r="BE396" s="152">
        <f>IF(N396="základní",J396,0)</f>
        <v>0</v>
      </c>
      <c r="BF396" s="152">
        <f>IF(N396="snížená",J396,0)</f>
        <v>0</v>
      </c>
      <c r="BG396" s="152">
        <f>IF(N396="zákl. přenesená",J396,0)</f>
        <v>0</v>
      </c>
      <c r="BH396" s="152">
        <f>IF(N396="sníž. přenesená",J396,0)</f>
        <v>0</v>
      </c>
      <c r="BI396" s="152">
        <f>IF(N396="nulová",J396,0)</f>
        <v>0</v>
      </c>
      <c r="BJ396" s="19" t="s">
        <v>85</v>
      </c>
      <c r="BK396" s="152">
        <f>ROUND(I396*H396,2)</f>
        <v>0</v>
      </c>
      <c r="BL396" s="19" t="s">
        <v>237</v>
      </c>
      <c r="BM396" s="151" t="s">
        <v>4225</v>
      </c>
    </row>
    <row r="397" spans="1:65" s="2" customFormat="1" ht="19.5">
      <c r="A397" s="34"/>
      <c r="B397" s="35"/>
      <c r="C397" s="34"/>
      <c r="D397" s="153" t="s">
        <v>187</v>
      </c>
      <c r="E397" s="34"/>
      <c r="F397" s="154" t="s">
        <v>4226</v>
      </c>
      <c r="G397" s="34"/>
      <c r="H397" s="34"/>
      <c r="I397" s="155"/>
      <c r="J397" s="34"/>
      <c r="K397" s="34"/>
      <c r="L397" s="35"/>
      <c r="M397" s="156"/>
      <c r="N397" s="157"/>
      <c r="O397" s="55"/>
      <c r="P397" s="55"/>
      <c r="Q397" s="55"/>
      <c r="R397" s="55"/>
      <c r="S397" s="55"/>
      <c r="T397" s="56"/>
      <c r="U397" s="34"/>
      <c r="V397" s="34"/>
      <c r="W397" s="34"/>
      <c r="X397" s="34"/>
      <c r="Y397" s="34"/>
      <c r="Z397" s="34"/>
      <c r="AA397" s="34"/>
      <c r="AB397" s="34"/>
      <c r="AC397" s="34"/>
      <c r="AD397" s="34"/>
      <c r="AE397" s="34"/>
      <c r="AT397" s="19" t="s">
        <v>187</v>
      </c>
      <c r="AU397" s="19" t="s">
        <v>87</v>
      </c>
    </row>
    <row r="398" spans="1:65" s="2" customFormat="1">
      <c r="A398" s="34"/>
      <c r="B398" s="35"/>
      <c r="C398" s="34"/>
      <c r="D398" s="158" t="s">
        <v>189</v>
      </c>
      <c r="E398" s="34"/>
      <c r="F398" s="159" t="s">
        <v>4227</v>
      </c>
      <c r="G398" s="34"/>
      <c r="H398" s="34"/>
      <c r="I398" s="155"/>
      <c r="J398" s="34"/>
      <c r="K398" s="34"/>
      <c r="L398" s="35"/>
      <c r="M398" s="156"/>
      <c r="N398" s="157"/>
      <c r="O398" s="55"/>
      <c r="P398" s="55"/>
      <c r="Q398" s="55"/>
      <c r="R398" s="55"/>
      <c r="S398" s="55"/>
      <c r="T398" s="56"/>
      <c r="U398" s="34"/>
      <c r="V398" s="34"/>
      <c r="W398" s="34"/>
      <c r="X398" s="34"/>
      <c r="Y398" s="34"/>
      <c r="Z398" s="34"/>
      <c r="AA398" s="34"/>
      <c r="AB398" s="34"/>
      <c r="AC398" s="34"/>
      <c r="AD398" s="34"/>
      <c r="AE398" s="34"/>
      <c r="AT398" s="19" t="s">
        <v>189</v>
      </c>
      <c r="AU398" s="19" t="s">
        <v>87</v>
      </c>
    </row>
    <row r="399" spans="1:65" s="2" customFormat="1" ht="78">
      <c r="A399" s="34"/>
      <c r="B399" s="35"/>
      <c r="C399" s="34"/>
      <c r="D399" s="153" t="s">
        <v>191</v>
      </c>
      <c r="E399" s="34"/>
      <c r="F399" s="160" t="s">
        <v>4228</v>
      </c>
      <c r="G399" s="34"/>
      <c r="H399" s="34"/>
      <c r="I399" s="155"/>
      <c r="J399" s="34"/>
      <c r="K399" s="34"/>
      <c r="L399" s="35"/>
      <c r="M399" s="156"/>
      <c r="N399" s="157"/>
      <c r="O399" s="55"/>
      <c r="P399" s="55"/>
      <c r="Q399" s="55"/>
      <c r="R399" s="55"/>
      <c r="S399" s="55"/>
      <c r="T399" s="56"/>
      <c r="U399" s="34"/>
      <c r="V399" s="34"/>
      <c r="W399" s="34"/>
      <c r="X399" s="34"/>
      <c r="Y399" s="34"/>
      <c r="Z399" s="34"/>
      <c r="AA399" s="34"/>
      <c r="AB399" s="34"/>
      <c r="AC399" s="34"/>
      <c r="AD399" s="34"/>
      <c r="AE399" s="34"/>
      <c r="AT399" s="19" t="s">
        <v>191</v>
      </c>
      <c r="AU399" s="19" t="s">
        <v>87</v>
      </c>
    </row>
    <row r="400" spans="1:65" s="2" customFormat="1" ht="16.5" customHeight="1">
      <c r="A400" s="34"/>
      <c r="B400" s="139"/>
      <c r="C400" s="140" t="s">
        <v>2688</v>
      </c>
      <c r="D400" s="140" t="s">
        <v>180</v>
      </c>
      <c r="E400" s="141" t="s">
        <v>4229</v>
      </c>
      <c r="F400" s="142" t="s">
        <v>4230</v>
      </c>
      <c r="G400" s="143" t="s">
        <v>183</v>
      </c>
      <c r="H400" s="144">
        <v>0.54200000000000004</v>
      </c>
      <c r="I400" s="145"/>
      <c r="J400" s="146">
        <f>ROUND(I400*H400,2)</f>
        <v>0</v>
      </c>
      <c r="K400" s="142" t="s">
        <v>184</v>
      </c>
      <c r="L400" s="35"/>
      <c r="M400" s="147" t="s">
        <v>3</v>
      </c>
      <c r="N400" s="148" t="s">
        <v>48</v>
      </c>
      <c r="O400" s="55"/>
      <c r="P400" s="149">
        <f>O400*H400</f>
        <v>0</v>
      </c>
      <c r="Q400" s="149">
        <v>0</v>
      </c>
      <c r="R400" s="149">
        <f>Q400*H400</f>
        <v>0</v>
      </c>
      <c r="S400" s="149">
        <v>0</v>
      </c>
      <c r="T400" s="150">
        <f>S400*H400</f>
        <v>0</v>
      </c>
      <c r="U400" s="34"/>
      <c r="V400" s="34"/>
      <c r="W400" s="34"/>
      <c r="X400" s="34"/>
      <c r="Y400" s="34"/>
      <c r="Z400" s="34"/>
      <c r="AA400" s="34"/>
      <c r="AB400" s="34"/>
      <c r="AC400" s="34"/>
      <c r="AD400" s="34"/>
      <c r="AE400" s="34"/>
      <c r="AR400" s="151" t="s">
        <v>237</v>
      </c>
      <c r="AT400" s="151" t="s">
        <v>180</v>
      </c>
      <c r="AU400" s="151" t="s">
        <v>87</v>
      </c>
      <c r="AY400" s="19" t="s">
        <v>177</v>
      </c>
      <c r="BE400" s="152">
        <f>IF(N400="základní",J400,0)</f>
        <v>0</v>
      </c>
      <c r="BF400" s="152">
        <f>IF(N400="snížená",J400,0)</f>
        <v>0</v>
      </c>
      <c r="BG400" s="152">
        <f>IF(N400="zákl. přenesená",J400,0)</f>
        <v>0</v>
      </c>
      <c r="BH400" s="152">
        <f>IF(N400="sníž. přenesená",J400,0)</f>
        <v>0</v>
      </c>
      <c r="BI400" s="152">
        <f>IF(N400="nulová",J400,0)</f>
        <v>0</v>
      </c>
      <c r="BJ400" s="19" t="s">
        <v>85</v>
      </c>
      <c r="BK400" s="152">
        <f>ROUND(I400*H400,2)</f>
        <v>0</v>
      </c>
      <c r="BL400" s="19" t="s">
        <v>237</v>
      </c>
      <c r="BM400" s="151" t="s">
        <v>4231</v>
      </c>
    </row>
    <row r="401" spans="1:65" s="2" customFormat="1" ht="19.5">
      <c r="A401" s="34"/>
      <c r="B401" s="35"/>
      <c r="C401" s="34"/>
      <c r="D401" s="153" t="s">
        <v>187</v>
      </c>
      <c r="E401" s="34"/>
      <c r="F401" s="154" t="s">
        <v>4232</v>
      </c>
      <c r="G401" s="34"/>
      <c r="H401" s="34"/>
      <c r="I401" s="155"/>
      <c r="J401" s="34"/>
      <c r="K401" s="34"/>
      <c r="L401" s="35"/>
      <c r="M401" s="156"/>
      <c r="N401" s="157"/>
      <c r="O401" s="55"/>
      <c r="P401" s="55"/>
      <c r="Q401" s="55"/>
      <c r="R401" s="55"/>
      <c r="S401" s="55"/>
      <c r="T401" s="56"/>
      <c r="U401" s="34"/>
      <c r="V401" s="34"/>
      <c r="W401" s="34"/>
      <c r="X401" s="34"/>
      <c r="Y401" s="34"/>
      <c r="Z401" s="34"/>
      <c r="AA401" s="34"/>
      <c r="AB401" s="34"/>
      <c r="AC401" s="34"/>
      <c r="AD401" s="34"/>
      <c r="AE401" s="34"/>
      <c r="AT401" s="19" t="s">
        <v>187</v>
      </c>
      <c r="AU401" s="19" t="s">
        <v>87</v>
      </c>
    </row>
    <row r="402" spans="1:65" s="2" customFormat="1">
      <c r="A402" s="34"/>
      <c r="B402" s="35"/>
      <c r="C402" s="34"/>
      <c r="D402" s="158" t="s">
        <v>189</v>
      </c>
      <c r="E402" s="34"/>
      <c r="F402" s="159" t="s">
        <v>4233</v>
      </c>
      <c r="G402" s="34"/>
      <c r="H402" s="34"/>
      <c r="I402" s="155"/>
      <c r="J402" s="34"/>
      <c r="K402" s="34"/>
      <c r="L402" s="35"/>
      <c r="M402" s="156"/>
      <c r="N402" s="157"/>
      <c r="O402" s="55"/>
      <c r="P402" s="55"/>
      <c r="Q402" s="55"/>
      <c r="R402" s="55"/>
      <c r="S402" s="55"/>
      <c r="T402" s="56"/>
      <c r="U402" s="34"/>
      <c r="V402" s="34"/>
      <c r="W402" s="34"/>
      <c r="X402" s="34"/>
      <c r="Y402" s="34"/>
      <c r="Z402" s="34"/>
      <c r="AA402" s="34"/>
      <c r="AB402" s="34"/>
      <c r="AC402" s="34"/>
      <c r="AD402" s="34"/>
      <c r="AE402" s="34"/>
      <c r="AT402" s="19" t="s">
        <v>189</v>
      </c>
      <c r="AU402" s="19" t="s">
        <v>87</v>
      </c>
    </row>
    <row r="403" spans="1:65" s="2" customFormat="1" ht="78">
      <c r="A403" s="34"/>
      <c r="B403" s="35"/>
      <c r="C403" s="34"/>
      <c r="D403" s="153" t="s">
        <v>191</v>
      </c>
      <c r="E403" s="34"/>
      <c r="F403" s="160" t="s">
        <v>4228</v>
      </c>
      <c r="G403" s="34"/>
      <c r="H403" s="34"/>
      <c r="I403" s="155"/>
      <c r="J403" s="34"/>
      <c r="K403" s="34"/>
      <c r="L403" s="35"/>
      <c r="M403" s="156"/>
      <c r="N403" s="157"/>
      <c r="O403" s="55"/>
      <c r="P403" s="55"/>
      <c r="Q403" s="55"/>
      <c r="R403" s="55"/>
      <c r="S403" s="55"/>
      <c r="T403" s="56"/>
      <c r="U403" s="34"/>
      <c r="V403" s="34"/>
      <c r="W403" s="34"/>
      <c r="X403" s="34"/>
      <c r="Y403" s="34"/>
      <c r="Z403" s="34"/>
      <c r="AA403" s="34"/>
      <c r="AB403" s="34"/>
      <c r="AC403" s="34"/>
      <c r="AD403" s="34"/>
      <c r="AE403" s="34"/>
      <c r="AT403" s="19" t="s">
        <v>191</v>
      </c>
      <c r="AU403" s="19" t="s">
        <v>87</v>
      </c>
    </row>
    <row r="404" spans="1:65" s="12" customFormat="1" ht="22.9" customHeight="1">
      <c r="B404" s="126"/>
      <c r="D404" s="127" t="s">
        <v>76</v>
      </c>
      <c r="E404" s="137" t="s">
        <v>4234</v>
      </c>
      <c r="F404" s="137" t="s">
        <v>4235</v>
      </c>
      <c r="I404" s="129"/>
      <c r="J404" s="138">
        <f>BK404</f>
        <v>0</v>
      </c>
      <c r="L404" s="126"/>
      <c r="M404" s="131"/>
      <c r="N404" s="132"/>
      <c r="O404" s="132"/>
      <c r="P404" s="133">
        <f>SUM(P405:P424)</f>
        <v>0</v>
      </c>
      <c r="Q404" s="132"/>
      <c r="R404" s="133">
        <f>SUM(R405:R424)</f>
        <v>0.17985000000000001</v>
      </c>
      <c r="S404" s="132"/>
      <c r="T404" s="134">
        <f>SUM(T405:T424)</f>
        <v>0</v>
      </c>
      <c r="AR404" s="127" t="s">
        <v>87</v>
      </c>
      <c r="AT404" s="135" t="s">
        <v>76</v>
      </c>
      <c r="AU404" s="135" t="s">
        <v>85</v>
      </c>
      <c r="AY404" s="127" t="s">
        <v>177</v>
      </c>
      <c r="BK404" s="136">
        <f>SUM(BK405:BK424)</f>
        <v>0</v>
      </c>
    </row>
    <row r="405" spans="1:65" s="2" customFormat="1" ht="16.5" customHeight="1">
      <c r="A405" s="34"/>
      <c r="B405" s="139"/>
      <c r="C405" s="140" t="s">
        <v>2690</v>
      </c>
      <c r="D405" s="140" t="s">
        <v>180</v>
      </c>
      <c r="E405" s="141" t="s">
        <v>4236</v>
      </c>
      <c r="F405" s="142" t="s">
        <v>4237</v>
      </c>
      <c r="G405" s="143" t="s">
        <v>261</v>
      </c>
      <c r="H405" s="144">
        <v>2</v>
      </c>
      <c r="I405" s="145"/>
      <c r="J405" s="146">
        <f>ROUND(I405*H405,2)</f>
        <v>0</v>
      </c>
      <c r="K405" s="142" t="s">
        <v>184</v>
      </c>
      <c r="L405" s="35"/>
      <c r="M405" s="147" t="s">
        <v>3</v>
      </c>
      <c r="N405" s="148" t="s">
        <v>48</v>
      </c>
      <c r="O405" s="55"/>
      <c r="P405" s="149">
        <f>O405*H405</f>
        <v>0</v>
      </c>
      <c r="Q405" s="149">
        <v>1.4E-2</v>
      </c>
      <c r="R405" s="149">
        <f>Q405*H405</f>
        <v>2.8000000000000001E-2</v>
      </c>
      <c r="S405" s="149">
        <v>0</v>
      </c>
      <c r="T405" s="150">
        <f>S405*H405</f>
        <v>0</v>
      </c>
      <c r="U405" s="34"/>
      <c r="V405" s="34"/>
      <c r="W405" s="34"/>
      <c r="X405" s="34"/>
      <c r="Y405" s="34"/>
      <c r="Z405" s="34"/>
      <c r="AA405" s="34"/>
      <c r="AB405" s="34"/>
      <c r="AC405" s="34"/>
      <c r="AD405" s="34"/>
      <c r="AE405" s="34"/>
      <c r="AR405" s="151" t="s">
        <v>237</v>
      </c>
      <c r="AT405" s="151" t="s">
        <v>180</v>
      </c>
      <c r="AU405" s="151" t="s">
        <v>87</v>
      </c>
      <c r="AY405" s="19" t="s">
        <v>177</v>
      </c>
      <c r="BE405" s="152">
        <f>IF(N405="základní",J405,0)</f>
        <v>0</v>
      </c>
      <c r="BF405" s="152">
        <f>IF(N405="snížená",J405,0)</f>
        <v>0</v>
      </c>
      <c r="BG405" s="152">
        <f>IF(N405="zákl. přenesená",J405,0)</f>
        <v>0</v>
      </c>
      <c r="BH405" s="152">
        <f>IF(N405="sníž. přenesená",J405,0)</f>
        <v>0</v>
      </c>
      <c r="BI405" s="152">
        <f>IF(N405="nulová",J405,0)</f>
        <v>0</v>
      </c>
      <c r="BJ405" s="19" t="s">
        <v>85</v>
      </c>
      <c r="BK405" s="152">
        <f>ROUND(I405*H405,2)</f>
        <v>0</v>
      </c>
      <c r="BL405" s="19" t="s">
        <v>237</v>
      </c>
      <c r="BM405" s="151" t="s">
        <v>4238</v>
      </c>
    </row>
    <row r="406" spans="1:65" s="2" customFormat="1">
      <c r="A406" s="34"/>
      <c r="B406" s="35"/>
      <c r="C406" s="34"/>
      <c r="D406" s="153" t="s">
        <v>187</v>
      </c>
      <c r="E406" s="34"/>
      <c r="F406" s="154" t="s">
        <v>4239</v>
      </c>
      <c r="G406" s="34"/>
      <c r="H406" s="34"/>
      <c r="I406" s="155"/>
      <c r="J406" s="34"/>
      <c r="K406" s="34"/>
      <c r="L406" s="35"/>
      <c r="M406" s="156"/>
      <c r="N406" s="157"/>
      <c r="O406" s="55"/>
      <c r="P406" s="55"/>
      <c r="Q406" s="55"/>
      <c r="R406" s="55"/>
      <c r="S406" s="55"/>
      <c r="T406" s="56"/>
      <c r="U406" s="34"/>
      <c r="V406" s="34"/>
      <c r="W406" s="34"/>
      <c r="X406" s="34"/>
      <c r="Y406" s="34"/>
      <c r="Z406" s="34"/>
      <c r="AA406" s="34"/>
      <c r="AB406" s="34"/>
      <c r="AC406" s="34"/>
      <c r="AD406" s="34"/>
      <c r="AE406" s="34"/>
      <c r="AT406" s="19" t="s">
        <v>187</v>
      </c>
      <c r="AU406" s="19" t="s">
        <v>87</v>
      </c>
    </row>
    <row r="407" spans="1:65" s="2" customFormat="1">
      <c r="A407" s="34"/>
      <c r="B407" s="35"/>
      <c r="C407" s="34"/>
      <c r="D407" s="158" t="s">
        <v>189</v>
      </c>
      <c r="E407" s="34"/>
      <c r="F407" s="159" t="s">
        <v>4240</v>
      </c>
      <c r="G407" s="34"/>
      <c r="H407" s="34"/>
      <c r="I407" s="155"/>
      <c r="J407" s="34"/>
      <c r="K407" s="34"/>
      <c r="L407" s="35"/>
      <c r="M407" s="156"/>
      <c r="N407" s="157"/>
      <c r="O407" s="55"/>
      <c r="P407" s="55"/>
      <c r="Q407" s="55"/>
      <c r="R407" s="55"/>
      <c r="S407" s="55"/>
      <c r="T407" s="56"/>
      <c r="U407" s="34"/>
      <c r="V407" s="34"/>
      <c r="W407" s="34"/>
      <c r="X407" s="34"/>
      <c r="Y407" s="34"/>
      <c r="Z407" s="34"/>
      <c r="AA407" s="34"/>
      <c r="AB407" s="34"/>
      <c r="AC407" s="34"/>
      <c r="AD407" s="34"/>
      <c r="AE407" s="34"/>
      <c r="AT407" s="19" t="s">
        <v>189</v>
      </c>
      <c r="AU407" s="19" t="s">
        <v>87</v>
      </c>
    </row>
    <row r="408" spans="1:65" s="2" customFormat="1" ht="68.25">
      <c r="A408" s="34"/>
      <c r="B408" s="35"/>
      <c r="C408" s="34"/>
      <c r="D408" s="153" t="s">
        <v>191</v>
      </c>
      <c r="E408" s="34"/>
      <c r="F408" s="160" t="s">
        <v>4241</v>
      </c>
      <c r="G408" s="34"/>
      <c r="H408" s="34"/>
      <c r="I408" s="155"/>
      <c r="J408" s="34"/>
      <c r="K408" s="34"/>
      <c r="L408" s="35"/>
      <c r="M408" s="156"/>
      <c r="N408" s="157"/>
      <c r="O408" s="55"/>
      <c r="P408" s="55"/>
      <c r="Q408" s="55"/>
      <c r="R408" s="55"/>
      <c r="S408" s="55"/>
      <c r="T408" s="56"/>
      <c r="U408" s="34"/>
      <c r="V408" s="34"/>
      <c r="W408" s="34"/>
      <c r="X408" s="34"/>
      <c r="Y408" s="34"/>
      <c r="Z408" s="34"/>
      <c r="AA408" s="34"/>
      <c r="AB408" s="34"/>
      <c r="AC408" s="34"/>
      <c r="AD408" s="34"/>
      <c r="AE408" s="34"/>
      <c r="AT408" s="19" t="s">
        <v>191</v>
      </c>
      <c r="AU408" s="19" t="s">
        <v>87</v>
      </c>
    </row>
    <row r="409" spans="1:65" s="2" customFormat="1" ht="21.75" customHeight="1">
      <c r="A409" s="34"/>
      <c r="B409" s="139"/>
      <c r="C409" s="140" t="s">
        <v>2692</v>
      </c>
      <c r="D409" s="140" t="s">
        <v>180</v>
      </c>
      <c r="E409" s="141" t="s">
        <v>4242</v>
      </c>
      <c r="F409" s="142" t="s">
        <v>4243</v>
      </c>
      <c r="G409" s="143" t="s">
        <v>261</v>
      </c>
      <c r="H409" s="144">
        <v>7</v>
      </c>
      <c r="I409" s="145"/>
      <c r="J409" s="146">
        <f>ROUND(I409*H409,2)</f>
        <v>0</v>
      </c>
      <c r="K409" s="142" t="s">
        <v>184</v>
      </c>
      <c r="L409" s="35"/>
      <c r="M409" s="147" t="s">
        <v>3</v>
      </c>
      <c r="N409" s="148" t="s">
        <v>48</v>
      </c>
      <c r="O409" s="55"/>
      <c r="P409" s="149">
        <f>O409*H409</f>
        <v>0</v>
      </c>
      <c r="Q409" s="149">
        <v>1.6650000000000002E-2</v>
      </c>
      <c r="R409" s="149">
        <f>Q409*H409</f>
        <v>0.11655000000000001</v>
      </c>
      <c r="S409" s="149">
        <v>0</v>
      </c>
      <c r="T409" s="150">
        <f>S409*H409</f>
        <v>0</v>
      </c>
      <c r="U409" s="34"/>
      <c r="V409" s="34"/>
      <c r="W409" s="34"/>
      <c r="X409" s="34"/>
      <c r="Y409" s="34"/>
      <c r="Z409" s="34"/>
      <c r="AA409" s="34"/>
      <c r="AB409" s="34"/>
      <c r="AC409" s="34"/>
      <c r="AD409" s="34"/>
      <c r="AE409" s="34"/>
      <c r="AR409" s="151" t="s">
        <v>237</v>
      </c>
      <c r="AT409" s="151" t="s">
        <v>180</v>
      </c>
      <c r="AU409" s="151" t="s">
        <v>87</v>
      </c>
      <c r="AY409" s="19" t="s">
        <v>177</v>
      </c>
      <c r="BE409" s="152">
        <f>IF(N409="základní",J409,0)</f>
        <v>0</v>
      </c>
      <c r="BF409" s="152">
        <f>IF(N409="snížená",J409,0)</f>
        <v>0</v>
      </c>
      <c r="BG409" s="152">
        <f>IF(N409="zákl. přenesená",J409,0)</f>
        <v>0</v>
      </c>
      <c r="BH409" s="152">
        <f>IF(N409="sníž. přenesená",J409,0)</f>
        <v>0</v>
      </c>
      <c r="BI409" s="152">
        <f>IF(N409="nulová",J409,0)</f>
        <v>0</v>
      </c>
      <c r="BJ409" s="19" t="s">
        <v>85</v>
      </c>
      <c r="BK409" s="152">
        <f>ROUND(I409*H409,2)</f>
        <v>0</v>
      </c>
      <c r="BL409" s="19" t="s">
        <v>237</v>
      </c>
      <c r="BM409" s="151" t="s">
        <v>4244</v>
      </c>
    </row>
    <row r="410" spans="1:65" s="2" customFormat="1" ht="19.5">
      <c r="A410" s="34"/>
      <c r="B410" s="35"/>
      <c r="C410" s="34"/>
      <c r="D410" s="153" t="s">
        <v>187</v>
      </c>
      <c r="E410" s="34"/>
      <c r="F410" s="154" t="s">
        <v>4245</v>
      </c>
      <c r="G410" s="34"/>
      <c r="H410" s="34"/>
      <c r="I410" s="155"/>
      <c r="J410" s="34"/>
      <c r="K410" s="34"/>
      <c r="L410" s="35"/>
      <c r="M410" s="156"/>
      <c r="N410" s="157"/>
      <c r="O410" s="55"/>
      <c r="P410" s="55"/>
      <c r="Q410" s="55"/>
      <c r="R410" s="55"/>
      <c r="S410" s="55"/>
      <c r="T410" s="56"/>
      <c r="U410" s="34"/>
      <c r="V410" s="34"/>
      <c r="W410" s="34"/>
      <c r="X410" s="34"/>
      <c r="Y410" s="34"/>
      <c r="Z410" s="34"/>
      <c r="AA410" s="34"/>
      <c r="AB410" s="34"/>
      <c r="AC410" s="34"/>
      <c r="AD410" s="34"/>
      <c r="AE410" s="34"/>
      <c r="AT410" s="19" t="s">
        <v>187</v>
      </c>
      <c r="AU410" s="19" t="s">
        <v>87</v>
      </c>
    </row>
    <row r="411" spans="1:65" s="2" customFormat="1">
      <c r="A411" s="34"/>
      <c r="B411" s="35"/>
      <c r="C411" s="34"/>
      <c r="D411" s="158" t="s">
        <v>189</v>
      </c>
      <c r="E411" s="34"/>
      <c r="F411" s="159" t="s">
        <v>4246</v>
      </c>
      <c r="G411" s="34"/>
      <c r="H411" s="34"/>
      <c r="I411" s="155"/>
      <c r="J411" s="34"/>
      <c r="K411" s="34"/>
      <c r="L411" s="35"/>
      <c r="M411" s="156"/>
      <c r="N411" s="157"/>
      <c r="O411" s="55"/>
      <c r="P411" s="55"/>
      <c r="Q411" s="55"/>
      <c r="R411" s="55"/>
      <c r="S411" s="55"/>
      <c r="T411" s="56"/>
      <c r="U411" s="34"/>
      <c r="V411" s="34"/>
      <c r="W411" s="34"/>
      <c r="X411" s="34"/>
      <c r="Y411" s="34"/>
      <c r="Z411" s="34"/>
      <c r="AA411" s="34"/>
      <c r="AB411" s="34"/>
      <c r="AC411" s="34"/>
      <c r="AD411" s="34"/>
      <c r="AE411" s="34"/>
      <c r="AT411" s="19" t="s">
        <v>189</v>
      </c>
      <c r="AU411" s="19" t="s">
        <v>87</v>
      </c>
    </row>
    <row r="412" spans="1:65" s="2" customFormat="1" ht="68.25">
      <c r="A412" s="34"/>
      <c r="B412" s="35"/>
      <c r="C412" s="34"/>
      <c r="D412" s="153" t="s">
        <v>191</v>
      </c>
      <c r="E412" s="34"/>
      <c r="F412" s="160" t="s">
        <v>4241</v>
      </c>
      <c r="G412" s="34"/>
      <c r="H412" s="34"/>
      <c r="I412" s="155"/>
      <c r="J412" s="34"/>
      <c r="K412" s="34"/>
      <c r="L412" s="35"/>
      <c r="M412" s="156"/>
      <c r="N412" s="157"/>
      <c r="O412" s="55"/>
      <c r="P412" s="55"/>
      <c r="Q412" s="55"/>
      <c r="R412" s="55"/>
      <c r="S412" s="55"/>
      <c r="T412" s="56"/>
      <c r="U412" s="34"/>
      <c r="V412" s="34"/>
      <c r="W412" s="34"/>
      <c r="X412" s="34"/>
      <c r="Y412" s="34"/>
      <c r="Z412" s="34"/>
      <c r="AA412" s="34"/>
      <c r="AB412" s="34"/>
      <c r="AC412" s="34"/>
      <c r="AD412" s="34"/>
      <c r="AE412" s="34"/>
      <c r="AT412" s="19" t="s">
        <v>191</v>
      </c>
      <c r="AU412" s="19" t="s">
        <v>87</v>
      </c>
    </row>
    <row r="413" spans="1:65" s="2" customFormat="1" ht="21.75" customHeight="1">
      <c r="A413" s="34"/>
      <c r="B413" s="139"/>
      <c r="C413" s="140" t="s">
        <v>2699</v>
      </c>
      <c r="D413" s="140" t="s">
        <v>180</v>
      </c>
      <c r="E413" s="141" t="s">
        <v>4247</v>
      </c>
      <c r="F413" s="142" t="s">
        <v>4248</v>
      </c>
      <c r="G413" s="143" t="s">
        <v>261</v>
      </c>
      <c r="H413" s="144">
        <v>2</v>
      </c>
      <c r="I413" s="145"/>
      <c r="J413" s="146">
        <f>ROUND(I413*H413,2)</f>
        <v>0</v>
      </c>
      <c r="K413" s="142" t="s">
        <v>184</v>
      </c>
      <c r="L413" s="35"/>
      <c r="M413" s="147" t="s">
        <v>3</v>
      </c>
      <c r="N413" s="148" t="s">
        <v>48</v>
      </c>
      <c r="O413" s="55"/>
      <c r="P413" s="149">
        <f>O413*H413</f>
        <v>0</v>
      </c>
      <c r="Q413" s="149">
        <v>1.7649999999999999E-2</v>
      </c>
      <c r="R413" s="149">
        <f>Q413*H413</f>
        <v>3.5299999999999998E-2</v>
      </c>
      <c r="S413" s="149">
        <v>0</v>
      </c>
      <c r="T413" s="150">
        <f>S413*H413</f>
        <v>0</v>
      </c>
      <c r="U413" s="34"/>
      <c r="V413" s="34"/>
      <c r="W413" s="34"/>
      <c r="X413" s="34"/>
      <c r="Y413" s="34"/>
      <c r="Z413" s="34"/>
      <c r="AA413" s="34"/>
      <c r="AB413" s="34"/>
      <c r="AC413" s="34"/>
      <c r="AD413" s="34"/>
      <c r="AE413" s="34"/>
      <c r="AR413" s="151" t="s">
        <v>237</v>
      </c>
      <c r="AT413" s="151" t="s">
        <v>180</v>
      </c>
      <c r="AU413" s="151" t="s">
        <v>87</v>
      </c>
      <c r="AY413" s="19" t="s">
        <v>177</v>
      </c>
      <c r="BE413" s="152">
        <f>IF(N413="základní",J413,0)</f>
        <v>0</v>
      </c>
      <c r="BF413" s="152">
        <f>IF(N413="snížená",J413,0)</f>
        <v>0</v>
      </c>
      <c r="BG413" s="152">
        <f>IF(N413="zákl. přenesená",J413,0)</f>
        <v>0</v>
      </c>
      <c r="BH413" s="152">
        <f>IF(N413="sníž. přenesená",J413,0)</f>
        <v>0</v>
      </c>
      <c r="BI413" s="152">
        <f>IF(N413="nulová",J413,0)</f>
        <v>0</v>
      </c>
      <c r="BJ413" s="19" t="s">
        <v>85</v>
      </c>
      <c r="BK413" s="152">
        <f>ROUND(I413*H413,2)</f>
        <v>0</v>
      </c>
      <c r="BL413" s="19" t="s">
        <v>237</v>
      </c>
      <c r="BM413" s="151" t="s">
        <v>4249</v>
      </c>
    </row>
    <row r="414" spans="1:65" s="2" customFormat="1" ht="19.5">
      <c r="A414" s="34"/>
      <c r="B414" s="35"/>
      <c r="C414" s="34"/>
      <c r="D414" s="153" t="s">
        <v>187</v>
      </c>
      <c r="E414" s="34"/>
      <c r="F414" s="154" t="s">
        <v>4250</v>
      </c>
      <c r="G414" s="34"/>
      <c r="H414" s="34"/>
      <c r="I414" s="155"/>
      <c r="J414" s="34"/>
      <c r="K414" s="34"/>
      <c r="L414" s="35"/>
      <c r="M414" s="156"/>
      <c r="N414" s="157"/>
      <c r="O414" s="55"/>
      <c r="P414" s="55"/>
      <c r="Q414" s="55"/>
      <c r="R414" s="55"/>
      <c r="S414" s="55"/>
      <c r="T414" s="56"/>
      <c r="U414" s="34"/>
      <c r="V414" s="34"/>
      <c r="W414" s="34"/>
      <c r="X414" s="34"/>
      <c r="Y414" s="34"/>
      <c r="Z414" s="34"/>
      <c r="AA414" s="34"/>
      <c r="AB414" s="34"/>
      <c r="AC414" s="34"/>
      <c r="AD414" s="34"/>
      <c r="AE414" s="34"/>
      <c r="AT414" s="19" t="s">
        <v>187</v>
      </c>
      <c r="AU414" s="19" t="s">
        <v>87</v>
      </c>
    </row>
    <row r="415" spans="1:65" s="2" customFormat="1">
      <c r="A415" s="34"/>
      <c r="B415" s="35"/>
      <c r="C415" s="34"/>
      <c r="D415" s="158" t="s">
        <v>189</v>
      </c>
      <c r="E415" s="34"/>
      <c r="F415" s="159" t="s">
        <v>4251</v>
      </c>
      <c r="G415" s="34"/>
      <c r="H415" s="34"/>
      <c r="I415" s="155"/>
      <c r="J415" s="34"/>
      <c r="K415" s="34"/>
      <c r="L415" s="35"/>
      <c r="M415" s="156"/>
      <c r="N415" s="157"/>
      <c r="O415" s="55"/>
      <c r="P415" s="55"/>
      <c r="Q415" s="55"/>
      <c r="R415" s="55"/>
      <c r="S415" s="55"/>
      <c r="T415" s="56"/>
      <c r="U415" s="34"/>
      <c r="V415" s="34"/>
      <c r="W415" s="34"/>
      <c r="X415" s="34"/>
      <c r="Y415" s="34"/>
      <c r="Z415" s="34"/>
      <c r="AA415" s="34"/>
      <c r="AB415" s="34"/>
      <c r="AC415" s="34"/>
      <c r="AD415" s="34"/>
      <c r="AE415" s="34"/>
      <c r="AT415" s="19" t="s">
        <v>189</v>
      </c>
      <c r="AU415" s="19" t="s">
        <v>87</v>
      </c>
    </row>
    <row r="416" spans="1:65" s="2" customFormat="1" ht="68.25">
      <c r="A416" s="34"/>
      <c r="B416" s="35"/>
      <c r="C416" s="34"/>
      <c r="D416" s="153" t="s">
        <v>191</v>
      </c>
      <c r="E416" s="34"/>
      <c r="F416" s="160" t="s">
        <v>4241</v>
      </c>
      <c r="G416" s="34"/>
      <c r="H416" s="34"/>
      <c r="I416" s="155"/>
      <c r="J416" s="34"/>
      <c r="K416" s="34"/>
      <c r="L416" s="35"/>
      <c r="M416" s="156"/>
      <c r="N416" s="157"/>
      <c r="O416" s="55"/>
      <c r="P416" s="55"/>
      <c r="Q416" s="55"/>
      <c r="R416" s="55"/>
      <c r="S416" s="55"/>
      <c r="T416" s="56"/>
      <c r="U416" s="34"/>
      <c r="V416" s="34"/>
      <c r="W416" s="34"/>
      <c r="X416" s="34"/>
      <c r="Y416" s="34"/>
      <c r="Z416" s="34"/>
      <c r="AA416" s="34"/>
      <c r="AB416" s="34"/>
      <c r="AC416" s="34"/>
      <c r="AD416" s="34"/>
      <c r="AE416" s="34"/>
      <c r="AT416" s="19" t="s">
        <v>191</v>
      </c>
      <c r="AU416" s="19" t="s">
        <v>87</v>
      </c>
    </row>
    <row r="417" spans="1:65" s="2" customFormat="1" ht="16.5" customHeight="1">
      <c r="A417" s="34"/>
      <c r="B417" s="139"/>
      <c r="C417" s="140" t="s">
        <v>2704</v>
      </c>
      <c r="D417" s="140" t="s">
        <v>180</v>
      </c>
      <c r="E417" s="141" t="s">
        <v>4252</v>
      </c>
      <c r="F417" s="142" t="s">
        <v>4253</v>
      </c>
      <c r="G417" s="143" t="s">
        <v>183</v>
      </c>
      <c r="H417" s="144">
        <v>0.18</v>
      </c>
      <c r="I417" s="145"/>
      <c r="J417" s="146">
        <f>ROUND(I417*H417,2)</f>
        <v>0</v>
      </c>
      <c r="K417" s="142" t="s">
        <v>184</v>
      </c>
      <c r="L417" s="35"/>
      <c r="M417" s="147" t="s">
        <v>3</v>
      </c>
      <c r="N417" s="148" t="s">
        <v>48</v>
      </c>
      <c r="O417" s="55"/>
      <c r="P417" s="149">
        <f>O417*H417</f>
        <v>0</v>
      </c>
      <c r="Q417" s="149">
        <v>0</v>
      </c>
      <c r="R417" s="149">
        <f>Q417*H417</f>
        <v>0</v>
      </c>
      <c r="S417" s="149">
        <v>0</v>
      </c>
      <c r="T417" s="150">
        <f>S417*H417</f>
        <v>0</v>
      </c>
      <c r="U417" s="34"/>
      <c r="V417" s="34"/>
      <c r="W417" s="34"/>
      <c r="X417" s="34"/>
      <c r="Y417" s="34"/>
      <c r="Z417" s="34"/>
      <c r="AA417" s="34"/>
      <c r="AB417" s="34"/>
      <c r="AC417" s="34"/>
      <c r="AD417" s="34"/>
      <c r="AE417" s="34"/>
      <c r="AR417" s="151" t="s">
        <v>237</v>
      </c>
      <c r="AT417" s="151" t="s">
        <v>180</v>
      </c>
      <c r="AU417" s="151" t="s">
        <v>87</v>
      </c>
      <c r="AY417" s="19" t="s">
        <v>177</v>
      </c>
      <c r="BE417" s="152">
        <f>IF(N417="základní",J417,0)</f>
        <v>0</v>
      </c>
      <c r="BF417" s="152">
        <f>IF(N417="snížená",J417,0)</f>
        <v>0</v>
      </c>
      <c r="BG417" s="152">
        <f>IF(N417="zákl. přenesená",J417,0)</f>
        <v>0</v>
      </c>
      <c r="BH417" s="152">
        <f>IF(N417="sníž. přenesená",J417,0)</f>
        <v>0</v>
      </c>
      <c r="BI417" s="152">
        <f>IF(N417="nulová",J417,0)</f>
        <v>0</v>
      </c>
      <c r="BJ417" s="19" t="s">
        <v>85</v>
      </c>
      <c r="BK417" s="152">
        <f>ROUND(I417*H417,2)</f>
        <v>0</v>
      </c>
      <c r="BL417" s="19" t="s">
        <v>237</v>
      </c>
      <c r="BM417" s="151" t="s">
        <v>4254</v>
      </c>
    </row>
    <row r="418" spans="1:65" s="2" customFormat="1" ht="19.5">
      <c r="A418" s="34"/>
      <c r="B418" s="35"/>
      <c r="C418" s="34"/>
      <c r="D418" s="153" t="s">
        <v>187</v>
      </c>
      <c r="E418" s="34"/>
      <c r="F418" s="154" t="s">
        <v>4255</v>
      </c>
      <c r="G418" s="34"/>
      <c r="H418" s="34"/>
      <c r="I418" s="155"/>
      <c r="J418" s="34"/>
      <c r="K418" s="34"/>
      <c r="L418" s="35"/>
      <c r="M418" s="156"/>
      <c r="N418" s="157"/>
      <c r="O418" s="55"/>
      <c r="P418" s="55"/>
      <c r="Q418" s="55"/>
      <c r="R418" s="55"/>
      <c r="S418" s="55"/>
      <c r="T418" s="56"/>
      <c r="U418" s="34"/>
      <c r="V418" s="34"/>
      <c r="W418" s="34"/>
      <c r="X418" s="34"/>
      <c r="Y418" s="34"/>
      <c r="Z418" s="34"/>
      <c r="AA418" s="34"/>
      <c r="AB418" s="34"/>
      <c r="AC418" s="34"/>
      <c r="AD418" s="34"/>
      <c r="AE418" s="34"/>
      <c r="AT418" s="19" t="s">
        <v>187</v>
      </c>
      <c r="AU418" s="19" t="s">
        <v>87</v>
      </c>
    </row>
    <row r="419" spans="1:65" s="2" customFormat="1">
      <c r="A419" s="34"/>
      <c r="B419" s="35"/>
      <c r="C419" s="34"/>
      <c r="D419" s="158" t="s">
        <v>189</v>
      </c>
      <c r="E419" s="34"/>
      <c r="F419" s="159" t="s">
        <v>4256</v>
      </c>
      <c r="G419" s="34"/>
      <c r="H419" s="34"/>
      <c r="I419" s="155"/>
      <c r="J419" s="34"/>
      <c r="K419" s="34"/>
      <c r="L419" s="35"/>
      <c r="M419" s="156"/>
      <c r="N419" s="157"/>
      <c r="O419" s="55"/>
      <c r="P419" s="55"/>
      <c r="Q419" s="55"/>
      <c r="R419" s="55"/>
      <c r="S419" s="55"/>
      <c r="T419" s="56"/>
      <c r="U419" s="34"/>
      <c r="V419" s="34"/>
      <c r="W419" s="34"/>
      <c r="X419" s="34"/>
      <c r="Y419" s="34"/>
      <c r="Z419" s="34"/>
      <c r="AA419" s="34"/>
      <c r="AB419" s="34"/>
      <c r="AC419" s="34"/>
      <c r="AD419" s="34"/>
      <c r="AE419" s="34"/>
      <c r="AT419" s="19" t="s">
        <v>189</v>
      </c>
      <c r="AU419" s="19" t="s">
        <v>87</v>
      </c>
    </row>
    <row r="420" spans="1:65" s="2" customFormat="1" ht="78">
      <c r="A420" s="34"/>
      <c r="B420" s="35"/>
      <c r="C420" s="34"/>
      <c r="D420" s="153" t="s">
        <v>191</v>
      </c>
      <c r="E420" s="34"/>
      <c r="F420" s="160" t="s">
        <v>2301</v>
      </c>
      <c r="G420" s="34"/>
      <c r="H420" s="34"/>
      <c r="I420" s="155"/>
      <c r="J420" s="34"/>
      <c r="K420" s="34"/>
      <c r="L420" s="35"/>
      <c r="M420" s="156"/>
      <c r="N420" s="157"/>
      <c r="O420" s="55"/>
      <c r="P420" s="55"/>
      <c r="Q420" s="55"/>
      <c r="R420" s="55"/>
      <c r="S420" s="55"/>
      <c r="T420" s="56"/>
      <c r="U420" s="34"/>
      <c r="V420" s="34"/>
      <c r="W420" s="34"/>
      <c r="X420" s="34"/>
      <c r="Y420" s="34"/>
      <c r="Z420" s="34"/>
      <c r="AA420" s="34"/>
      <c r="AB420" s="34"/>
      <c r="AC420" s="34"/>
      <c r="AD420" s="34"/>
      <c r="AE420" s="34"/>
      <c r="AT420" s="19" t="s">
        <v>191</v>
      </c>
      <c r="AU420" s="19" t="s">
        <v>87</v>
      </c>
    </row>
    <row r="421" spans="1:65" s="2" customFormat="1" ht="16.5" customHeight="1">
      <c r="A421" s="34"/>
      <c r="B421" s="139"/>
      <c r="C421" s="140" t="s">
        <v>2706</v>
      </c>
      <c r="D421" s="140" t="s">
        <v>180</v>
      </c>
      <c r="E421" s="141" t="s">
        <v>4257</v>
      </c>
      <c r="F421" s="142" t="s">
        <v>4258</v>
      </c>
      <c r="G421" s="143" t="s">
        <v>183</v>
      </c>
      <c r="H421" s="144">
        <v>0.18</v>
      </c>
      <c r="I421" s="145"/>
      <c r="J421" s="146">
        <f>ROUND(I421*H421,2)</f>
        <v>0</v>
      </c>
      <c r="K421" s="142" t="s">
        <v>184</v>
      </c>
      <c r="L421" s="35"/>
      <c r="M421" s="147" t="s">
        <v>3</v>
      </c>
      <c r="N421" s="148" t="s">
        <v>48</v>
      </c>
      <c r="O421" s="55"/>
      <c r="P421" s="149">
        <f>O421*H421</f>
        <v>0</v>
      </c>
      <c r="Q421" s="149">
        <v>0</v>
      </c>
      <c r="R421" s="149">
        <f>Q421*H421</f>
        <v>0</v>
      </c>
      <c r="S421" s="149">
        <v>0</v>
      </c>
      <c r="T421" s="150">
        <f>S421*H421</f>
        <v>0</v>
      </c>
      <c r="U421" s="34"/>
      <c r="V421" s="34"/>
      <c r="W421" s="34"/>
      <c r="X421" s="34"/>
      <c r="Y421" s="34"/>
      <c r="Z421" s="34"/>
      <c r="AA421" s="34"/>
      <c r="AB421" s="34"/>
      <c r="AC421" s="34"/>
      <c r="AD421" s="34"/>
      <c r="AE421" s="34"/>
      <c r="AR421" s="151" t="s">
        <v>237</v>
      </c>
      <c r="AT421" s="151" t="s">
        <v>180</v>
      </c>
      <c r="AU421" s="151" t="s">
        <v>87</v>
      </c>
      <c r="AY421" s="19" t="s">
        <v>177</v>
      </c>
      <c r="BE421" s="152">
        <f>IF(N421="základní",J421,0)</f>
        <v>0</v>
      </c>
      <c r="BF421" s="152">
        <f>IF(N421="snížená",J421,0)</f>
        <v>0</v>
      </c>
      <c r="BG421" s="152">
        <f>IF(N421="zákl. přenesená",J421,0)</f>
        <v>0</v>
      </c>
      <c r="BH421" s="152">
        <f>IF(N421="sníž. přenesená",J421,0)</f>
        <v>0</v>
      </c>
      <c r="BI421" s="152">
        <f>IF(N421="nulová",J421,0)</f>
        <v>0</v>
      </c>
      <c r="BJ421" s="19" t="s">
        <v>85</v>
      </c>
      <c r="BK421" s="152">
        <f>ROUND(I421*H421,2)</f>
        <v>0</v>
      </c>
      <c r="BL421" s="19" t="s">
        <v>237</v>
      </c>
      <c r="BM421" s="151" t="s">
        <v>4259</v>
      </c>
    </row>
    <row r="422" spans="1:65" s="2" customFormat="1" ht="19.5">
      <c r="A422" s="34"/>
      <c r="B422" s="35"/>
      <c r="C422" s="34"/>
      <c r="D422" s="153" t="s">
        <v>187</v>
      </c>
      <c r="E422" s="34"/>
      <c r="F422" s="154" t="s">
        <v>4260</v>
      </c>
      <c r="G422" s="34"/>
      <c r="H422" s="34"/>
      <c r="I422" s="155"/>
      <c r="J422" s="34"/>
      <c r="K422" s="34"/>
      <c r="L422" s="35"/>
      <c r="M422" s="156"/>
      <c r="N422" s="157"/>
      <c r="O422" s="55"/>
      <c r="P422" s="55"/>
      <c r="Q422" s="55"/>
      <c r="R422" s="55"/>
      <c r="S422" s="55"/>
      <c r="T422" s="56"/>
      <c r="U422" s="34"/>
      <c r="V422" s="34"/>
      <c r="W422" s="34"/>
      <c r="X422" s="34"/>
      <c r="Y422" s="34"/>
      <c r="Z422" s="34"/>
      <c r="AA422" s="34"/>
      <c r="AB422" s="34"/>
      <c r="AC422" s="34"/>
      <c r="AD422" s="34"/>
      <c r="AE422" s="34"/>
      <c r="AT422" s="19" t="s">
        <v>187</v>
      </c>
      <c r="AU422" s="19" t="s">
        <v>87</v>
      </c>
    </row>
    <row r="423" spans="1:65" s="2" customFormat="1">
      <c r="A423" s="34"/>
      <c r="B423" s="35"/>
      <c r="C423" s="34"/>
      <c r="D423" s="158" t="s">
        <v>189</v>
      </c>
      <c r="E423" s="34"/>
      <c r="F423" s="159" t="s">
        <v>4261</v>
      </c>
      <c r="G423" s="34"/>
      <c r="H423" s="34"/>
      <c r="I423" s="155"/>
      <c r="J423" s="34"/>
      <c r="K423" s="34"/>
      <c r="L423" s="35"/>
      <c r="M423" s="156"/>
      <c r="N423" s="157"/>
      <c r="O423" s="55"/>
      <c r="P423" s="55"/>
      <c r="Q423" s="55"/>
      <c r="R423" s="55"/>
      <c r="S423" s="55"/>
      <c r="T423" s="56"/>
      <c r="U423" s="34"/>
      <c r="V423" s="34"/>
      <c r="W423" s="34"/>
      <c r="X423" s="34"/>
      <c r="Y423" s="34"/>
      <c r="Z423" s="34"/>
      <c r="AA423" s="34"/>
      <c r="AB423" s="34"/>
      <c r="AC423" s="34"/>
      <c r="AD423" s="34"/>
      <c r="AE423" s="34"/>
      <c r="AT423" s="19" t="s">
        <v>189</v>
      </c>
      <c r="AU423" s="19" t="s">
        <v>87</v>
      </c>
    </row>
    <row r="424" spans="1:65" s="2" customFormat="1" ht="78">
      <c r="A424" s="34"/>
      <c r="B424" s="35"/>
      <c r="C424" s="34"/>
      <c r="D424" s="153" t="s">
        <v>191</v>
      </c>
      <c r="E424" s="34"/>
      <c r="F424" s="160" t="s">
        <v>2301</v>
      </c>
      <c r="G424" s="34"/>
      <c r="H424" s="34"/>
      <c r="I424" s="155"/>
      <c r="J424" s="34"/>
      <c r="K424" s="34"/>
      <c r="L424" s="35"/>
      <c r="M424" s="156"/>
      <c r="N424" s="157"/>
      <c r="O424" s="55"/>
      <c r="P424" s="55"/>
      <c r="Q424" s="55"/>
      <c r="R424" s="55"/>
      <c r="S424" s="55"/>
      <c r="T424" s="56"/>
      <c r="U424" s="34"/>
      <c r="V424" s="34"/>
      <c r="W424" s="34"/>
      <c r="X424" s="34"/>
      <c r="Y424" s="34"/>
      <c r="Z424" s="34"/>
      <c r="AA424" s="34"/>
      <c r="AB424" s="34"/>
      <c r="AC424" s="34"/>
      <c r="AD424" s="34"/>
      <c r="AE424" s="34"/>
      <c r="AT424" s="19" t="s">
        <v>191</v>
      </c>
      <c r="AU424" s="19" t="s">
        <v>87</v>
      </c>
    </row>
    <row r="425" spans="1:65" s="12" customFormat="1" ht="22.9" customHeight="1">
      <c r="B425" s="126"/>
      <c r="D425" s="127" t="s">
        <v>76</v>
      </c>
      <c r="E425" s="137" t="s">
        <v>4262</v>
      </c>
      <c r="F425" s="137" t="s">
        <v>4263</v>
      </c>
      <c r="I425" s="129"/>
      <c r="J425" s="138">
        <f>BK425</f>
        <v>0</v>
      </c>
      <c r="L425" s="126"/>
      <c r="M425" s="131"/>
      <c r="N425" s="132"/>
      <c r="O425" s="132"/>
      <c r="P425" s="133">
        <f>SUM(P426:P427)</f>
        <v>0</v>
      </c>
      <c r="Q425" s="132"/>
      <c r="R425" s="133">
        <f>SUM(R426:R427)</f>
        <v>0</v>
      </c>
      <c r="S425" s="132"/>
      <c r="T425" s="134">
        <f>SUM(T426:T427)</f>
        <v>0</v>
      </c>
      <c r="AR425" s="127" t="s">
        <v>87</v>
      </c>
      <c r="AT425" s="135" t="s">
        <v>76</v>
      </c>
      <c r="AU425" s="135" t="s">
        <v>85</v>
      </c>
      <c r="AY425" s="127" t="s">
        <v>177</v>
      </c>
      <c r="BK425" s="136">
        <f>SUM(BK426:BK427)</f>
        <v>0</v>
      </c>
    </row>
    <row r="426" spans="1:65" s="2" customFormat="1" ht="16.5" customHeight="1">
      <c r="A426" s="34"/>
      <c r="B426" s="139"/>
      <c r="C426" s="140" t="s">
        <v>2708</v>
      </c>
      <c r="D426" s="140" t="s">
        <v>180</v>
      </c>
      <c r="E426" s="141" t="s">
        <v>3816</v>
      </c>
      <c r="F426" s="142" t="s">
        <v>3817</v>
      </c>
      <c r="G426" s="143" t="s">
        <v>243</v>
      </c>
      <c r="H426" s="144">
        <v>1</v>
      </c>
      <c r="I426" s="145"/>
      <c r="J426" s="146">
        <f>ROUND(I426*H426,2)</f>
        <v>0</v>
      </c>
      <c r="K426" s="142" t="s">
        <v>244</v>
      </c>
      <c r="L426" s="35"/>
      <c r="M426" s="147" t="s">
        <v>3</v>
      </c>
      <c r="N426" s="148" t="s">
        <v>48</v>
      </c>
      <c r="O426" s="55"/>
      <c r="P426" s="149">
        <f>O426*H426</f>
        <v>0</v>
      </c>
      <c r="Q426" s="149">
        <v>0</v>
      </c>
      <c r="R426" s="149">
        <f>Q426*H426</f>
        <v>0</v>
      </c>
      <c r="S426" s="149">
        <v>0</v>
      </c>
      <c r="T426" s="150">
        <f>S426*H426</f>
        <v>0</v>
      </c>
      <c r="U426" s="34"/>
      <c r="V426" s="34"/>
      <c r="W426" s="34"/>
      <c r="X426" s="34"/>
      <c r="Y426" s="34"/>
      <c r="Z426" s="34"/>
      <c r="AA426" s="34"/>
      <c r="AB426" s="34"/>
      <c r="AC426" s="34"/>
      <c r="AD426" s="34"/>
      <c r="AE426" s="34"/>
      <c r="AR426" s="151" t="s">
        <v>237</v>
      </c>
      <c r="AT426" s="151" t="s">
        <v>180</v>
      </c>
      <c r="AU426" s="151" t="s">
        <v>87</v>
      </c>
      <c r="AY426" s="19" t="s">
        <v>177</v>
      </c>
      <c r="BE426" s="152">
        <f>IF(N426="základní",J426,0)</f>
        <v>0</v>
      </c>
      <c r="BF426" s="152">
        <f>IF(N426="snížená",J426,0)</f>
        <v>0</v>
      </c>
      <c r="BG426" s="152">
        <f>IF(N426="zákl. přenesená",J426,0)</f>
        <v>0</v>
      </c>
      <c r="BH426" s="152">
        <f>IF(N426="sníž. přenesená",J426,0)</f>
        <v>0</v>
      </c>
      <c r="BI426" s="152">
        <f>IF(N426="nulová",J426,0)</f>
        <v>0</v>
      </c>
      <c r="BJ426" s="19" t="s">
        <v>85</v>
      </c>
      <c r="BK426" s="152">
        <f>ROUND(I426*H426,2)</f>
        <v>0</v>
      </c>
      <c r="BL426" s="19" t="s">
        <v>237</v>
      </c>
      <c r="BM426" s="151" t="s">
        <v>4264</v>
      </c>
    </row>
    <row r="427" spans="1:65" s="2" customFormat="1">
      <c r="A427" s="34"/>
      <c r="B427" s="35"/>
      <c r="C427" s="34"/>
      <c r="D427" s="153" t="s">
        <v>187</v>
      </c>
      <c r="E427" s="34"/>
      <c r="F427" s="154" t="s">
        <v>3817</v>
      </c>
      <c r="G427" s="34"/>
      <c r="H427" s="34"/>
      <c r="I427" s="155"/>
      <c r="J427" s="34"/>
      <c r="K427" s="34"/>
      <c r="L427" s="35"/>
      <c r="M427" s="156"/>
      <c r="N427" s="157"/>
      <c r="O427" s="55"/>
      <c r="P427" s="55"/>
      <c r="Q427" s="55"/>
      <c r="R427" s="55"/>
      <c r="S427" s="55"/>
      <c r="T427" s="56"/>
      <c r="U427" s="34"/>
      <c r="V427" s="34"/>
      <c r="W427" s="34"/>
      <c r="X427" s="34"/>
      <c r="Y427" s="34"/>
      <c r="Z427" s="34"/>
      <c r="AA427" s="34"/>
      <c r="AB427" s="34"/>
      <c r="AC427" s="34"/>
      <c r="AD427" s="34"/>
      <c r="AE427" s="34"/>
      <c r="AT427" s="19" t="s">
        <v>187</v>
      </c>
      <c r="AU427" s="19" t="s">
        <v>87</v>
      </c>
    </row>
    <row r="428" spans="1:65" s="12" customFormat="1" ht="22.9" customHeight="1">
      <c r="B428" s="126"/>
      <c r="D428" s="127" t="s">
        <v>76</v>
      </c>
      <c r="E428" s="137" t="s">
        <v>4265</v>
      </c>
      <c r="F428" s="137" t="s">
        <v>4266</v>
      </c>
      <c r="I428" s="129"/>
      <c r="J428" s="138">
        <f>BK428</f>
        <v>0</v>
      </c>
      <c r="L428" s="126"/>
      <c r="M428" s="131"/>
      <c r="N428" s="132"/>
      <c r="O428" s="132"/>
      <c r="P428" s="133">
        <f>SUM(P429:P439)</f>
        <v>0</v>
      </c>
      <c r="Q428" s="132"/>
      <c r="R428" s="133">
        <f>SUM(R429:R439)</f>
        <v>6.0843581999999998E-3</v>
      </c>
      <c r="S428" s="132"/>
      <c r="T428" s="134">
        <f>SUM(T429:T439)</f>
        <v>0</v>
      </c>
      <c r="AR428" s="127" t="s">
        <v>87</v>
      </c>
      <c r="AT428" s="135" t="s">
        <v>76</v>
      </c>
      <c r="AU428" s="135" t="s">
        <v>85</v>
      </c>
      <c r="AY428" s="127" t="s">
        <v>177</v>
      </c>
      <c r="BK428" s="136">
        <f>SUM(BK429:BK439)</f>
        <v>0</v>
      </c>
    </row>
    <row r="429" spans="1:65" s="2" customFormat="1" ht="21.75" customHeight="1">
      <c r="A429" s="34"/>
      <c r="B429" s="139"/>
      <c r="C429" s="140" t="s">
        <v>2717</v>
      </c>
      <c r="D429" s="140" t="s">
        <v>180</v>
      </c>
      <c r="E429" s="141" t="s">
        <v>4267</v>
      </c>
      <c r="F429" s="142" t="s">
        <v>4268</v>
      </c>
      <c r="G429" s="143" t="s">
        <v>261</v>
      </c>
      <c r="H429" s="144">
        <v>1</v>
      </c>
      <c r="I429" s="145"/>
      <c r="J429" s="146">
        <f>ROUND(I429*H429,2)</f>
        <v>0</v>
      </c>
      <c r="K429" s="142" t="s">
        <v>184</v>
      </c>
      <c r="L429" s="35"/>
      <c r="M429" s="147" t="s">
        <v>3</v>
      </c>
      <c r="N429" s="148" t="s">
        <v>48</v>
      </c>
      <c r="O429" s="55"/>
      <c r="P429" s="149">
        <f>O429*H429</f>
        <v>0</v>
      </c>
      <c r="Q429" s="149">
        <v>6.0843581999999998E-3</v>
      </c>
      <c r="R429" s="149">
        <f>Q429*H429</f>
        <v>6.0843581999999998E-3</v>
      </c>
      <c r="S429" s="149">
        <v>0</v>
      </c>
      <c r="T429" s="150">
        <f>S429*H429</f>
        <v>0</v>
      </c>
      <c r="U429" s="34"/>
      <c r="V429" s="34"/>
      <c r="W429" s="34"/>
      <c r="X429" s="34"/>
      <c r="Y429" s="34"/>
      <c r="Z429" s="34"/>
      <c r="AA429" s="34"/>
      <c r="AB429" s="34"/>
      <c r="AC429" s="34"/>
      <c r="AD429" s="34"/>
      <c r="AE429" s="34"/>
      <c r="AR429" s="151" t="s">
        <v>237</v>
      </c>
      <c r="AT429" s="151" t="s">
        <v>180</v>
      </c>
      <c r="AU429" s="151" t="s">
        <v>87</v>
      </c>
      <c r="AY429" s="19" t="s">
        <v>177</v>
      </c>
      <c r="BE429" s="152">
        <f>IF(N429="základní",J429,0)</f>
        <v>0</v>
      </c>
      <c r="BF429" s="152">
        <f>IF(N429="snížená",J429,0)</f>
        <v>0</v>
      </c>
      <c r="BG429" s="152">
        <f>IF(N429="zákl. přenesená",J429,0)</f>
        <v>0</v>
      </c>
      <c r="BH429" s="152">
        <f>IF(N429="sníž. přenesená",J429,0)</f>
        <v>0</v>
      </c>
      <c r="BI429" s="152">
        <f>IF(N429="nulová",J429,0)</f>
        <v>0</v>
      </c>
      <c r="BJ429" s="19" t="s">
        <v>85</v>
      </c>
      <c r="BK429" s="152">
        <f>ROUND(I429*H429,2)</f>
        <v>0</v>
      </c>
      <c r="BL429" s="19" t="s">
        <v>237</v>
      </c>
      <c r="BM429" s="151" t="s">
        <v>4269</v>
      </c>
    </row>
    <row r="430" spans="1:65" s="2" customFormat="1" ht="19.5">
      <c r="A430" s="34"/>
      <c r="B430" s="35"/>
      <c r="C430" s="34"/>
      <c r="D430" s="153" t="s">
        <v>187</v>
      </c>
      <c r="E430" s="34"/>
      <c r="F430" s="154" t="s">
        <v>4270</v>
      </c>
      <c r="G430" s="34"/>
      <c r="H430" s="34"/>
      <c r="I430" s="155"/>
      <c r="J430" s="34"/>
      <c r="K430" s="34"/>
      <c r="L430" s="35"/>
      <c r="M430" s="156"/>
      <c r="N430" s="157"/>
      <c r="O430" s="55"/>
      <c r="P430" s="55"/>
      <c r="Q430" s="55"/>
      <c r="R430" s="55"/>
      <c r="S430" s="55"/>
      <c r="T430" s="56"/>
      <c r="U430" s="34"/>
      <c r="V430" s="34"/>
      <c r="W430" s="34"/>
      <c r="X430" s="34"/>
      <c r="Y430" s="34"/>
      <c r="Z430" s="34"/>
      <c r="AA430" s="34"/>
      <c r="AB430" s="34"/>
      <c r="AC430" s="34"/>
      <c r="AD430" s="34"/>
      <c r="AE430" s="34"/>
      <c r="AT430" s="19" t="s">
        <v>187</v>
      </c>
      <c r="AU430" s="19" t="s">
        <v>87</v>
      </c>
    </row>
    <row r="431" spans="1:65" s="2" customFormat="1">
      <c r="A431" s="34"/>
      <c r="B431" s="35"/>
      <c r="C431" s="34"/>
      <c r="D431" s="158" t="s">
        <v>189</v>
      </c>
      <c r="E431" s="34"/>
      <c r="F431" s="159" t="s">
        <v>4271</v>
      </c>
      <c r="G431" s="34"/>
      <c r="H431" s="34"/>
      <c r="I431" s="155"/>
      <c r="J431" s="34"/>
      <c r="K431" s="34"/>
      <c r="L431" s="35"/>
      <c r="M431" s="156"/>
      <c r="N431" s="157"/>
      <c r="O431" s="55"/>
      <c r="P431" s="55"/>
      <c r="Q431" s="55"/>
      <c r="R431" s="55"/>
      <c r="S431" s="55"/>
      <c r="T431" s="56"/>
      <c r="U431" s="34"/>
      <c r="V431" s="34"/>
      <c r="W431" s="34"/>
      <c r="X431" s="34"/>
      <c r="Y431" s="34"/>
      <c r="Z431" s="34"/>
      <c r="AA431" s="34"/>
      <c r="AB431" s="34"/>
      <c r="AC431" s="34"/>
      <c r="AD431" s="34"/>
      <c r="AE431" s="34"/>
      <c r="AT431" s="19" t="s">
        <v>189</v>
      </c>
      <c r="AU431" s="19" t="s">
        <v>87</v>
      </c>
    </row>
    <row r="432" spans="1:65" s="2" customFormat="1" ht="16.5" customHeight="1">
      <c r="A432" s="34"/>
      <c r="B432" s="139"/>
      <c r="C432" s="140" t="s">
        <v>2722</v>
      </c>
      <c r="D432" s="140" t="s">
        <v>180</v>
      </c>
      <c r="E432" s="141" t="s">
        <v>4272</v>
      </c>
      <c r="F432" s="142" t="s">
        <v>4273</v>
      </c>
      <c r="G432" s="143" t="s">
        <v>183</v>
      </c>
      <c r="H432" s="144">
        <v>6.0000000000000001E-3</v>
      </c>
      <c r="I432" s="145"/>
      <c r="J432" s="146">
        <f>ROUND(I432*H432,2)</f>
        <v>0</v>
      </c>
      <c r="K432" s="142" t="s">
        <v>184</v>
      </c>
      <c r="L432" s="35"/>
      <c r="M432" s="147" t="s">
        <v>3</v>
      </c>
      <c r="N432" s="148" t="s">
        <v>48</v>
      </c>
      <c r="O432" s="55"/>
      <c r="P432" s="149">
        <f>O432*H432</f>
        <v>0</v>
      </c>
      <c r="Q432" s="149">
        <v>0</v>
      </c>
      <c r="R432" s="149">
        <f>Q432*H432</f>
        <v>0</v>
      </c>
      <c r="S432" s="149">
        <v>0</v>
      </c>
      <c r="T432" s="150">
        <f>S432*H432</f>
        <v>0</v>
      </c>
      <c r="U432" s="34"/>
      <c r="V432" s="34"/>
      <c r="W432" s="34"/>
      <c r="X432" s="34"/>
      <c r="Y432" s="34"/>
      <c r="Z432" s="34"/>
      <c r="AA432" s="34"/>
      <c r="AB432" s="34"/>
      <c r="AC432" s="34"/>
      <c r="AD432" s="34"/>
      <c r="AE432" s="34"/>
      <c r="AR432" s="151" t="s">
        <v>237</v>
      </c>
      <c r="AT432" s="151" t="s">
        <v>180</v>
      </c>
      <c r="AU432" s="151" t="s">
        <v>87</v>
      </c>
      <c r="AY432" s="19" t="s">
        <v>177</v>
      </c>
      <c r="BE432" s="152">
        <f>IF(N432="základní",J432,0)</f>
        <v>0</v>
      </c>
      <c r="BF432" s="152">
        <f>IF(N432="snížená",J432,0)</f>
        <v>0</v>
      </c>
      <c r="BG432" s="152">
        <f>IF(N432="zákl. přenesená",J432,0)</f>
        <v>0</v>
      </c>
      <c r="BH432" s="152">
        <f>IF(N432="sníž. přenesená",J432,0)</f>
        <v>0</v>
      </c>
      <c r="BI432" s="152">
        <f>IF(N432="nulová",J432,0)</f>
        <v>0</v>
      </c>
      <c r="BJ432" s="19" t="s">
        <v>85</v>
      </c>
      <c r="BK432" s="152">
        <f>ROUND(I432*H432,2)</f>
        <v>0</v>
      </c>
      <c r="BL432" s="19" t="s">
        <v>237</v>
      </c>
      <c r="BM432" s="151" t="s">
        <v>4274</v>
      </c>
    </row>
    <row r="433" spans="1:65" s="2" customFormat="1" ht="19.5">
      <c r="A433" s="34"/>
      <c r="B433" s="35"/>
      <c r="C433" s="34"/>
      <c r="D433" s="153" t="s">
        <v>187</v>
      </c>
      <c r="E433" s="34"/>
      <c r="F433" s="154" t="s">
        <v>4275</v>
      </c>
      <c r="G433" s="34"/>
      <c r="H433" s="34"/>
      <c r="I433" s="155"/>
      <c r="J433" s="34"/>
      <c r="K433" s="34"/>
      <c r="L433" s="35"/>
      <c r="M433" s="156"/>
      <c r="N433" s="157"/>
      <c r="O433" s="55"/>
      <c r="P433" s="55"/>
      <c r="Q433" s="55"/>
      <c r="R433" s="55"/>
      <c r="S433" s="55"/>
      <c r="T433" s="56"/>
      <c r="U433" s="34"/>
      <c r="V433" s="34"/>
      <c r="W433" s="34"/>
      <c r="X433" s="34"/>
      <c r="Y433" s="34"/>
      <c r="Z433" s="34"/>
      <c r="AA433" s="34"/>
      <c r="AB433" s="34"/>
      <c r="AC433" s="34"/>
      <c r="AD433" s="34"/>
      <c r="AE433" s="34"/>
      <c r="AT433" s="19" t="s">
        <v>187</v>
      </c>
      <c r="AU433" s="19" t="s">
        <v>87</v>
      </c>
    </row>
    <row r="434" spans="1:65" s="2" customFormat="1">
      <c r="A434" s="34"/>
      <c r="B434" s="35"/>
      <c r="C434" s="34"/>
      <c r="D434" s="158" t="s">
        <v>189</v>
      </c>
      <c r="E434" s="34"/>
      <c r="F434" s="159" t="s">
        <v>4276</v>
      </c>
      <c r="G434" s="34"/>
      <c r="H434" s="34"/>
      <c r="I434" s="155"/>
      <c r="J434" s="34"/>
      <c r="K434" s="34"/>
      <c r="L434" s="35"/>
      <c r="M434" s="156"/>
      <c r="N434" s="157"/>
      <c r="O434" s="55"/>
      <c r="P434" s="55"/>
      <c r="Q434" s="55"/>
      <c r="R434" s="55"/>
      <c r="S434" s="55"/>
      <c r="T434" s="56"/>
      <c r="U434" s="34"/>
      <c r="V434" s="34"/>
      <c r="W434" s="34"/>
      <c r="X434" s="34"/>
      <c r="Y434" s="34"/>
      <c r="Z434" s="34"/>
      <c r="AA434" s="34"/>
      <c r="AB434" s="34"/>
      <c r="AC434" s="34"/>
      <c r="AD434" s="34"/>
      <c r="AE434" s="34"/>
      <c r="AT434" s="19" t="s">
        <v>189</v>
      </c>
      <c r="AU434" s="19" t="s">
        <v>87</v>
      </c>
    </row>
    <row r="435" spans="1:65" s="2" customFormat="1" ht="78">
      <c r="A435" s="34"/>
      <c r="B435" s="35"/>
      <c r="C435" s="34"/>
      <c r="D435" s="153" t="s">
        <v>191</v>
      </c>
      <c r="E435" s="34"/>
      <c r="F435" s="160" t="s">
        <v>1440</v>
      </c>
      <c r="G435" s="34"/>
      <c r="H435" s="34"/>
      <c r="I435" s="155"/>
      <c r="J435" s="34"/>
      <c r="K435" s="34"/>
      <c r="L435" s="35"/>
      <c r="M435" s="156"/>
      <c r="N435" s="157"/>
      <c r="O435" s="55"/>
      <c r="P435" s="55"/>
      <c r="Q435" s="55"/>
      <c r="R435" s="55"/>
      <c r="S435" s="55"/>
      <c r="T435" s="56"/>
      <c r="U435" s="34"/>
      <c r="V435" s="34"/>
      <c r="W435" s="34"/>
      <c r="X435" s="34"/>
      <c r="Y435" s="34"/>
      <c r="Z435" s="34"/>
      <c r="AA435" s="34"/>
      <c r="AB435" s="34"/>
      <c r="AC435" s="34"/>
      <c r="AD435" s="34"/>
      <c r="AE435" s="34"/>
      <c r="AT435" s="19" t="s">
        <v>191</v>
      </c>
      <c r="AU435" s="19" t="s">
        <v>87</v>
      </c>
    </row>
    <row r="436" spans="1:65" s="2" customFormat="1" ht="16.5" customHeight="1">
      <c r="A436" s="34"/>
      <c r="B436" s="139"/>
      <c r="C436" s="140" t="s">
        <v>2724</v>
      </c>
      <c r="D436" s="140" t="s">
        <v>180</v>
      </c>
      <c r="E436" s="141" t="s">
        <v>4277</v>
      </c>
      <c r="F436" s="142" t="s">
        <v>4278</v>
      </c>
      <c r="G436" s="143" t="s">
        <v>183</v>
      </c>
      <c r="H436" s="144">
        <v>6.0000000000000001E-3</v>
      </c>
      <c r="I436" s="145"/>
      <c r="J436" s="146">
        <f>ROUND(I436*H436,2)</f>
        <v>0</v>
      </c>
      <c r="K436" s="142" t="s">
        <v>184</v>
      </c>
      <c r="L436" s="35"/>
      <c r="M436" s="147" t="s">
        <v>3</v>
      </c>
      <c r="N436" s="148" t="s">
        <v>48</v>
      </c>
      <c r="O436" s="55"/>
      <c r="P436" s="149">
        <f>O436*H436</f>
        <v>0</v>
      </c>
      <c r="Q436" s="149">
        <v>0</v>
      </c>
      <c r="R436" s="149">
        <f>Q436*H436</f>
        <v>0</v>
      </c>
      <c r="S436" s="149">
        <v>0</v>
      </c>
      <c r="T436" s="150">
        <f>S436*H436</f>
        <v>0</v>
      </c>
      <c r="U436" s="34"/>
      <c r="V436" s="34"/>
      <c r="W436" s="34"/>
      <c r="X436" s="34"/>
      <c r="Y436" s="34"/>
      <c r="Z436" s="34"/>
      <c r="AA436" s="34"/>
      <c r="AB436" s="34"/>
      <c r="AC436" s="34"/>
      <c r="AD436" s="34"/>
      <c r="AE436" s="34"/>
      <c r="AR436" s="151" t="s">
        <v>237</v>
      </c>
      <c r="AT436" s="151" t="s">
        <v>180</v>
      </c>
      <c r="AU436" s="151" t="s">
        <v>87</v>
      </c>
      <c r="AY436" s="19" t="s">
        <v>177</v>
      </c>
      <c r="BE436" s="152">
        <f>IF(N436="základní",J436,0)</f>
        <v>0</v>
      </c>
      <c r="BF436" s="152">
        <f>IF(N436="snížená",J436,0)</f>
        <v>0</v>
      </c>
      <c r="BG436" s="152">
        <f>IF(N436="zákl. přenesená",J436,0)</f>
        <v>0</v>
      </c>
      <c r="BH436" s="152">
        <f>IF(N436="sníž. přenesená",J436,0)</f>
        <v>0</v>
      </c>
      <c r="BI436" s="152">
        <f>IF(N436="nulová",J436,0)</f>
        <v>0</v>
      </c>
      <c r="BJ436" s="19" t="s">
        <v>85</v>
      </c>
      <c r="BK436" s="152">
        <f>ROUND(I436*H436,2)</f>
        <v>0</v>
      </c>
      <c r="BL436" s="19" t="s">
        <v>237</v>
      </c>
      <c r="BM436" s="151" t="s">
        <v>4279</v>
      </c>
    </row>
    <row r="437" spans="1:65" s="2" customFormat="1" ht="19.5">
      <c r="A437" s="34"/>
      <c r="B437" s="35"/>
      <c r="C437" s="34"/>
      <c r="D437" s="153" t="s">
        <v>187</v>
      </c>
      <c r="E437" s="34"/>
      <c r="F437" s="154" t="s">
        <v>4280</v>
      </c>
      <c r="G437" s="34"/>
      <c r="H437" s="34"/>
      <c r="I437" s="155"/>
      <c r="J437" s="34"/>
      <c r="K437" s="34"/>
      <c r="L437" s="35"/>
      <c r="M437" s="156"/>
      <c r="N437" s="157"/>
      <c r="O437" s="55"/>
      <c r="P437" s="55"/>
      <c r="Q437" s="55"/>
      <c r="R437" s="55"/>
      <c r="S437" s="55"/>
      <c r="T437" s="56"/>
      <c r="U437" s="34"/>
      <c r="V437" s="34"/>
      <c r="W437" s="34"/>
      <c r="X437" s="34"/>
      <c r="Y437" s="34"/>
      <c r="Z437" s="34"/>
      <c r="AA437" s="34"/>
      <c r="AB437" s="34"/>
      <c r="AC437" s="34"/>
      <c r="AD437" s="34"/>
      <c r="AE437" s="34"/>
      <c r="AT437" s="19" t="s">
        <v>187</v>
      </c>
      <c r="AU437" s="19" t="s">
        <v>87</v>
      </c>
    </row>
    <row r="438" spans="1:65" s="2" customFormat="1">
      <c r="A438" s="34"/>
      <c r="B438" s="35"/>
      <c r="C438" s="34"/>
      <c r="D438" s="158" t="s">
        <v>189</v>
      </c>
      <c r="E438" s="34"/>
      <c r="F438" s="159" t="s">
        <v>4281</v>
      </c>
      <c r="G438" s="34"/>
      <c r="H438" s="34"/>
      <c r="I438" s="155"/>
      <c r="J438" s="34"/>
      <c r="K438" s="34"/>
      <c r="L438" s="35"/>
      <c r="M438" s="156"/>
      <c r="N438" s="157"/>
      <c r="O438" s="55"/>
      <c r="P438" s="55"/>
      <c r="Q438" s="55"/>
      <c r="R438" s="55"/>
      <c r="S438" s="55"/>
      <c r="T438" s="56"/>
      <c r="U438" s="34"/>
      <c r="V438" s="34"/>
      <c r="W438" s="34"/>
      <c r="X438" s="34"/>
      <c r="Y438" s="34"/>
      <c r="Z438" s="34"/>
      <c r="AA438" s="34"/>
      <c r="AB438" s="34"/>
      <c r="AC438" s="34"/>
      <c r="AD438" s="34"/>
      <c r="AE438" s="34"/>
      <c r="AT438" s="19" t="s">
        <v>189</v>
      </c>
      <c r="AU438" s="19" t="s">
        <v>87</v>
      </c>
    </row>
    <row r="439" spans="1:65" s="2" customFormat="1" ht="78">
      <c r="A439" s="34"/>
      <c r="B439" s="35"/>
      <c r="C439" s="34"/>
      <c r="D439" s="153" t="s">
        <v>191</v>
      </c>
      <c r="E439" s="34"/>
      <c r="F439" s="160" t="s">
        <v>1440</v>
      </c>
      <c r="G439" s="34"/>
      <c r="H439" s="34"/>
      <c r="I439" s="155"/>
      <c r="J439" s="34"/>
      <c r="K439" s="34"/>
      <c r="L439" s="35"/>
      <c r="M439" s="156"/>
      <c r="N439" s="157"/>
      <c r="O439" s="55"/>
      <c r="P439" s="55"/>
      <c r="Q439" s="55"/>
      <c r="R439" s="55"/>
      <c r="S439" s="55"/>
      <c r="T439" s="56"/>
      <c r="U439" s="34"/>
      <c r="V439" s="34"/>
      <c r="W439" s="34"/>
      <c r="X439" s="34"/>
      <c r="Y439" s="34"/>
      <c r="Z439" s="34"/>
      <c r="AA439" s="34"/>
      <c r="AB439" s="34"/>
      <c r="AC439" s="34"/>
      <c r="AD439" s="34"/>
      <c r="AE439" s="34"/>
      <c r="AT439" s="19" t="s">
        <v>191</v>
      </c>
      <c r="AU439" s="19" t="s">
        <v>87</v>
      </c>
    </row>
    <row r="440" spans="1:65" s="12" customFormat="1" ht="25.9" customHeight="1">
      <c r="B440" s="126"/>
      <c r="D440" s="127" t="s">
        <v>76</v>
      </c>
      <c r="E440" s="128" t="s">
        <v>313</v>
      </c>
      <c r="F440" s="128" t="s">
        <v>314</v>
      </c>
      <c r="I440" s="129"/>
      <c r="J440" s="130">
        <f>BK440</f>
        <v>0</v>
      </c>
      <c r="L440" s="126"/>
      <c r="M440" s="131"/>
      <c r="N440" s="132"/>
      <c r="O440" s="132"/>
      <c r="P440" s="133">
        <f>SUM(P441:P445)</f>
        <v>0</v>
      </c>
      <c r="Q440" s="132"/>
      <c r="R440" s="133">
        <f>SUM(R441:R445)</f>
        <v>0</v>
      </c>
      <c r="S440" s="132"/>
      <c r="T440" s="134">
        <f>SUM(T441:T445)</f>
        <v>0</v>
      </c>
      <c r="AR440" s="127" t="s">
        <v>185</v>
      </c>
      <c r="AT440" s="135" t="s">
        <v>76</v>
      </c>
      <c r="AU440" s="135" t="s">
        <v>77</v>
      </c>
      <c r="AY440" s="127" t="s">
        <v>177</v>
      </c>
      <c r="BK440" s="136">
        <f>SUM(BK441:BK445)</f>
        <v>0</v>
      </c>
    </row>
    <row r="441" spans="1:65" s="2" customFormat="1" ht="16.5" customHeight="1">
      <c r="A441" s="34"/>
      <c r="B441" s="139"/>
      <c r="C441" s="140" t="s">
        <v>2731</v>
      </c>
      <c r="D441" s="140" t="s">
        <v>180</v>
      </c>
      <c r="E441" s="141" t="s">
        <v>528</v>
      </c>
      <c r="F441" s="142" t="s">
        <v>529</v>
      </c>
      <c r="G441" s="143" t="s">
        <v>305</v>
      </c>
      <c r="H441" s="144">
        <v>100</v>
      </c>
      <c r="I441" s="145"/>
      <c r="J441" s="146">
        <f>ROUND(I441*H441,2)</f>
        <v>0</v>
      </c>
      <c r="K441" s="142" t="s">
        <v>184</v>
      </c>
      <c r="L441" s="35"/>
      <c r="M441" s="147" t="s">
        <v>3</v>
      </c>
      <c r="N441" s="148" t="s">
        <v>48</v>
      </c>
      <c r="O441" s="55"/>
      <c r="P441" s="149">
        <f>O441*H441</f>
        <v>0</v>
      </c>
      <c r="Q441" s="149">
        <v>0</v>
      </c>
      <c r="R441" s="149">
        <f>Q441*H441</f>
        <v>0</v>
      </c>
      <c r="S441" s="149">
        <v>0</v>
      </c>
      <c r="T441" s="150">
        <f>S441*H441</f>
        <v>0</v>
      </c>
      <c r="U441" s="34"/>
      <c r="V441" s="34"/>
      <c r="W441" s="34"/>
      <c r="X441" s="34"/>
      <c r="Y441" s="34"/>
      <c r="Z441" s="34"/>
      <c r="AA441" s="34"/>
      <c r="AB441" s="34"/>
      <c r="AC441" s="34"/>
      <c r="AD441" s="34"/>
      <c r="AE441" s="34"/>
      <c r="AR441" s="151" t="s">
        <v>318</v>
      </c>
      <c r="AT441" s="151" t="s">
        <v>180</v>
      </c>
      <c r="AU441" s="151" t="s">
        <v>85</v>
      </c>
      <c r="AY441" s="19" t="s">
        <v>177</v>
      </c>
      <c r="BE441" s="152">
        <f>IF(N441="základní",J441,0)</f>
        <v>0</v>
      </c>
      <c r="BF441" s="152">
        <f>IF(N441="snížená",J441,0)</f>
        <v>0</v>
      </c>
      <c r="BG441" s="152">
        <f>IF(N441="zákl. přenesená",J441,0)</f>
        <v>0</v>
      </c>
      <c r="BH441" s="152">
        <f>IF(N441="sníž. přenesená",J441,0)</f>
        <v>0</v>
      </c>
      <c r="BI441" s="152">
        <f>IF(N441="nulová",J441,0)</f>
        <v>0</v>
      </c>
      <c r="BJ441" s="19" t="s">
        <v>85</v>
      </c>
      <c r="BK441" s="152">
        <f>ROUND(I441*H441,2)</f>
        <v>0</v>
      </c>
      <c r="BL441" s="19" t="s">
        <v>318</v>
      </c>
      <c r="BM441" s="151" t="s">
        <v>4282</v>
      </c>
    </row>
    <row r="442" spans="1:65" s="2" customFormat="1">
      <c r="A442" s="34"/>
      <c r="B442" s="35"/>
      <c r="C442" s="34"/>
      <c r="D442" s="153" t="s">
        <v>187</v>
      </c>
      <c r="E442" s="34"/>
      <c r="F442" s="154" t="s">
        <v>531</v>
      </c>
      <c r="G442" s="34"/>
      <c r="H442" s="34"/>
      <c r="I442" s="155"/>
      <c r="J442" s="34"/>
      <c r="K442" s="34"/>
      <c r="L442" s="35"/>
      <c r="M442" s="156"/>
      <c r="N442" s="157"/>
      <c r="O442" s="55"/>
      <c r="P442" s="55"/>
      <c r="Q442" s="55"/>
      <c r="R442" s="55"/>
      <c r="S442" s="55"/>
      <c r="T442" s="56"/>
      <c r="U442" s="34"/>
      <c r="V442" s="34"/>
      <c r="W442" s="34"/>
      <c r="X442" s="34"/>
      <c r="Y442" s="34"/>
      <c r="Z442" s="34"/>
      <c r="AA442" s="34"/>
      <c r="AB442" s="34"/>
      <c r="AC442" s="34"/>
      <c r="AD442" s="34"/>
      <c r="AE442" s="34"/>
      <c r="AT442" s="19" t="s">
        <v>187</v>
      </c>
      <c r="AU442" s="19" t="s">
        <v>85</v>
      </c>
    </row>
    <row r="443" spans="1:65" s="2" customFormat="1">
      <c r="A443" s="34"/>
      <c r="B443" s="35"/>
      <c r="C443" s="34"/>
      <c r="D443" s="158" t="s">
        <v>189</v>
      </c>
      <c r="E443" s="34"/>
      <c r="F443" s="159" t="s">
        <v>532</v>
      </c>
      <c r="G443" s="34"/>
      <c r="H443" s="34"/>
      <c r="I443" s="155"/>
      <c r="J443" s="34"/>
      <c r="K443" s="34"/>
      <c r="L443" s="35"/>
      <c r="M443" s="156"/>
      <c r="N443" s="157"/>
      <c r="O443" s="55"/>
      <c r="P443" s="55"/>
      <c r="Q443" s="55"/>
      <c r="R443" s="55"/>
      <c r="S443" s="55"/>
      <c r="T443" s="56"/>
      <c r="U443" s="34"/>
      <c r="V443" s="34"/>
      <c r="W443" s="34"/>
      <c r="X443" s="34"/>
      <c r="Y443" s="34"/>
      <c r="Z443" s="34"/>
      <c r="AA443" s="34"/>
      <c r="AB443" s="34"/>
      <c r="AC443" s="34"/>
      <c r="AD443" s="34"/>
      <c r="AE443" s="34"/>
      <c r="AT443" s="19" t="s">
        <v>189</v>
      </c>
      <c r="AU443" s="19" t="s">
        <v>85</v>
      </c>
    </row>
    <row r="444" spans="1:65" s="14" customFormat="1">
      <c r="B444" s="169"/>
      <c r="D444" s="153" t="s">
        <v>193</v>
      </c>
      <c r="E444" s="170" t="s">
        <v>3</v>
      </c>
      <c r="F444" s="171" t="s">
        <v>3829</v>
      </c>
      <c r="H444" s="170" t="s">
        <v>3</v>
      </c>
      <c r="I444" s="172"/>
      <c r="L444" s="169"/>
      <c r="M444" s="173"/>
      <c r="N444" s="174"/>
      <c r="O444" s="174"/>
      <c r="P444" s="174"/>
      <c r="Q444" s="174"/>
      <c r="R444" s="174"/>
      <c r="S444" s="174"/>
      <c r="T444" s="175"/>
      <c r="AT444" s="170" t="s">
        <v>193</v>
      </c>
      <c r="AU444" s="170" t="s">
        <v>85</v>
      </c>
      <c r="AV444" s="14" t="s">
        <v>85</v>
      </c>
      <c r="AW444" s="14" t="s">
        <v>36</v>
      </c>
      <c r="AX444" s="14" t="s">
        <v>77</v>
      </c>
      <c r="AY444" s="170" t="s">
        <v>177</v>
      </c>
    </row>
    <row r="445" spans="1:65" s="13" customFormat="1">
      <c r="B445" s="161"/>
      <c r="D445" s="153" t="s">
        <v>193</v>
      </c>
      <c r="E445" s="162" t="s">
        <v>3</v>
      </c>
      <c r="F445" s="163" t="s">
        <v>2775</v>
      </c>
      <c r="H445" s="164">
        <v>100</v>
      </c>
      <c r="I445" s="165"/>
      <c r="L445" s="161"/>
      <c r="M445" s="192"/>
      <c r="N445" s="193"/>
      <c r="O445" s="193"/>
      <c r="P445" s="193"/>
      <c r="Q445" s="193"/>
      <c r="R445" s="193"/>
      <c r="S445" s="193"/>
      <c r="T445" s="194"/>
      <c r="AT445" s="162" t="s">
        <v>193</v>
      </c>
      <c r="AU445" s="162" t="s">
        <v>85</v>
      </c>
      <c r="AV445" s="13" t="s">
        <v>87</v>
      </c>
      <c r="AW445" s="13" t="s">
        <v>36</v>
      </c>
      <c r="AX445" s="13" t="s">
        <v>85</v>
      </c>
      <c r="AY445" s="162" t="s">
        <v>177</v>
      </c>
    </row>
    <row r="446" spans="1:65" s="2" customFormat="1" ht="6.95" customHeight="1">
      <c r="A446" s="34"/>
      <c r="B446" s="44"/>
      <c r="C446" s="45"/>
      <c r="D446" s="45"/>
      <c r="E446" s="45"/>
      <c r="F446" s="45"/>
      <c r="G446" s="45"/>
      <c r="H446" s="45"/>
      <c r="I446" s="45"/>
      <c r="J446" s="45"/>
      <c r="K446" s="45"/>
      <c r="L446" s="35"/>
      <c r="M446" s="34"/>
      <c r="O446" s="34"/>
      <c r="P446" s="34"/>
      <c r="Q446" s="34"/>
      <c r="R446" s="34"/>
      <c r="S446" s="34"/>
      <c r="T446" s="34"/>
      <c r="U446" s="34"/>
      <c r="V446" s="34"/>
      <c r="W446" s="34"/>
      <c r="X446" s="34"/>
      <c r="Y446" s="34"/>
      <c r="Z446" s="34"/>
      <c r="AA446" s="34"/>
      <c r="AB446" s="34"/>
      <c r="AC446" s="34"/>
      <c r="AD446" s="34"/>
      <c r="AE446" s="34"/>
    </row>
  </sheetData>
  <autoFilter ref="C92:K445"/>
  <mergeCells count="9">
    <mergeCell ref="E50:H50"/>
    <mergeCell ref="E83:H83"/>
    <mergeCell ref="E85:H85"/>
    <mergeCell ref="L2:V2"/>
    <mergeCell ref="E7:H7"/>
    <mergeCell ref="E9:H9"/>
    <mergeCell ref="E18:H18"/>
    <mergeCell ref="E27:H27"/>
    <mergeCell ref="E48:H48"/>
  </mergeCells>
  <hyperlinks>
    <hyperlink ref="F98" r:id="rId1"/>
    <hyperlink ref="F102" r:id="rId2"/>
    <hyperlink ref="F106" r:id="rId3"/>
    <hyperlink ref="F111" r:id="rId4"/>
    <hyperlink ref="F116" r:id="rId5"/>
    <hyperlink ref="F120" r:id="rId6"/>
    <hyperlink ref="F125" r:id="rId7"/>
    <hyperlink ref="F134" r:id="rId8"/>
    <hyperlink ref="F140" r:id="rId9"/>
    <hyperlink ref="F143" r:id="rId10"/>
    <hyperlink ref="F147" r:id="rId11"/>
    <hyperlink ref="F156" r:id="rId12"/>
    <hyperlink ref="F162" r:id="rId13"/>
    <hyperlink ref="F167" r:id="rId14"/>
    <hyperlink ref="F171" r:id="rId15"/>
    <hyperlink ref="F175" r:id="rId16"/>
    <hyperlink ref="F179" r:id="rId17"/>
    <hyperlink ref="F183" r:id="rId18"/>
    <hyperlink ref="F187" r:id="rId19"/>
    <hyperlink ref="F191" r:id="rId20"/>
    <hyperlink ref="F195" r:id="rId21"/>
    <hyperlink ref="F199" r:id="rId22"/>
    <hyperlink ref="F203" r:id="rId23"/>
    <hyperlink ref="F208" r:id="rId24"/>
    <hyperlink ref="F213" r:id="rId25"/>
    <hyperlink ref="F217" r:id="rId26"/>
    <hyperlink ref="F221" r:id="rId27"/>
    <hyperlink ref="F224" r:id="rId28"/>
    <hyperlink ref="F227" r:id="rId29"/>
    <hyperlink ref="F230" r:id="rId30"/>
    <hyperlink ref="F233" r:id="rId31"/>
    <hyperlink ref="F237" r:id="rId32"/>
    <hyperlink ref="F252" r:id="rId33"/>
    <hyperlink ref="F255" r:id="rId34"/>
    <hyperlink ref="F258" r:id="rId35"/>
    <hyperlink ref="F261" r:id="rId36"/>
    <hyperlink ref="F264" r:id="rId37"/>
    <hyperlink ref="F267" r:id="rId38"/>
    <hyperlink ref="F270" r:id="rId39"/>
    <hyperlink ref="F273" r:id="rId40"/>
    <hyperlink ref="F276" r:id="rId41"/>
    <hyperlink ref="F279" r:id="rId42"/>
    <hyperlink ref="F283" r:id="rId43"/>
    <hyperlink ref="F287" r:id="rId44"/>
    <hyperlink ref="F291" r:id="rId45"/>
    <hyperlink ref="F295" r:id="rId46"/>
    <hyperlink ref="F299" r:id="rId47"/>
    <hyperlink ref="F303" r:id="rId48"/>
    <hyperlink ref="F307" r:id="rId49"/>
    <hyperlink ref="F310" r:id="rId50"/>
    <hyperlink ref="F313" r:id="rId51"/>
    <hyperlink ref="F317" r:id="rId52"/>
    <hyperlink ref="F321" r:id="rId53"/>
    <hyperlink ref="F325" r:id="rId54"/>
    <hyperlink ref="F330" r:id="rId55"/>
    <hyperlink ref="F334" r:id="rId56"/>
    <hyperlink ref="F338" r:id="rId57"/>
    <hyperlink ref="F341" r:id="rId58"/>
    <hyperlink ref="F344" r:id="rId59"/>
    <hyperlink ref="F348" r:id="rId60"/>
    <hyperlink ref="F352" r:id="rId61"/>
    <hyperlink ref="F356" r:id="rId62"/>
    <hyperlink ref="F359" r:id="rId63"/>
    <hyperlink ref="F362" r:id="rId64"/>
    <hyperlink ref="F365" r:id="rId65"/>
    <hyperlink ref="F368" r:id="rId66"/>
    <hyperlink ref="F371" r:id="rId67"/>
    <hyperlink ref="F377" r:id="rId68"/>
    <hyperlink ref="F380" r:id="rId69"/>
    <hyperlink ref="F384" r:id="rId70"/>
    <hyperlink ref="F390" r:id="rId71"/>
    <hyperlink ref="F394" r:id="rId72"/>
    <hyperlink ref="F398" r:id="rId73"/>
    <hyperlink ref="F402" r:id="rId74"/>
    <hyperlink ref="F407" r:id="rId75"/>
    <hyperlink ref="F411" r:id="rId76"/>
    <hyperlink ref="F415" r:id="rId77"/>
    <hyperlink ref="F419" r:id="rId78"/>
    <hyperlink ref="F423" r:id="rId79"/>
    <hyperlink ref="F431" r:id="rId80"/>
    <hyperlink ref="F434" r:id="rId81"/>
    <hyperlink ref="F438" r:id="rId82"/>
    <hyperlink ref="F443" r:id="rId83"/>
  </hyperlinks>
  <pageMargins left="0.39374999999999999" right="0.39374999999999999" top="0.39374999999999999" bottom="0.39374999999999999" header="0" footer="0"/>
  <pageSetup paperSize="9" scale="84" fitToHeight="100" orientation="landscape" blackAndWhite="1" r:id="rId84"/>
  <headerFooter>
    <oddFooter>&amp;CStrana &amp;P z &amp;N</oddFooter>
  </headerFooter>
  <drawing r:id="rId8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141</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4283</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ROUND(J82,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ROUND((SUM(BE82:BE96)),  2)</f>
        <v>0</v>
      </c>
      <c r="G33" s="34"/>
      <c r="H33" s="34"/>
      <c r="I33" s="98">
        <v>0.21</v>
      </c>
      <c r="J33" s="97">
        <f>ROUND(((SUM(BE82:BE96))*I33),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ROUND((SUM(BF82:BF96)),  2)</f>
        <v>0</v>
      </c>
      <c r="G34" s="34"/>
      <c r="H34" s="34"/>
      <c r="I34" s="98">
        <v>0.15</v>
      </c>
      <c r="J34" s="97">
        <f>ROUND(((SUM(BF82:BF96))*I34),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ROUND((SUM(BG82:BG96)),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ROUND((SUM(BH82:BH96)),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ROUND((SUM(BI82:BI96)),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SO 5 - VZT</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J82</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155</v>
      </c>
      <c r="E60" s="110"/>
      <c r="F60" s="110"/>
      <c r="G60" s="110"/>
      <c r="H60" s="110"/>
      <c r="I60" s="110"/>
      <c r="J60" s="111">
        <f>J83</f>
        <v>0</v>
      </c>
      <c r="L60" s="108"/>
    </row>
    <row r="61" spans="1:47" s="10" customFormat="1" ht="19.899999999999999" customHeight="1">
      <c r="B61" s="112"/>
      <c r="D61" s="113" t="s">
        <v>160</v>
      </c>
      <c r="E61" s="114"/>
      <c r="F61" s="114"/>
      <c r="G61" s="114"/>
      <c r="H61" s="114"/>
      <c r="I61" s="114"/>
      <c r="J61" s="115">
        <f>J84</f>
        <v>0</v>
      </c>
      <c r="L61" s="112"/>
    </row>
    <row r="62" spans="1:47" s="9" customFormat="1" ht="24.95" customHeight="1">
      <c r="B62" s="108"/>
      <c r="D62" s="109" t="s">
        <v>161</v>
      </c>
      <c r="E62" s="110"/>
      <c r="F62" s="110"/>
      <c r="G62" s="110"/>
      <c r="H62" s="110"/>
      <c r="I62" s="110"/>
      <c r="J62" s="111">
        <f>J91</f>
        <v>0</v>
      </c>
      <c r="L62" s="108"/>
    </row>
    <row r="63" spans="1:47" s="2" customFormat="1" ht="21.75" customHeight="1">
      <c r="A63" s="34"/>
      <c r="B63" s="35"/>
      <c r="C63" s="34"/>
      <c r="D63" s="34"/>
      <c r="E63" s="34"/>
      <c r="F63" s="34"/>
      <c r="G63" s="34"/>
      <c r="H63" s="34"/>
      <c r="I63" s="34"/>
      <c r="J63" s="34"/>
      <c r="K63" s="34"/>
      <c r="L63" s="91"/>
      <c r="S63" s="34"/>
      <c r="T63" s="34"/>
      <c r="U63" s="34"/>
      <c r="V63" s="34"/>
      <c r="W63" s="34"/>
      <c r="X63" s="34"/>
      <c r="Y63" s="34"/>
      <c r="Z63" s="34"/>
      <c r="AA63" s="34"/>
      <c r="AB63" s="34"/>
      <c r="AC63" s="34"/>
      <c r="AD63" s="34"/>
      <c r="AE63" s="34"/>
    </row>
    <row r="64" spans="1:47" s="2" customFormat="1" ht="6.95" customHeight="1">
      <c r="A64" s="34"/>
      <c r="B64" s="44"/>
      <c r="C64" s="45"/>
      <c r="D64" s="45"/>
      <c r="E64" s="45"/>
      <c r="F64" s="45"/>
      <c r="G64" s="45"/>
      <c r="H64" s="45"/>
      <c r="I64" s="45"/>
      <c r="J64" s="45"/>
      <c r="K64" s="45"/>
      <c r="L64" s="91"/>
      <c r="S64" s="34"/>
      <c r="T64" s="34"/>
      <c r="U64" s="34"/>
      <c r="V64" s="34"/>
      <c r="W64" s="34"/>
      <c r="X64" s="34"/>
      <c r="Y64" s="34"/>
      <c r="Z64" s="34"/>
      <c r="AA64" s="34"/>
      <c r="AB64" s="34"/>
      <c r="AC64" s="34"/>
      <c r="AD64" s="34"/>
      <c r="AE64" s="34"/>
    </row>
    <row r="68" spans="1:31" s="2" customFormat="1" ht="6.95" customHeight="1">
      <c r="A68" s="34"/>
      <c r="B68" s="46"/>
      <c r="C68" s="47"/>
      <c r="D68" s="47"/>
      <c r="E68" s="47"/>
      <c r="F68" s="47"/>
      <c r="G68" s="47"/>
      <c r="H68" s="47"/>
      <c r="I68" s="47"/>
      <c r="J68" s="47"/>
      <c r="K68" s="47"/>
      <c r="L68" s="91"/>
      <c r="S68" s="34"/>
      <c r="T68" s="34"/>
      <c r="U68" s="34"/>
      <c r="V68" s="34"/>
      <c r="W68" s="34"/>
      <c r="X68" s="34"/>
      <c r="Y68" s="34"/>
      <c r="Z68" s="34"/>
      <c r="AA68" s="34"/>
      <c r="AB68" s="34"/>
      <c r="AC68" s="34"/>
      <c r="AD68" s="34"/>
      <c r="AE68" s="34"/>
    </row>
    <row r="69" spans="1:31" s="2" customFormat="1" ht="24.95" customHeight="1">
      <c r="A69" s="34"/>
      <c r="B69" s="35"/>
      <c r="C69" s="23" t="s">
        <v>162</v>
      </c>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12" customHeight="1">
      <c r="A71" s="34"/>
      <c r="B71" s="35"/>
      <c r="C71" s="29" t="s">
        <v>17</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16.5" customHeight="1">
      <c r="A72" s="34"/>
      <c r="B72" s="35"/>
      <c r="C72" s="34"/>
      <c r="D72" s="34"/>
      <c r="E72" s="436" t="str">
        <f>E7</f>
        <v>ZŠ P. HOLÉHO - PŘESTAVBA PLAVECKÉHO PAVILONU</v>
      </c>
      <c r="F72" s="437"/>
      <c r="G72" s="437"/>
      <c r="H72" s="437"/>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146</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432" t="str">
        <f>E9</f>
        <v>SO 5 - VZT</v>
      </c>
      <c r="F74" s="435"/>
      <c r="G74" s="435"/>
      <c r="H74" s="435"/>
      <c r="I74" s="34"/>
      <c r="J74" s="34"/>
      <c r="K74" s="34"/>
      <c r="L74" s="91"/>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21</v>
      </c>
      <c r="D76" s="34"/>
      <c r="E76" s="34"/>
      <c r="F76" s="27" t="str">
        <f>F12</f>
        <v>Prokopa Holého 2632, Louny, 440 01</v>
      </c>
      <c r="G76" s="34"/>
      <c r="H76" s="34"/>
      <c r="I76" s="29" t="s">
        <v>23</v>
      </c>
      <c r="J76" s="52" t="str">
        <f>IF(J12="","",J12)</f>
        <v>21. 9. 2022</v>
      </c>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5.2" customHeight="1">
      <c r="A78" s="34"/>
      <c r="B78" s="35"/>
      <c r="C78" s="29" t="s">
        <v>25</v>
      </c>
      <c r="D78" s="34"/>
      <c r="E78" s="34"/>
      <c r="F78" s="27" t="str">
        <f>E15</f>
        <v>Město Louny</v>
      </c>
      <c r="G78" s="34"/>
      <c r="H78" s="34"/>
      <c r="I78" s="29" t="s">
        <v>32</v>
      </c>
      <c r="J78" s="32" t="str">
        <f>E21</f>
        <v>RYSIK Design s.r.o.</v>
      </c>
      <c r="K78" s="34"/>
      <c r="L78" s="91"/>
      <c r="S78" s="34"/>
      <c r="T78" s="34"/>
      <c r="U78" s="34"/>
      <c r="V78" s="34"/>
      <c r="W78" s="34"/>
      <c r="X78" s="34"/>
      <c r="Y78" s="34"/>
      <c r="Z78" s="34"/>
      <c r="AA78" s="34"/>
      <c r="AB78" s="34"/>
      <c r="AC78" s="34"/>
      <c r="AD78" s="34"/>
      <c r="AE78" s="34"/>
    </row>
    <row r="79" spans="1:31" s="2" customFormat="1" ht="25.7" customHeight="1">
      <c r="A79" s="34"/>
      <c r="B79" s="35"/>
      <c r="C79" s="29" t="s">
        <v>30</v>
      </c>
      <c r="D79" s="34"/>
      <c r="E79" s="34"/>
      <c r="F79" s="27" t="str">
        <f>IF(E18="","",E18)</f>
        <v>Vyplň údaj</v>
      </c>
      <c r="G79" s="34"/>
      <c r="H79" s="34"/>
      <c r="I79" s="29" t="s">
        <v>37</v>
      </c>
      <c r="J79" s="32" t="str">
        <f>E24</f>
        <v>ing. Kateřina Tumpachová</v>
      </c>
      <c r="K79" s="34"/>
      <c r="L79" s="91"/>
      <c r="S79" s="34"/>
      <c r="T79" s="34"/>
      <c r="U79" s="34"/>
      <c r="V79" s="34"/>
      <c r="W79" s="34"/>
      <c r="X79" s="34"/>
      <c r="Y79" s="34"/>
      <c r="Z79" s="34"/>
      <c r="AA79" s="34"/>
      <c r="AB79" s="34"/>
      <c r="AC79" s="34"/>
      <c r="AD79" s="34"/>
      <c r="AE79" s="34"/>
    </row>
    <row r="80" spans="1:31" s="2" customFormat="1" ht="10.3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11" customFormat="1" ht="29.25" customHeight="1">
      <c r="A81" s="116"/>
      <c r="B81" s="117"/>
      <c r="C81" s="118" t="s">
        <v>163</v>
      </c>
      <c r="D81" s="119" t="s">
        <v>62</v>
      </c>
      <c r="E81" s="119" t="s">
        <v>58</v>
      </c>
      <c r="F81" s="119" t="s">
        <v>59</v>
      </c>
      <c r="G81" s="119" t="s">
        <v>164</v>
      </c>
      <c r="H81" s="119" t="s">
        <v>165</v>
      </c>
      <c r="I81" s="119" t="s">
        <v>166</v>
      </c>
      <c r="J81" s="119" t="s">
        <v>151</v>
      </c>
      <c r="K81" s="120" t="s">
        <v>167</v>
      </c>
      <c r="L81" s="121"/>
      <c r="M81" s="59" t="s">
        <v>3</v>
      </c>
      <c r="N81" s="60" t="s">
        <v>47</v>
      </c>
      <c r="O81" s="60" t="s">
        <v>168</v>
      </c>
      <c r="P81" s="60" t="s">
        <v>169</v>
      </c>
      <c r="Q81" s="60" t="s">
        <v>170</v>
      </c>
      <c r="R81" s="60" t="s">
        <v>171</v>
      </c>
      <c r="S81" s="60" t="s">
        <v>172</v>
      </c>
      <c r="T81" s="61" t="s">
        <v>173</v>
      </c>
      <c r="U81" s="116"/>
      <c r="V81" s="116"/>
      <c r="W81" s="116"/>
      <c r="X81" s="116"/>
      <c r="Y81" s="116"/>
      <c r="Z81" s="116"/>
      <c r="AA81" s="116"/>
      <c r="AB81" s="116"/>
      <c r="AC81" s="116"/>
      <c r="AD81" s="116"/>
      <c r="AE81" s="116"/>
    </row>
    <row r="82" spans="1:65" s="2" customFormat="1" ht="22.9" customHeight="1">
      <c r="A82" s="34"/>
      <c r="B82" s="35"/>
      <c r="C82" s="66" t="s">
        <v>174</v>
      </c>
      <c r="D82" s="34"/>
      <c r="E82" s="34"/>
      <c r="F82" s="34"/>
      <c r="G82" s="34"/>
      <c r="H82" s="34"/>
      <c r="I82" s="34"/>
      <c r="J82" s="122">
        <f>BK82</f>
        <v>0</v>
      </c>
      <c r="K82" s="34"/>
      <c r="L82" s="35"/>
      <c r="M82" s="62"/>
      <c r="N82" s="53"/>
      <c r="O82" s="63"/>
      <c r="P82" s="123">
        <f>P83+P91</f>
        <v>0</v>
      </c>
      <c r="Q82" s="63"/>
      <c r="R82" s="123">
        <f>R83+R91</f>
        <v>0</v>
      </c>
      <c r="S82" s="63"/>
      <c r="T82" s="124">
        <f>T83+T91</f>
        <v>0</v>
      </c>
      <c r="U82" s="34"/>
      <c r="V82" s="34"/>
      <c r="W82" s="34"/>
      <c r="X82" s="34"/>
      <c r="Y82" s="34"/>
      <c r="Z82" s="34"/>
      <c r="AA82" s="34"/>
      <c r="AB82" s="34"/>
      <c r="AC82" s="34"/>
      <c r="AD82" s="34"/>
      <c r="AE82" s="34"/>
      <c r="AT82" s="19" t="s">
        <v>76</v>
      </c>
      <c r="AU82" s="19" t="s">
        <v>152</v>
      </c>
      <c r="BK82" s="125">
        <f>BK83+BK91</f>
        <v>0</v>
      </c>
    </row>
    <row r="83" spans="1:65" s="12" customFormat="1" ht="25.9" customHeight="1">
      <c r="B83" s="126"/>
      <c r="D83" s="127" t="s">
        <v>76</v>
      </c>
      <c r="E83" s="128" t="s">
        <v>229</v>
      </c>
      <c r="F83" s="128" t="s">
        <v>230</v>
      </c>
      <c r="I83" s="129"/>
      <c r="J83" s="130">
        <f>BK83</f>
        <v>0</v>
      </c>
      <c r="L83" s="126"/>
      <c r="M83" s="131"/>
      <c r="N83" s="132"/>
      <c r="O83" s="132"/>
      <c r="P83" s="133">
        <f>P84</f>
        <v>0</v>
      </c>
      <c r="Q83" s="132"/>
      <c r="R83" s="133">
        <f>R84</f>
        <v>0</v>
      </c>
      <c r="S83" s="132"/>
      <c r="T83" s="134">
        <f>T84</f>
        <v>0</v>
      </c>
      <c r="AR83" s="127" t="s">
        <v>87</v>
      </c>
      <c r="AT83" s="135" t="s">
        <v>76</v>
      </c>
      <c r="AU83" s="135" t="s">
        <v>77</v>
      </c>
      <c r="AY83" s="127" t="s">
        <v>177</v>
      </c>
      <c r="BK83" s="136">
        <f>BK84</f>
        <v>0</v>
      </c>
    </row>
    <row r="84" spans="1:65" s="12" customFormat="1" ht="22.9" customHeight="1">
      <c r="B84" s="126"/>
      <c r="D84" s="127" t="s">
        <v>76</v>
      </c>
      <c r="E84" s="137" t="s">
        <v>300</v>
      </c>
      <c r="F84" s="137" t="s">
        <v>301</v>
      </c>
      <c r="I84" s="129"/>
      <c r="J84" s="138">
        <f>BK84</f>
        <v>0</v>
      </c>
      <c r="L84" s="126"/>
      <c r="M84" s="131"/>
      <c r="N84" s="132"/>
      <c r="O84" s="132"/>
      <c r="P84" s="133">
        <f>SUM(P85:P90)</f>
        <v>0</v>
      </c>
      <c r="Q84" s="132"/>
      <c r="R84" s="133">
        <f>SUM(R85:R90)</f>
        <v>0</v>
      </c>
      <c r="S84" s="132"/>
      <c r="T84" s="134">
        <f>SUM(T85:T90)</f>
        <v>0</v>
      </c>
      <c r="AR84" s="127" t="s">
        <v>87</v>
      </c>
      <c r="AT84" s="135" t="s">
        <v>76</v>
      </c>
      <c r="AU84" s="135" t="s">
        <v>85</v>
      </c>
      <c r="AY84" s="127" t="s">
        <v>177</v>
      </c>
      <c r="BK84" s="136">
        <f>SUM(BK85:BK90)</f>
        <v>0</v>
      </c>
    </row>
    <row r="85" spans="1:65" s="2" customFormat="1" ht="16.5" customHeight="1">
      <c r="A85" s="34"/>
      <c r="B85" s="139"/>
      <c r="C85" s="140" t="s">
        <v>85</v>
      </c>
      <c r="D85" s="140" t="s">
        <v>180</v>
      </c>
      <c r="E85" s="141" t="s">
        <v>140</v>
      </c>
      <c r="F85" s="142" t="s">
        <v>4284</v>
      </c>
      <c r="G85" s="143" t="s">
        <v>243</v>
      </c>
      <c r="H85" s="144">
        <v>1</v>
      </c>
      <c r="I85" s="145"/>
      <c r="J85" s="146">
        <f>ROUND(I85*H85,2)</f>
        <v>0</v>
      </c>
      <c r="K85" s="142" t="s">
        <v>3</v>
      </c>
      <c r="L85" s="35"/>
      <c r="M85" s="147" t="s">
        <v>3</v>
      </c>
      <c r="N85" s="148" t="s">
        <v>48</v>
      </c>
      <c r="O85" s="55"/>
      <c r="P85" s="149">
        <f>O85*H85</f>
        <v>0</v>
      </c>
      <c r="Q85" s="149">
        <v>0</v>
      </c>
      <c r="R85" s="149">
        <f>Q85*H85</f>
        <v>0</v>
      </c>
      <c r="S85" s="149">
        <v>0</v>
      </c>
      <c r="T85" s="150">
        <f>S85*H85</f>
        <v>0</v>
      </c>
      <c r="U85" s="34"/>
      <c r="V85" s="34"/>
      <c r="W85" s="34"/>
      <c r="X85" s="34"/>
      <c r="Y85" s="34"/>
      <c r="Z85" s="34"/>
      <c r="AA85" s="34"/>
      <c r="AB85" s="34"/>
      <c r="AC85" s="34"/>
      <c r="AD85" s="34"/>
      <c r="AE85" s="34"/>
      <c r="AR85" s="151" t="s">
        <v>237</v>
      </c>
      <c r="AT85" s="151" t="s">
        <v>180</v>
      </c>
      <c r="AU85" s="151" t="s">
        <v>87</v>
      </c>
      <c r="AY85" s="19" t="s">
        <v>177</v>
      </c>
      <c r="BE85" s="152">
        <f>IF(N85="základní",J85,0)</f>
        <v>0</v>
      </c>
      <c r="BF85" s="152">
        <f>IF(N85="snížená",J85,0)</f>
        <v>0</v>
      </c>
      <c r="BG85" s="152">
        <f>IF(N85="zákl. přenesená",J85,0)</f>
        <v>0</v>
      </c>
      <c r="BH85" s="152">
        <f>IF(N85="sníž. přenesená",J85,0)</f>
        <v>0</v>
      </c>
      <c r="BI85" s="152">
        <f>IF(N85="nulová",J85,0)</f>
        <v>0</v>
      </c>
      <c r="BJ85" s="19" t="s">
        <v>85</v>
      </c>
      <c r="BK85" s="152">
        <f>ROUND(I85*H85,2)</f>
        <v>0</v>
      </c>
      <c r="BL85" s="19" t="s">
        <v>237</v>
      </c>
      <c r="BM85" s="151" t="s">
        <v>4285</v>
      </c>
    </row>
    <row r="86" spans="1:65" s="2" customFormat="1">
      <c r="A86" s="34"/>
      <c r="B86" s="35"/>
      <c r="C86" s="34"/>
      <c r="D86" s="153" t="s">
        <v>187</v>
      </c>
      <c r="E86" s="34"/>
      <c r="F86" s="154" t="s">
        <v>4284</v>
      </c>
      <c r="G86" s="34"/>
      <c r="H86" s="34"/>
      <c r="I86" s="155"/>
      <c r="J86" s="34"/>
      <c r="K86" s="34"/>
      <c r="L86" s="35"/>
      <c r="M86" s="156"/>
      <c r="N86" s="157"/>
      <c r="O86" s="55"/>
      <c r="P86" s="55"/>
      <c r="Q86" s="55"/>
      <c r="R86" s="55"/>
      <c r="S86" s="55"/>
      <c r="T86" s="56"/>
      <c r="U86" s="34"/>
      <c r="V86" s="34"/>
      <c r="W86" s="34"/>
      <c r="X86" s="34"/>
      <c r="Y86" s="34"/>
      <c r="Z86" s="34"/>
      <c r="AA86" s="34"/>
      <c r="AB86" s="34"/>
      <c r="AC86" s="34"/>
      <c r="AD86" s="34"/>
      <c r="AE86" s="34"/>
      <c r="AT86" s="19" t="s">
        <v>187</v>
      </c>
      <c r="AU86" s="19" t="s">
        <v>87</v>
      </c>
    </row>
    <row r="87" spans="1:65" s="2" customFormat="1" ht="16.5" customHeight="1">
      <c r="A87" s="34"/>
      <c r="B87" s="139"/>
      <c r="C87" s="140" t="s">
        <v>87</v>
      </c>
      <c r="D87" s="140" t="s">
        <v>180</v>
      </c>
      <c r="E87" s="141" t="s">
        <v>3816</v>
      </c>
      <c r="F87" s="142" t="s">
        <v>3817</v>
      </c>
      <c r="G87" s="143" t="s">
        <v>243</v>
      </c>
      <c r="H87" s="144">
        <v>1</v>
      </c>
      <c r="I87" s="145"/>
      <c r="J87" s="146">
        <f>ROUND(I87*H87,2)</f>
        <v>0</v>
      </c>
      <c r="K87" s="142" t="s">
        <v>3</v>
      </c>
      <c r="L87" s="35"/>
      <c r="M87" s="147" t="s">
        <v>3</v>
      </c>
      <c r="N87" s="148" t="s">
        <v>48</v>
      </c>
      <c r="O87" s="55"/>
      <c r="P87" s="149">
        <f>O87*H87</f>
        <v>0</v>
      </c>
      <c r="Q87" s="149">
        <v>0</v>
      </c>
      <c r="R87" s="149">
        <f>Q87*H87</f>
        <v>0</v>
      </c>
      <c r="S87" s="149">
        <v>0</v>
      </c>
      <c r="T87" s="150">
        <f>S87*H87</f>
        <v>0</v>
      </c>
      <c r="U87" s="34"/>
      <c r="V87" s="34"/>
      <c r="W87" s="34"/>
      <c r="X87" s="34"/>
      <c r="Y87" s="34"/>
      <c r="Z87" s="34"/>
      <c r="AA87" s="34"/>
      <c r="AB87" s="34"/>
      <c r="AC87" s="34"/>
      <c r="AD87" s="34"/>
      <c r="AE87" s="34"/>
      <c r="AR87" s="151" t="s">
        <v>237</v>
      </c>
      <c r="AT87" s="151" t="s">
        <v>180</v>
      </c>
      <c r="AU87" s="151" t="s">
        <v>87</v>
      </c>
      <c r="AY87" s="19" t="s">
        <v>177</v>
      </c>
      <c r="BE87" s="152">
        <f>IF(N87="základní",J87,0)</f>
        <v>0</v>
      </c>
      <c r="BF87" s="152">
        <f>IF(N87="snížená",J87,0)</f>
        <v>0</v>
      </c>
      <c r="BG87" s="152">
        <f>IF(N87="zákl. přenesená",J87,0)</f>
        <v>0</v>
      </c>
      <c r="BH87" s="152">
        <f>IF(N87="sníž. přenesená",J87,0)</f>
        <v>0</v>
      </c>
      <c r="BI87" s="152">
        <f>IF(N87="nulová",J87,0)</f>
        <v>0</v>
      </c>
      <c r="BJ87" s="19" t="s">
        <v>85</v>
      </c>
      <c r="BK87" s="152">
        <f>ROUND(I87*H87,2)</f>
        <v>0</v>
      </c>
      <c r="BL87" s="19" t="s">
        <v>237</v>
      </c>
      <c r="BM87" s="151" t="s">
        <v>4286</v>
      </c>
    </row>
    <row r="88" spans="1:65" s="2" customFormat="1">
      <c r="A88" s="34"/>
      <c r="B88" s="35"/>
      <c r="C88" s="34"/>
      <c r="D88" s="153" t="s">
        <v>187</v>
      </c>
      <c r="E88" s="34"/>
      <c r="F88" s="154" t="s">
        <v>3817</v>
      </c>
      <c r="G88" s="34"/>
      <c r="H88" s="34"/>
      <c r="I88" s="155"/>
      <c r="J88" s="34"/>
      <c r="K88" s="34"/>
      <c r="L88" s="35"/>
      <c r="M88" s="156"/>
      <c r="N88" s="157"/>
      <c r="O88" s="55"/>
      <c r="P88" s="55"/>
      <c r="Q88" s="55"/>
      <c r="R88" s="55"/>
      <c r="S88" s="55"/>
      <c r="T88" s="56"/>
      <c r="U88" s="34"/>
      <c r="V88" s="34"/>
      <c r="W88" s="34"/>
      <c r="X88" s="34"/>
      <c r="Y88" s="34"/>
      <c r="Z88" s="34"/>
      <c r="AA88" s="34"/>
      <c r="AB88" s="34"/>
      <c r="AC88" s="34"/>
      <c r="AD88" s="34"/>
      <c r="AE88" s="34"/>
      <c r="AT88" s="19" t="s">
        <v>187</v>
      </c>
      <c r="AU88" s="19" t="s">
        <v>87</v>
      </c>
    </row>
    <row r="89" spans="1:65" s="2" customFormat="1" ht="16.5" customHeight="1">
      <c r="A89" s="34"/>
      <c r="B89" s="139"/>
      <c r="C89" s="140" t="s">
        <v>198</v>
      </c>
      <c r="D89" s="140" t="s">
        <v>180</v>
      </c>
      <c r="E89" s="141" t="s">
        <v>3825</v>
      </c>
      <c r="F89" s="142" t="s">
        <v>3826</v>
      </c>
      <c r="G89" s="143" t="s">
        <v>243</v>
      </c>
      <c r="H89" s="144">
        <v>1</v>
      </c>
      <c r="I89" s="145"/>
      <c r="J89" s="146">
        <f>ROUND(I89*H89,2)</f>
        <v>0</v>
      </c>
      <c r="K89" s="142" t="s">
        <v>3</v>
      </c>
      <c r="L89" s="35"/>
      <c r="M89" s="147" t="s">
        <v>3</v>
      </c>
      <c r="N89" s="148" t="s">
        <v>48</v>
      </c>
      <c r="O89" s="55"/>
      <c r="P89" s="149">
        <f>O89*H89</f>
        <v>0</v>
      </c>
      <c r="Q89" s="149">
        <v>0</v>
      </c>
      <c r="R89" s="149">
        <f>Q89*H89</f>
        <v>0</v>
      </c>
      <c r="S89" s="149">
        <v>0</v>
      </c>
      <c r="T89" s="150">
        <f>S89*H89</f>
        <v>0</v>
      </c>
      <c r="U89" s="34"/>
      <c r="V89" s="34"/>
      <c r="W89" s="34"/>
      <c r="X89" s="34"/>
      <c r="Y89" s="34"/>
      <c r="Z89" s="34"/>
      <c r="AA89" s="34"/>
      <c r="AB89" s="34"/>
      <c r="AC89" s="34"/>
      <c r="AD89" s="34"/>
      <c r="AE89" s="34"/>
      <c r="AR89" s="151" t="s">
        <v>237</v>
      </c>
      <c r="AT89" s="151" t="s">
        <v>180</v>
      </c>
      <c r="AU89" s="151" t="s">
        <v>87</v>
      </c>
      <c r="AY89" s="19" t="s">
        <v>177</v>
      </c>
      <c r="BE89" s="152">
        <f>IF(N89="základní",J89,0)</f>
        <v>0</v>
      </c>
      <c r="BF89" s="152">
        <f>IF(N89="snížená",J89,0)</f>
        <v>0</v>
      </c>
      <c r="BG89" s="152">
        <f>IF(N89="zákl. přenesená",J89,0)</f>
        <v>0</v>
      </c>
      <c r="BH89" s="152">
        <f>IF(N89="sníž. přenesená",J89,0)</f>
        <v>0</v>
      </c>
      <c r="BI89" s="152">
        <f>IF(N89="nulová",J89,0)</f>
        <v>0</v>
      </c>
      <c r="BJ89" s="19" t="s">
        <v>85</v>
      </c>
      <c r="BK89" s="152">
        <f>ROUND(I89*H89,2)</f>
        <v>0</v>
      </c>
      <c r="BL89" s="19" t="s">
        <v>237</v>
      </c>
      <c r="BM89" s="151" t="s">
        <v>4287</v>
      </c>
    </row>
    <row r="90" spans="1:65" s="2" customFormat="1">
      <c r="A90" s="34"/>
      <c r="B90" s="35"/>
      <c r="C90" s="34"/>
      <c r="D90" s="153" t="s">
        <v>187</v>
      </c>
      <c r="E90" s="34"/>
      <c r="F90" s="154" t="s">
        <v>3826</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187</v>
      </c>
      <c r="AU90" s="19" t="s">
        <v>87</v>
      </c>
    </row>
    <row r="91" spans="1:65" s="12" customFormat="1" ht="25.9" customHeight="1">
      <c r="B91" s="126"/>
      <c r="D91" s="127" t="s">
        <v>76</v>
      </c>
      <c r="E91" s="128" t="s">
        <v>313</v>
      </c>
      <c r="F91" s="128" t="s">
        <v>314</v>
      </c>
      <c r="I91" s="129"/>
      <c r="J91" s="130">
        <f>BK91</f>
        <v>0</v>
      </c>
      <c r="L91" s="126"/>
      <c r="M91" s="131"/>
      <c r="N91" s="132"/>
      <c r="O91" s="132"/>
      <c r="P91" s="133">
        <f>SUM(P92:P96)</f>
        <v>0</v>
      </c>
      <c r="Q91" s="132"/>
      <c r="R91" s="133">
        <f>SUM(R92:R96)</f>
        <v>0</v>
      </c>
      <c r="S91" s="132"/>
      <c r="T91" s="134">
        <f>SUM(T92:T96)</f>
        <v>0</v>
      </c>
      <c r="AR91" s="127" t="s">
        <v>185</v>
      </c>
      <c r="AT91" s="135" t="s">
        <v>76</v>
      </c>
      <c r="AU91" s="135" t="s">
        <v>77</v>
      </c>
      <c r="AY91" s="127" t="s">
        <v>177</v>
      </c>
      <c r="BK91" s="136">
        <f>SUM(BK92:BK96)</f>
        <v>0</v>
      </c>
    </row>
    <row r="92" spans="1:65" s="2" customFormat="1" ht="16.5" customHeight="1">
      <c r="A92" s="34"/>
      <c r="B92" s="139"/>
      <c r="C92" s="140" t="s">
        <v>185</v>
      </c>
      <c r="D92" s="140" t="s">
        <v>180</v>
      </c>
      <c r="E92" s="141" t="s">
        <v>528</v>
      </c>
      <c r="F92" s="142" t="s">
        <v>529</v>
      </c>
      <c r="G92" s="143" t="s">
        <v>305</v>
      </c>
      <c r="H92" s="144">
        <v>100</v>
      </c>
      <c r="I92" s="145"/>
      <c r="J92" s="146">
        <f>ROUND(I92*H92,2)</f>
        <v>0</v>
      </c>
      <c r="K92" s="142" t="s">
        <v>184</v>
      </c>
      <c r="L92" s="35"/>
      <c r="M92" s="147" t="s">
        <v>3</v>
      </c>
      <c r="N92" s="148" t="s">
        <v>48</v>
      </c>
      <c r="O92" s="55"/>
      <c r="P92" s="149">
        <f>O92*H92</f>
        <v>0</v>
      </c>
      <c r="Q92" s="149">
        <v>0</v>
      </c>
      <c r="R92" s="149">
        <f>Q92*H92</f>
        <v>0</v>
      </c>
      <c r="S92" s="149">
        <v>0</v>
      </c>
      <c r="T92" s="150">
        <f>S92*H92</f>
        <v>0</v>
      </c>
      <c r="U92" s="34"/>
      <c r="V92" s="34"/>
      <c r="W92" s="34"/>
      <c r="X92" s="34"/>
      <c r="Y92" s="34"/>
      <c r="Z92" s="34"/>
      <c r="AA92" s="34"/>
      <c r="AB92" s="34"/>
      <c r="AC92" s="34"/>
      <c r="AD92" s="34"/>
      <c r="AE92" s="34"/>
      <c r="AR92" s="151" t="s">
        <v>318</v>
      </c>
      <c r="AT92" s="151" t="s">
        <v>180</v>
      </c>
      <c r="AU92" s="151" t="s">
        <v>85</v>
      </c>
      <c r="AY92" s="19" t="s">
        <v>177</v>
      </c>
      <c r="BE92" s="152">
        <f>IF(N92="základní",J92,0)</f>
        <v>0</v>
      </c>
      <c r="BF92" s="152">
        <f>IF(N92="snížená",J92,0)</f>
        <v>0</v>
      </c>
      <c r="BG92" s="152">
        <f>IF(N92="zákl. přenesená",J92,0)</f>
        <v>0</v>
      </c>
      <c r="BH92" s="152">
        <f>IF(N92="sníž. přenesená",J92,0)</f>
        <v>0</v>
      </c>
      <c r="BI92" s="152">
        <f>IF(N92="nulová",J92,0)</f>
        <v>0</v>
      </c>
      <c r="BJ92" s="19" t="s">
        <v>85</v>
      </c>
      <c r="BK92" s="152">
        <f>ROUND(I92*H92,2)</f>
        <v>0</v>
      </c>
      <c r="BL92" s="19" t="s">
        <v>318</v>
      </c>
      <c r="BM92" s="151" t="s">
        <v>4288</v>
      </c>
    </row>
    <row r="93" spans="1:65" s="2" customFormat="1">
      <c r="A93" s="34"/>
      <c r="B93" s="35"/>
      <c r="C93" s="34"/>
      <c r="D93" s="153" t="s">
        <v>187</v>
      </c>
      <c r="E93" s="34"/>
      <c r="F93" s="154" t="s">
        <v>531</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187</v>
      </c>
      <c r="AU93" s="19" t="s">
        <v>85</v>
      </c>
    </row>
    <row r="94" spans="1:65" s="2" customFormat="1">
      <c r="A94" s="34"/>
      <c r="B94" s="35"/>
      <c r="C94" s="34"/>
      <c r="D94" s="158" t="s">
        <v>189</v>
      </c>
      <c r="E94" s="34"/>
      <c r="F94" s="159" t="s">
        <v>532</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189</v>
      </c>
      <c r="AU94" s="19" t="s">
        <v>85</v>
      </c>
    </row>
    <row r="95" spans="1:65" s="14" customFormat="1">
      <c r="B95" s="169"/>
      <c r="D95" s="153" t="s">
        <v>193</v>
      </c>
      <c r="E95" s="170" t="s">
        <v>3</v>
      </c>
      <c r="F95" s="171" t="s">
        <v>3829</v>
      </c>
      <c r="H95" s="170" t="s">
        <v>3</v>
      </c>
      <c r="I95" s="172"/>
      <c r="L95" s="169"/>
      <c r="M95" s="173"/>
      <c r="N95" s="174"/>
      <c r="O95" s="174"/>
      <c r="P95" s="174"/>
      <c r="Q95" s="174"/>
      <c r="R95" s="174"/>
      <c r="S95" s="174"/>
      <c r="T95" s="175"/>
      <c r="AT95" s="170" t="s">
        <v>193</v>
      </c>
      <c r="AU95" s="170" t="s">
        <v>85</v>
      </c>
      <c r="AV95" s="14" t="s">
        <v>85</v>
      </c>
      <c r="AW95" s="14" t="s">
        <v>36</v>
      </c>
      <c r="AX95" s="14" t="s">
        <v>77</v>
      </c>
      <c r="AY95" s="170" t="s">
        <v>177</v>
      </c>
    </row>
    <row r="96" spans="1:65" s="13" customFormat="1">
      <c r="B96" s="161"/>
      <c r="D96" s="153" t="s">
        <v>193</v>
      </c>
      <c r="E96" s="162" t="s">
        <v>3</v>
      </c>
      <c r="F96" s="163" t="s">
        <v>2775</v>
      </c>
      <c r="H96" s="164">
        <v>100</v>
      </c>
      <c r="I96" s="165"/>
      <c r="L96" s="161"/>
      <c r="M96" s="192"/>
      <c r="N96" s="193"/>
      <c r="O96" s="193"/>
      <c r="P96" s="193"/>
      <c r="Q96" s="193"/>
      <c r="R96" s="193"/>
      <c r="S96" s="193"/>
      <c r="T96" s="194"/>
      <c r="AT96" s="162" t="s">
        <v>193</v>
      </c>
      <c r="AU96" s="162" t="s">
        <v>85</v>
      </c>
      <c r="AV96" s="13" t="s">
        <v>87</v>
      </c>
      <c r="AW96" s="13" t="s">
        <v>36</v>
      </c>
      <c r="AX96" s="13" t="s">
        <v>85</v>
      </c>
      <c r="AY96" s="162" t="s">
        <v>177</v>
      </c>
    </row>
    <row r="97" spans="1:31" s="2" customFormat="1" ht="6.95" customHeight="1">
      <c r="A97" s="34"/>
      <c r="B97" s="44"/>
      <c r="C97" s="45"/>
      <c r="D97" s="45"/>
      <c r="E97" s="45"/>
      <c r="F97" s="45"/>
      <c r="G97" s="45"/>
      <c r="H97" s="45"/>
      <c r="I97" s="45"/>
      <c r="J97" s="45"/>
      <c r="K97" s="45"/>
      <c r="L97" s="35"/>
      <c r="M97" s="34"/>
      <c r="O97" s="34"/>
      <c r="P97" s="34"/>
      <c r="Q97" s="34"/>
      <c r="R97" s="34"/>
      <c r="S97" s="34"/>
      <c r="T97" s="34"/>
      <c r="U97" s="34"/>
      <c r="V97" s="34"/>
      <c r="W97" s="34"/>
      <c r="X97" s="34"/>
      <c r="Y97" s="34"/>
      <c r="Z97" s="34"/>
      <c r="AA97" s="34"/>
      <c r="AB97" s="34"/>
      <c r="AC97" s="34"/>
      <c r="AD97" s="34"/>
      <c r="AE97" s="34"/>
    </row>
  </sheetData>
  <autoFilter ref="C81:K96"/>
  <mergeCells count="9">
    <mergeCell ref="E50:H50"/>
    <mergeCell ref="E72:H72"/>
    <mergeCell ref="E74:H74"/>
    <mergeCell ref="L2:V2"/>
    <mergeCell ref="E7:H7"/>
    <mergeCell ref="E9:H9"/>
    <mergeCell ref="E18:H18"/>
    <mergeCell ref="E27:H27"/>
    <mergeCell ref="E48:H48"/>
  </mergeCells>
  <hyperlinks>
    <hyperlink ref="F94" r:id="rId1"/>
  </hyperlinks>
  <pageMargins left="0.39374999999999999" right="0.39374999999999999" top="0.39374999999999999" bottom="0.39374999999999999" header="0" footer="0"/>
  <pageSetup paperSize="9" scale="84" fitToHeight="100" orientation="landscape" blackAndWhite="1" r:id="rId2"/>
  <headerFooter>
    <oddFooter>&amp;CStrana &amp;P z &amp;N</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2"/>
  <sheetViews>
    <sheetView workbookViewId="0">
      <pane ySplit="11" topLeftCell="A60" activePane="bottomLeft" state="frozenSplit"/>
      <selection activeCell="T30" sqref="T30:U30"/>
      <selection pane="bottomLeft" activeCell="T30" sqref="T30:U30"/>
    </sheetView>
  </sheetViews>
  <sheetFormatPr defaultColWidth="13.5" defaultRowHeight="12.75"/>
  <cols>
    <col min="1" max="1" width="4.33203125" style="290" customWidth="1"/>
    <col min="2" max="2" width="8.83203125" style="290" customWidth="1"/>
    <col min="3" max="3" width="16.6640625" style="290" customWidth="1"/>
    <col min="4" max="4" width="1.6640625" style="290" customWidth="1"/>
    <col min="5" max="5" width="97.83203125" style="290" customWidth="1"/>
    <col min="6" max="6" width="5" style="290" customWidth="1"/>
    <col min="7" max="7" width="15" style="290" customWidth="1"/>
    <col min="8" max="8" width="14" style="290" customWidth="1"/>
    <col min="9" max="11" width="16.6640625" style="290" customWidth="1"/>
    <col min="12" max="14" width="13.6640625" style="290" customWidth="1"/>
    <col min="15" max="24" width="13.5" style="290"/>
    <col min="25" max="64" width="14.1640625" style="290" hidden="1" customWidth="1"/>
    <col min="65" max="256" width="13.5" style="290"/>
    <col min="257" max="257" width="4.33203125" style="290" customWidth="1"/>
    <col min="258" max="258" width="8.83203125" style="290" customWidth="1"/>
    <col min="259" max="259" width="16.6640625" style="290" customWidth="1"/>
    <col min="260" max="260" width="1.6640625" style="290" customWidth="1"/>
    <col min="261" max="261" width="97.83203125" style="290" customWidth="1"/>
    <col min="262" max="262" width="5" style="290" customWidth="1"/>
    <col min="263" max="263" width="15" style="290" customWidth="1"/>
    <col min="264" max="264" width="14" style="290" customWidth="1"/>
    <col min="265" max="267" width="16.6640625" style="290" customWidth="1"/>
    <col min="268" max="270" width="13.6640625" style="290" customWidth="1"/>
    <col min="271" max="280" width="13.5" style="290"/>
    <col min="281" max="320" width="0" style="290" hidden="1" customWidth="1"/>
    <col min="321" max="512" width="13.5" style="290"/>
    <col min="513" max="513" width="4.33203125" style="290" customWidth="1"/>
    <col min="514" max="514" width="8.83203125" style="290" customWidth="1"/>
    <col min="515" max="515" width="16.6640625" style="290" customWidth="1"/>
    <col min="516" max="516" width="1.6640625" style="290" customWidth="1"/>
    <col min="517" max="517" width="97.83203125" style="290" customWidth="1"/>
    <col min="518" max="518" width="5" style="290" customWidth="1"/>
    <col min="519" max="519" width="15" style="290" customWidth="1"/>
    <col min="520" max="520" width="14" style="290" customWidth="1"/>
    <col min="521" max="523" width="16.6640625" style="290" customWidth="1"/>
    <col min="524" max="526" width="13.6640625" style="290" customWidth="1"/>
    <col min="527" max="536" width="13.5" style="290"/>
    <col min="537" max="576" width="0" style="290" hidden="1" customWidth="1"/>
    <col min="577" max="768" width="13.5" style="290"/>
    <col min="769" max="769" width="4.33203125" style="290" customWidth="1"/>
    <col min="770" max="770" width="8.83203125" style="290" customWidth="1"/>
    <col min="771" max="771" width="16.6640625" style="290" customWidth="1"/>
    <col min="772" max="772" width="1.6640625" style="290" customWidth="1"/>
    <col min="773" max="773" width="97.83203125" style="290" customWidth="1"/>
    <col min="774" max="774" width="5" style="290" customWidth="1"/>
    <col min="775" max="775" width="15" style="290" customWidth="1"/>
    <col min="776" max="776" width="14" style="290" customWidth="1"/>
    <col min="777" max="779" width="16.6640625" style="290" customWidth="1"/>
    <col min="780" max="782" width="13.6640625" style="290" customWidth="1"/>
    <col min="783" max="792" width="13.5" style="290"/>
    <col min="793" max="832" width="0" style="290" hidden="1" customWidth="1"/>
    <col min="833" max="1024" width="13.5" style="290"/>
    <col min="1025" max="1025" width="4.33203125" style="290" customWidth="1"/>
    <col min="1026" max="1026" width="8.83203125" style="290" customWidth="1"/>
    <col min="1027" max="1027" width="16.6640625" style="290" customWidth="1"/>
    <col min="1028" max="1028" width="1.6640625" style="290" customWidth="1"/>
    <col min="1029" max="1029" width="97.83203125" style="290" customWidth="1"/>
    <col min="1030" max="1030" width="5" style="290" customWidth="1"/>
    <col min="1031" max="1031" width="15" style="290" customWidth="1"/>
    <col min="1032" max="1032" width="14" style="290" customWidth="1"/>
    <col min="1033" max="1035" width="16.6640625" style="290" customWidth="1"/>
    <col min="1036" max="1038" width="13.6640625" style="290" customWidth="1"/>
    <col min="1039" max="1048" width="13.5" style="290"/>
    <col min="1049" max="1088" width="0" style="290" hidden="1" customWidth="1"/>
    <col min="1089" max="1280" width="13.5" style="290"/>
    <col min="1281" max="1281" width="4.33203125" style="290" customWidth="1"/>
    <col min="1282" max="1282" width="8.83203125" style="290" customWidth="1"/>
    <col min="1283" max="1283" width="16.6640625" style="290" customWidth="1"/>
    <col min="1284" max="1284" width="1.6640625" style="290" customWidth="1"/>
    <col min="1285" max="1285" width="97.83203125" style="290" customWidth="1"/>
    <col min="1286" max="1286" width="5" style="290" customWidth="1"/>
    <col min="1287" max="1287" width="15" style="290" customWidth="1"/>
    <col min="1288" max="1288" width="14" style="290" customWidth="1"/>
    <col min="1289" max="1291" width="16.6640625" style="290" customWidth="1"/>
    <col min="1292" max="1294" width="13.6640625" style="290" customWidth="1"/>
    <col min="1295" max="1304" width="13.5" style="290"/>
    <col min="1305" max="1344" width="0" style="290" hidden="1" customWidth="1"/>
    <col min="1345" max="1536" width="13.5" style="290"/>
    <col min="1537" max="1537" width="4.33203125" style="290" customWidth="1"/>
    <col min="1538" max="1538" width="8.83203125" style="290" customWidth="1"/>
    <col min="1539" max="1539" width="16.6640625" style="290" customWidth="1"/>
    <col min="1540" max="1540" width="1.6640625" style="290" customWidth="1"/>
    <col min="1541" max="1541" width="97.83203125" style="290" customWidth="1"/>
    <col min="1542" max="1542" width="5" style="290" customWidth="1"/>
    <col min="1543" max="1543" width="15" style="290" customWidth="1"/>
    <col min="1544" max="1544" width="14" style="290" customWidth="1"/>
    <col min="1545" max="1547" width="16.6640625" style="290" customWidth="1"/>
    <col min="1548" max="1550" width="13.6640625" style="290" customWidth="1"/>
    <col min="1551" max="1560" width="13.5" style="290"/>
    <col min="1561" max="1600" width="0" style="290" hidden="1" customWidth="1"/>
    <col min="1601" max="1792" width="13.5" style="290"/>
    <col min="1793" max="1793" width="4.33203125" style="290" customWidth="1"/>
    <col min="1794" max="1794" width="8.83203125" style="290" customWidth="1"/>
    <col min="1795" max="1795" width="16.6640625" style="290" customWidth="1"/>
    <col min="1796" max="1796" width="1.6640625" style="290" customWidth="1"/>
    <col min="1797" max="1797" width="97.83203125" style="290" customWidth="1"/>
    <col min="1798" max="1798" width="5" style="290" customWidth="1"/>
    <col min="1799" max="1799" width="15" style="290" customWidth="1"/>
    <col min="1800" max="1800" width="14" style="290" customWidth="1"/>
    <col min="1801" max="1803" width="16.6640625" style="290" customWidth="1"/>
    <col min="1804" max="1806" width="13.6640625" style="290" customWidth="1"/>
    <col min="1807" max="1816" width="13.5" style="290"/>
    <col min="1817" max="1856" width="0" style="290" hidden="1" customWidth="1"/>
    <col min="1857" max="2048" width="13.5" style="290"/>
    <col min="2049" max="2049" width="4.33203125" style="290" customWidth="1"/>
    <col min="2050" max="2050" width="8.83203125" style="290" customWidth="1"/>
    <col min="2051" max="2051" width="16.6640625" style="290" customWidth="1"/>
    <col min="2052" max="2052" width="1.6640625" style="290" customWidth="1"/>
    <col min="2053" max="2053" width="97.83203125" style="290" customWidth="1"/>
    <col min="2054" max="2054" width="5" style="290" customWidth="1"/>
    <col min="2055" max="2055" width="15" style="290" customWidth="1"/>
    <col min="2056" max="2056" width="14" style="290" customWidth="1"/>
    <col min="2057" max="2059" width="16.6640625" style="290" customWidth="1"/>
    <col min="2060" max="2062" width="13.6640625" style="290" customWidth="1"/>
    <col min="2063" max="2072" width="13.5" style="290"/>
    <col min="2073" max="2112" width="0" style="290" hidden="1" customWidth="1"/>
    <col min="2113" max="2304" width="13.5" style="290"/>
    <col min="2305" max="2305" width="4.33203125" style="290" customWidth="1"/>
    <col min="2306" max="2306" width="8.83203125" style="290" customWidth="1"/>
    <col min="2307" max="2307" width="16.6640625" style="290" customWidth="1"/>
    <col min="2308" max="2308" width="1.6640625" style="290" customWidth="1"/>
    <col min="2309" max="2309" width="97.83203125" style="290" customWidth="1"/>
    <col min="2310" max="2310" width="5" style="290" customWidth="1"/>
    <col min="2311" max="2311" width="15" style="290" customWidth="1"/>
    <col min="2312" max="2312" width="14" style="290" customWidth="1"/>
    <col min="2313" max="2315" width="16.6640625" style="290" customWidth="1"/>
    <col min="2316" max="2318" width="13.6640625" style="290" customWidth="1"/>
    <col min="2319" max="2328" width="13.5" style="290"/>
    <col min="2329" max="2368" width="0" style="290" hidden="1" customWidth="1"/>
    <col min="2369" max="2560" width="13.5" style="290"/>
    <col min="2561" max="2561" width="4.33203125" style="290" customWidth="1"/>
    <col min="2562" max="2562" width="8.83203125" style="290" customWidth="1"/>
    <col min="2563" max="2563" width="16.6640625" style="290" customWidth="1"/>
    <col min="2564" max="2564" width="1.6640625" style="290" customWidth="1"/>
    <col min="2565" max="2565" width="97.83203125" style="290" customWidth="1"/>
    <col min="2566" max="2566" width="5" style="290" customWidth="1"/>
    <col min="2567" max="2567" width="15" style="290" customWidth="1"/>
    <col min="2568" max="2568" width="14" style="290" customWidth="1"/>
    <col min="2569" max="2571" width="16.6640625" style="290" customWidth="1"/>
    <col min="2572" max="2574" width="13.6640625" style="290" customWidth="1"/>
    <col min="2575" max="2584" width="13.5" style="290"/>
    <col min="2585" max="2624" width="0" style="290" hidden="1" customWidth="1"/>
    <col min="2625" max="2816" width="13.5" style="290"/>
    <col min="2817" max="2817" width="4.33203125" style="290" customWidth="1"/>
    <col min="2818" max="2818" width="8.83203125" style="290" customWidth="1"/>
    <col min="2819" max="2819" width="16.6640625" style="290" customWidth="1"/>
    <col min="2820" max="2820" width="1.6640625" style="290" customWidth="1"/>
    <col min="2821" max="2821" width="97.83203125" style="290" customWidth="1"/>
    <col min="2822" max="2822" width="5" style="290" customWidth="1"/>
    <col min="2823" max="2823" width="15" style="290" customWidth="1"/>
    <col min="2824" max="2824" width="14" style="290" customWidth="1"/>
    <col min="2825" max="2827" width="16.6640625" style="290" customWidth="1"/>
    <col min="2828" max="2830" width="13.6640625" style="290" customWidth="1"/>
    <col min="2831" max="2840" width="13.5" style="290"/>
    <col min="2841" max="2880" width="0" style="290" hidden="1" customWidth="1"/>
    <col min="2881" max="3072" width="13.5" style="290"/>
    <col min="3073" max="3073" width="4.33203125" style="290" customWidth="1"/>
    <col min="3074" max="3074" width="8.83203125" style="290" customWidth="1"/>
    <col min="3075" max="3075" width="16.6640625" style="290" customWidth="1"/>
    <col min="3076" max="3076" width="1.6640625" style="290" customWidth="1"/>
    <col min="3077" max="3077" width="97.83203125" style="290" customWidth="1"/>
    <col min="3078" max="3078" width="5" style="290" customWidth="1"/>
    <col min="3079" max="3079" width="15" style="290" customWidth="1"/>
    <col min="3080" max="3080" width="14" style="290" customWidth="1"/>
    <col min="3081" max="3083" width="16.6640625" style="290" customWidth="1"/>
    <col min="3084" max="3086" width="13.6640625" style="290" customWidth="1"/>
    <col min="3087" max="3096" width="13.5" style="290"/>
    <col min="3097" max="3136" width="0" style="290" hidden="1" customWidth="1"/>
    <col min="3137" max="3328" width="13.5" style="290"/>
    <col min="3329" max="3329" width="4.33203125" style="290" customWidth="1"/>
    <col min="3330" max="3330" width="8.83203125" style="290" customWidth="1"/>
    <col min="3331" max="3331" width="16.6640625" style="290" customWidth="1"/>
    <col min="3332" max="3332" width="1.6640625" style="290" customWidth="1"/>
    <col min="3333" max="3333" width="97.83203125" style="290" customWidth="1"/>
    <col min="3334" max="3334" width="5" style="290" customWidth="1"/>
    <col min="3335" max="3335" width="15" style="290" customWidth="1"/>
    <col min="3336" max="3336" width="14" style="290" customWidth="1"/>
    <col min="3337" max="3339" width="16.6640625" style="290" customWidth="1"/>
    <col min="3340" max="3342" width="13.6640625" style="290" customWidth="1"/>
    <col min="3343" max="3352" width="13.5" style="290"/>
    <col min="3353" max="3392" width="0" style="290" hidden="1" customWidth="1"/>
    <col min="3393" max="3584" width="13.5" style="290"/>
    <col min="3585" max="3585" width="4.33203125" style="290" customWidth="1"/>
    <col min="3586" max="3586" width="8.83203125" style="290" customWidth="1"/>
    <col min="3587" max="3587" width="16.6640625" style="290" customWidth="1"/>
    <col min="3588" max="3588" width="1.6640625" style="290" customWidth="1"/>
    <col min="3589" max="3589" width="97.83203125" style="290" customWidth="1"/>
    <col min="3590" max="3590" width="5" style="290" customWidth="1"/>
    <col min="3591" max="3591" width="15" style="290" customWidth="1"/>
    <col min="3592" max="3592" width="14" style="290" customWidth="1"/>
    <col min="3593" max="3595" width="16.6640625" style="290" customWidth="1"/>
    <col min="3596" max="3598" width="13.6640625" style="290" customWidth="1"/>
    <col min="3599" max="3608" width="13.5" style="290"/>
    <col min="3609" max="3648" width="0" style="290" hidden="1" customWidth="1"/>
    <col min="3649" max="3840" width="13.5" style="290"/>
    <col min="3841" max="3841" width="4.33203125" style="290" customWidth="1"/>
    <col min="3842" max="3842" width="8.83203125" style="290" customWidth="1"/>
    <col min="3843" max="3843" width="16.6640625" style="290" customWidth="1"/>
    <col min="3844" max="3844" width="1.6640625" style="290" customWidth="1"/>
    <col min="3845" max="3845" width="97.83203125" style="290" customWidth="1"/>
    <col min="3846" max="3846" width="5" style="290" customWidth="1"/>
    <col min="3847" max="3847" width="15" style="290" customWidth="1"/>
    <col min="3848" max="3848" width="14" style="290" customWidth="1"/>
    <col min="3849" max="3851" width="16.6640625" style="290" customWidth="1"/>
    <col min="3852" max="3854" width="13.6640625" style="290" customWidth="1"/>
    <col min="3855" max="3864" width="13.5" style="290"/>
    <col min="3865" max="3904" width="0" style="290" hidden="1" customWidth="1"/>
    <col min="3905" max="4096" width="13.5" style="290"/>
    <col min="4097" max="4097" width="4.33203125" style="290" customWidth="1"/>
    <col min="4098" max="4098" width="8.83203125" style="290" customWidth="1"/>
    <col min="4099" max="4099" width="16.6640625" style="290" customWidth="1"/>
    <col min="4100" max="4100" width="1.6640625" style="290" customWidth="1"/>
    <col min="4101" max="4101" width="97.83203125" style="290" customWidth="1"/>
    <col min="4102" max="4102" width="5" style="290" customWidth="1"/>
    <col min="4103" max="4103" width="15" style="290" customWidth="1"/>
    <col min="4104" max="4104" width="14" style="290" customWidth="1"/>
    <col min="4105" max="4107" width="16.6640625" style="290" customWidth="1"/>
    <col min="4108" max="4110" width="13.6640625" style="290" customWidth="1"/>
    <col min="4111" max="4120" width="13.5" style="290"/>
    <col min="4121" max="4160" width="0" style="290" hidden="1" customWidth="1"/>
    <col min="4161" max="4352" width="13.5" style="290"/>
    <col min="4353" max="4353" width="4.33203125" style="290" customWidth="1"/>
    <col min="4354" max="4354" width="8.83203125" style="290" customWidth="1"/>
    <col min="4355" max="4355" width="16.6640625" style="290" customWidth="1"/>
    <col min="4356" max="4356" width="1.6640625" style="290" customWidth="1"/>
    <col min="4357" max="4357" width="97.83203125" style="290" customWidth="1"/>
    <col min="4358" max="4358" width="5" style="290" customWidth="1"/>
    <col min="4359" max="4359" width="15" style="290" customWidth="1"/>
    <col min="4360" max="4360" width="14" style="290" customWidth="1"/>
    <col min="4361" max="4363" width="16.6640625" style="290" customWidth="1"/>
    <col min="4364" max="4366" width="13.6640625" style="290" customWidth="1"/>
    <col min="4367" max="4376" width="13.5" style="290"/>
    <col min="4377" max="4416" width="0" style="290" hidden="1" customWidth="1"/>
    <col min="4417" max="4608" width="13.5" style="290"/>
    <col min="4609" max="4609" width="4.33203125" style="290" customWidth="1"/>
    <col min="4610" max="4610" width="8.83203125" style="290" customWidth="1"/>
    <col min="4611" max="4611" width="16.6640625" style="290" customWidth="1"/>
    <col min="4612" max="4612" width="1.6640625" style="290" customWidth="1"/>
    <col min="4613" max="4613" width="97.83203125" style="290" customWidth="1"/>
    <col min="4614" max="4614" width="5" style="290" customWidth="1"/>
    <col min="4615" max="4615" width="15" style="290" customWidth="1"/>
    <col min="4616" max="4616" width="14" style="290" customWidth="1"/>
    <col min="4617" max="4619" width="16.6640625" style="290" customWidth="1"/>
    <col min="4620" max="4622" width="13.6640625" style="290" customWidth="1"/>
    <col min="4623" max="4632" width="13.5" style="290"/>
    <col min="4633" max="4672" width="0" style="290" hidden="1" customWidth="1"/>
    <col min="4673" max="4864" width="13.5" style="290"/>
    <col min="4865" max="4865" width="4.33203125" style="290" customWidth="1"/>
    <col min="4866" max="4866" width="8.83203125" style="290" customWidth="1"/>
    <col min="4867" max="4867" width="16.6640625" style="290" customWidth="1"/>
    <col min="4868" max="4868" width="1.6640625" style="290" customWidth="1"/>
    <col min="4869" max="4869" width="97.83203125" style="290" customWidth="1"/>
    <col min="4870" max="4870" width="5" style="290" customWidth="1"/>
    <col min="4871" max="4871" width="15" style="290" customWidth="1"/>
    <col min="4872" max="4872" width="14" style="290" customWidth="1"/>
    <col min="4873" max="4875" width="16.6640625" style="290" customWidth="1"/>
    <col min="4876" max="4878" width="13.6640625" style="290" customWidth="1"/>
    <col min="4879" max="4888" width="13.5" style="290"/>
    <col min="4889" max="4928" width="0" style="290" hidden="1" customWidth="1"/>
    <col min="4929" max="5120" width="13.5" style="290"/>
    <col min="5121" max="5121" width="4.33203125" style="290" customWidth="1"/>
    <col min="5122" max="5122" width="8.83203125" style="290" customWidth="1"/>
    <col min="5123" max="5123" width="16.6640625" style="290" customWidth="1"/>
    <col min="5124" max="5124" width="1.6640625" style="290" customWidth="1"/>
    <col min="5125" max="5125" width="97.83203125" style="290" customWidth="1"/>
    <col min="5126" max="5126" width="5" style="290" customWidth="1"/>
    <col min="5127" max="5127" width="15" style="290" customWidth="1"/>
    <col min="5128" max="5128" width="14" style="290" customWidth="1"/>
    <col min="5129" max="5131" width="16.6640625" style="290" customWidth="1"/>
    <col min="5132" max="5134" width="13.6640625" style="290" customWidth="1"/>
    <col min="5135" max="5144" width="13.5" style="290"/>
    <col min="5145" max="5184" width="0" style="290" hidden="1" customWidth="1"/>
    <col min="5185" max="5376" width="13.5" style="290"/>
    <col min="5377" max="5377" width="4.33203125" style="290" customWidth="1"/>
    <col min="5378" max="5378" width="8.83203125" style="290" customWidth="1"/>
    <col min="5379" max="5379" width="16.6640625" style="290" customWidth="1"/>
    <col min="5380" max="5380" width="1.6640625" style="290" customWidth="1"/>
    <col min="5381" max="5381" width="97.83203125" style="290" customWidth="1"/>
    <col min="5382" max="5382" width="5" style="290" customWidth="1"/>
    <col min="5383" max="5383" width="15" style="290" customWidth="1"/>
    <col min="5384" max="5384" width="14" style="290" customWidth="1"/>
    <col min="5385" max="5387" width="16.6640625" style="290" customWidth="1"/>
    <col min="5388" max="5390" width="13.6640625" style="290" customWidth="1"/>
    <col min="5391" max="5400" width="13.5" style="290"/>
    <col min="5401" max="5440" width="0" style="290" hidden="1" customWidth="1"/>
    <col min="5441" max="5632" width="13.5" style="290"/>
    <col min="5633" max="5633" width="4.33203125" style="290" customWidth="1"/>
    <col min="5634" max="5634" width="8.83203125" style="290" customWidth="1"/>
    <col min="5635" max="5635" width="16.6640625" style="290" customWidth="1"/>
    <col min="5636" max="5636" width="1.6640625" style="290" customWidth="1"/>
    <col min="5637" max="5637" width="97.83203125" style="290" customWidth="1"/>
    <col min="5638" max="5638" width="5" style="290" customWidth="1"/>
    <col min="5639" max="5639" width="15" style="290" customWidth="1"/>
    <col min="5640" max="5640" width="14" style="290" customWidth="1"/>
    <col min="5641" max="5643" width="16.6640625" style="290" customWidth="1"/>
    <col min="5644" max="5646" width="13.6640625" style="290" customWidth="1"/>
    <col min="5647" max="5656" width="13.5" style="290"/>
    <col min="5657" max="5696" width="0" style="290" hidden="1" customWidth="1"/>
    <col min="5697" max="5888" width="13.5" style="290"/>
    <col min="5889" max="5889" width="4.33203125" style="290" customWidth="1"/>
    <col min="5890" max="5890" width="8.83203125" style="290" customWidth="1"/>
    <col min="5891" max="5891" width="16.6640625" style="290" customWidth="1"/>
    <col min="5892" max="5892" width="1.6640625" style="290" customWidth="1"/>
    <col min="5893" max="5893" width="97.83203125" style="290" customWidth="1"/>
    <col min="5894" max="5894" width="5" style="290" customWidth="1"/>
    <col min="5895" max="5895" width="15" style="290" customWidth="1"/>
    <col min="5896" max="5896" width="14" style="290" customWidth="1"/>
    <col min="5897" max="5899" width="16.6640625" style="290" customWidth="1"/>
    <col min="5900" max="5902" width="13.6640625" style="290" customWidth="1"/>
    <col min="5903" max="5912" width="13.5" style="290"/>
    <col min="5913" max="5952" width="0" style="290" hidden="1" customWidth="1"/>
    <col min="5953" max="6144" width="13.5" style="290"/>
    <col min="6145" max="6145" width="4.33203125" style="290" customWidth="1"/>
    <col min="6146" max="6146" width="8.83203125" style="290" customWidth="1"/>
    <col min="6147" max="6147" width="16.6640625" style="290" customWidth="1"/>
    <col min="6148" max="6148" width="1.6640625" style="290" customWidth="1"/>
    <col min="6149" max="6149" width="97.83203125" style="290" customWidth="1"/>
    <col min="6150" max="6150" width="5" style="290" customWidth="1"/>
    <col min="6151" max="6151" width="15" style="290" customWidth="1"/>
    <col min="6152" max="6152" width="14" style="290" customWidth="1"/>
    <col min="6153" max="6155" width="16.6640625" style="290" customWidth="1"/>
    <col min="6156" max="6158" width="13.6640625" style="290" customWidth="1"/>
    <col min="6159" max="6168" width="13.5" style="290"/>
    <col min="6169" max="6208" width="0" style="290" hidden="1" customWidth="1"/>
    <col min="6209" max="6400" width="13.5" style="290"/>
    <col min="6401" max="6401" width="4.33203125" style="290" customWidth="1"/>
    <col min="6402" max="6402" width="8.83203125" style="290" customWidth="1"/>
    <col min="6403" max="6403" width="16.6640625" style="290" customWidth="1"/>
    <col min="6404" max="6404" width="1.6640625" style="290" customWidth="1"/>
    <col min="6405" max="6405" width="97.83203125" style="290" customWidth="1"/>
    <col min="6406" max="6406" width="5" style="290" customWidth="1"/>
    <col min="6407" max="6407" width="15" style="290" customWidth="1"/>
    <col min="6408" max="6408" width="14" style="290" customWidth="1"/>
    <col min="6409" max="6411" width="16.6640625" style="290" customWidth="1"/>
    <col min="6412" max="6414" width="13.6640625" style="290" customWidth="1"/>
    <col min="6415" max="6424" width="13.5" style="290"/>
    <col min="6425" max="6464" width="0" style="290" hidden="1" customWidth="1"/>
    <col min="6465" max="6656" width="13.5" style="290"/>
    <col min="6657" max="6657" width="4.33203125" style="290" customWidth="1"/>
    <col min="6658" max="6658" width="8.83203125" style="290" customWidth="1"/>
    <col min="6659" max="6659" width="16.6640625" style="290" customWidth="1"/>
    <col min="6660" max="6660" width="1.6640625" style="290" customWidth="1"/>
    <col min="6661" max="6661" width="97.83203125" style="290" customWidth="1"/>
    <col min="6662" max="6662" width="5" style="290" customWidth="1"/>
    <col min="6663" max="6663" width="15" style="290" customWidth="1"/>
    <col min="6664" max="6664" width="14" style="290" customWidth="1"/>
    <col min="6665" max="6667" width="16.6640625" style="290" customWidth="1"/>
    <col min="6668" max="6670" width="13.6640625" style="290" customWidth="1"/>
    <col min="6671" max="6680" width="13.5" style="290"/>
    <col min="6681" max="6720" width="0" style="290" hidden="1" customWidth="1"/>
    <col min="6721" max="6912" width="13.5" style="290"/>
    <col min="6913" max="6913" width="4.33203125" style="290" customWidth="1"/>
    <col min="6914" max="6914" width="8.83203125" style="290" customWidth="1"/>
    <col min="6915" max="6915" width="16.6640625" style="290" customWidth="1"/>
    <col min="6916" max="6916" width="1.6640625" style="290" customWidth="1"/>
    <col min="6917" max="6917" width="97.83203125" style="290" customWidth="1"/>
    <col min="6918" max="6918" width="5" style="290" customWidth="1"/>
    <col min="6919" max="6919" width="15" style="290" customWidth="1"/>
    <col min="6920" max="6920" width="14" style="290" customWidth="1"/>
    <col min="6921" max="6923" width="16.6640625" style="290" customWidth="1"/>
    <col min="6924" max="6926" width="13.6640625" style="290" customWidth="1"/>
    <col min="6927" max="6936" width="13.5" style="290"/>
    <col min="6937" max="6976" width="0" style="290" hidden="1" customWidth="1"/>
    <col min="6977" max="7168" width="13.5" style="290"/>
    <col min="7169" max="7169" width="4.33203125" style="290" customWidth="1"/>
    <col min="7170" max="7170" width="8.83203125" style="290" customWidth="1"/>
    <col min="7171" max="7171" width="16.6640625" style="290" customWidth="1"/>
    <col min="7172" max="7172" width="1.6640625" style="290" customWidth="1"/>
    <col min="7173" max="7173" width="97.83203125" style="290" customWidth="1"/>
    <col min="7174" max="7174" width="5" style="290" customWidth="1"/>
    <col min="7175" max="7175" width="15" style="290" customWidth="1"/>
    <col min="7176" max="7176" width="14" style="290" customWidth="1"/>
    <col min="7177" max="7179" width="16.6640625" style="290" customWidth="1"/>
    <col min="7180" max="7182" width="13.6640625" style="290" customWidth="1"/>
    <col min="7183" max="7192" width="13.5" style="290"/>
    <col min="7193" max="7232" width="0" style="290" hidden="1" customWidth="1"/>
    <col min="7233" max="7424" width="13.5" style="290"/>
    <col min="7425" max="7425" width="4.33203125" style="290" customWidth="1"/>
    <col min="7426" max="7426" width="8.83203125" style="290" customWidth="1"/>
    <col min="7427" max="7427" width="16.6640625" style="290" customWidth="1"/>
    <col min="7428" max="7428" width="1.6640625" style="290" customWidth="1"/>
    <col min="7429" max="7429" width="97.83203125" style="290" customWidth="1"/>
    <col min="7430" max="7430" width="5" style="290" customWidth="1"/>
    <col min="7431" max="7431" width="15" style="290" customWidth="1"/>
    <col min="7432" max="7432" width="14" style="290" customWidth="1"/>
    <col min="7433" max="7435" width="16.6640625" style="290" customWidth="1"/>
    <col min="7436" max="7438" width="13.6640625" style="290" customWidth="1"/>
    <col min="7439" max="7448" width="13.5" style="290"/>
    <col min="7449" max="7488" width="0" style="290" hidden="1" customWidth="1"/>
    <col min="7489" max="7680" width="13.5" style="290"/>
    <col min="7681" max="7681" width="4.33203125" style="290" customWidth="1"/>
    <col min="7682" max="7682" width="8.83203125" style="290" customWidth="1"/>
    <col min="7683" max="7683" width="16.6640625" style="290" customWidth="1"/>
    <col min="7684" max="7684" width="1.6640625" style="290" customWidth="1"/>
    <col min="7685" max="7685" width="97.83203125" style="290" customWidth="1"/>
    <col min="7686" max="7686" width="5" style="290" customWidth="1"/>
    <col min="7687" max="7687" width="15" style="290" customWidth="1"/>
    <col min="7688" max="7688" width="14" style="290" customWidth="1"/>
    <col min="7689" max="7691" width="16.6640625" style="290" customWidth="1"/>
    <col min="7692" max="7694" width="13.6640625" style="290" customWidth="1"/>
    <col min="7695" max="7704" width="13.5" style="290"/>
    <col min="7705" max="7744" width="0" style="290" hidden="1" customWidth="1"/>
    <col min="7745" max="7936" width="13.5" style="290"/>
    <col min="7937" max="7937" width="4.33203125" style="290" customWidth="1"/>
    <col min="7938" max="7938" width="8.83203125" style="290" customWidth="1"/>
    <col min="7939" max="7939" width="16.6640625" style="290" customWidth="1"/>
    <col min="7940" max="7940" width="1.6640625" style="290" customWidth="1"/>
    <col min="7941" max="7941" width="97.83203125" style="290" customWidth="1"/>
    <col min="7942" max="7942" width="5" style="290" customWidth="1"/>
    <col min="7943" max="7943" width="15" style="290" customWidth="1"/>
    <col min="7944" max="7944" width="14" style="290" customWidth="1"/>
    <col min="7945" max="7947" width="16.6640625" style="290" customWidth="1"/>
    <col min="7948" max="7950" width="13.6640625" style="290" customWidth="1"/>
    <col min="7951" max="7960" width="13.5" style="290"/>
    <col min="7961" max="8000" width="0" style="290" hidden="1" customWidth="1"/>
    <col min="8001" max="8192" width="13.5" style="290"/>
    <col min="8193" max="8193" width="4.33203125" style="290" customWidth="1"/>
    <col min="8194" max="8194" width="8.83203125" style="290" customWidth="1"/>
    <col min="8195" max="8195" width="16.6640625" style="290" customWidth="1"/>
    <col min="8196" max="8196" width="1.6640625" style="290" customWidth="1"/>
    <col min="8197" max="8197" width="97.83203125" style="290" customWidth="1"/>
    <col min="8198" max="8198" width="5" style="290" customWidth="1"/>
    <col min="8199" max="8199" width="15" style="290" customWidth="1"/>
    <col min="8200" max="8200" width="14" style="290" customWidth="1"/>
    <col min="8201" max="8203" width="16.6640625" style="290" customWidth="1"/>
    <col min="8204" max="8206" width="13.6640625" style="290" customWidth="1"/>
    <col min="8207" max="8216" width="13.5" style="290"/>
    <col min="8217" max="8256" width="0" style="290" hidden="1" customWidth="1"/>
    <col min="8257" max="8448" width="13.5" style="290"/>
    <col min="8449" max="8449" width="4.33203125" style="290" customWidth="1"/>
    <col min="8450" max="8450" width="8.83203125" style="290" customWidth="1"/>
    <col min="8451" max="8451" width="16.6640625" style="290" customWidth="1"/>
    <col min="8452" max="8452" width="1.6640625" style="290" customWidth="1"/>
    <col min="8453" max="8453" width="97.83203125" style="290" customWidth="1"/>
    <col min="8454" max="8454" width="5" style="290" customWidth="1"/>
    <col min="8455" max="8455" width="15" style="290" customWidth="1"/>
    <col min="8456" max="8456" width="14" style="290" customWidth="1"/>
    <col min="8457" max="8459" width="16.6640625" style="290" customWidth="1"/>
    <col min="8460" max="8462" width="13.6640625" style="290" customWidth="1"/>
    <col min="8463" max="8472" width="13.5" style="290"/>
    <col min="8473" max="8512" width="0" style="290" hidden="1" customWidth="1"/>
    <col min="8513" max="8704" width="13.5" style="290"/>
    <col min="8705" max="8705" width="4.33203125" style="290" customWidth="1"/>
    <col min="8706" max="8706" width="8.83203125" style="290" customWidth="1"/>
    <col min="8707" max="8707" width="16.6640625" style="290" customWidth="1"/>
    <col min="8708" max="8708" width="1.6640625" style="290" customWidth="1"/>
    <col min="8709" max="8709" width="97.83203125" style="290" customWidth="1"/>
    <col min="8710" max="8710" width="5" style="290" customWidth="1"/>
    <col min="8711" max="8711" width="15" style="290" customWidth="1"/>
    <col min="8712" max="8712" width="14" style="290" customWidth="1"/>
    <col min="8713" max="8715" width="16.6640625" style="290" customWidth="1"/>
    <col min="8716" max="8718" width="13.6640625" style="290" customWidth="1"/>
    <col min="8719" max="8728" width="13.5" style="290"/>
    <col min="8729" max="8768" width="0" style="290" hidden="1" customWidth="1"/>
    <col min="8769" max="8960" width="13.5" style="290"/>
    <col min="8961" max="8961" width="4.33203125" style="290" customWidth="1"/>
    <col min="8962" max="8962" width="8.83203125" style="290" customWidth="1"/>
    <col min="8963" max="8963" width="16.6640625" style="290" customWidth="1"/>
    <col min="8964" max="8964" width="1.6640625" style="290" customWidth="1"/>
    <col min="8965" max="8965" width="97.83203125" style="290" customWidth="1"/>
    <col min="8966" max="8966" width="5" style="290" customWidth="1"/>
    <col min="8967" max="8967" width="15" style="290" customWidth="1"/>
    <col min="8968" max="8968" width="14" style="290" customWidth="1"/>
    <col min="8969" max="8971" width="16.6640625" style="290" customWidth="1"/>
    <col min="8972" max="8974" width="13.6640625" style="290" customWidth="1"/>
    <col min="8975" max="8984" width="13.5" style="290"/>
    <col min="8985" max="9024" width="0" style="290" hidden="1" customWidth="1"/>
    <col min="9025" max="9216" width="13.5" style="290"/>
    <col min="9217" max="9217" width="4.33203125" style="290" customWidth="1"/>
    <col min="9218" max="9218" width="8.83203125" style="290" customWidth="1"/>
    <col min="9219" max="9219" width="16.6640625" style="290" customWidth="1"/>
    <col min="9220" max="9220" width="1.6640625" style="290" customWidth="1"/>
    <col min="9221" max="9221" width="97.83203125" style="290" customWidth="1"/>
    <col min="9222" max="9222" width="5" style="290" customWidth="1"/>
    <col min="9223" max="9223" width="15" style="290" customWidth="1"/>
    <col min="9224" max="9224" width="14" style="290" customWidth="1"/>
    <col min="9225" max="9227" width="16.6640625" style="290" customWidth="1"/>
    <col min="9228" max="9230" width="13.6640625" style="290" customWidth="1"/>
    <col min="9231" max="9240" width="13.5" style="290"/>
    <col min="9241" max="9280" width="0" style="290" hidden="1" customWidth="1"/>
    <col min="9281" max="9472" width="13.5" style="290"/>
    <col min="9473" max="9473" width="4.33203125" style="290" customWidth="1"/>
    <col min="9474" max="9474" width="8.83203125" style="290" customWidth="1"/>
    <col min="9475" max="9475" width="16.6640625" style="290" customWidth="1"/>
    <col min="9476" max="9476" width="1.6640625" style="290" customWidth="1"/>
    <col min="9477" max="9477" width="97.83203125" style="290" customWidth="1"/>
    <col min="9478" max="9478" width="5" style="290" customWidth="1"/>
    <col min="9479" max="9479" width="15" style="290" customWidth="1"/>
    <col min="9480" max="9480" width="14" style="290" customWidth="1"/>
    <col min="9481" max="9483" width="16.6640625" style="290" customWidth="1"/>
    <col min="9484" max="9486" width="13.6640625" style="290" customWidth="1"/>
    <col min="9487" max="9496" width="13.5" style="290"/>
    <col min="9497" max="9536" width="0" style="290" hidden="1" customWidth="1"/>
    <col min="9537" max="9728" width="13.5" style="290"/>
    <col min="9729" max="9729" width="4.33203125" style="290" customWidth="1"/>
    <col min="9730" max="9730" width="8.83203125" style="290" customWidth="1"/>
    <col min="9731" max="9731" width="16.6640625" style="290" customWidth="1"/>
    <col min="9732" max="9732" width="1.6640625" style="290" customWidth="1"/>
    <col min="9733" max="9733" width="97.83203125" style="290" customWidth="1"/>
    <col min="9734" max="9734" width="5" style="290" customWidth="1"/>
    <col min="9735" max="9735" width="15" style="290" customWidth="1"/>
    <col min="9736" max="9736" width="14" style="290" customWidth="1"/>
    <col min="9737" max="9739" width="16.6640625" style="290" customWidth="1"/>
    <col min="9740" max="9742" width="13.6640625" style="290" customWidth="1"/>
    <col min="9743" max="9752" width="13.5" style="290"/>
    <col min="9753" max="9792" width="0" style="290" hidden="1" customWidth="1"/>
    <col min="9793" max="9984" width="13.5" style="290"/>
    <col min="9985" max="9985" width="4.33203125" style="290" customWidth="1"/>
    <col min="9986" max="9986" width="8.83203125" style="290" customWidth="1"/>
    <col min="9987" max="9987" width="16.6640625" style="290" customWidth="1"/>
    <col min="9988" max="9988" width="1.6640625" style="290" customWidth="1"/>
    <col min="9989" max="9989" width="97.83203125" style="290" customWidth="1"/>
    <col min="9990" max="9990" width="5" style="290" customWidth="1"/>
    <col min="9991" max="9991" width="15" style="290" customWidth="1"/>
    <col min="9992" max="9992" width="14" style="290" customWidth="1"/>
    <col min="9993" max="9995" width="16.6640625" style="290" customWidth="1"/>
    <col min="9996" max="9998" width="13.6640625" style="290" customWidth="1"/>
    <col min="9999" max="10008" width="13.5" style="290"/>
    <col min="10009" max="10048" width="0" style="290" hidden="1" customWidth="1"/>
    <col min="10049" max="10240" width="13.5" style="290"/>
    <col min="10241" max="10241" width="4.33203125" style="290" customWidth="1"/>
    <col min="10242" max="10242" width="8.83203125" style="290" customWidth="1"/>
    <col min="10243" max="10243" width="16.6640625" style="290" customWidth="1"/>
    <col min="10244" max="10244" width="1.6640625" style="290" customWidth="1"/>
    <col min="10245" max="10245" width="97.83203125" style="290" customWidth="1"/>
    <col min="10246" max="10246" width="5" style="290" customWidth="1"/>
    <col min="10247" max="10247" width="15" style="290" customWidth="1"/>
    <col min="10248" max="10248" width="14" style="290" customWidth="1"/>
    <col min="10249" max="10251" width="16.6640625" style="290" customWidth="1"/>
    <col min="10252" max="10254" width="13.6640625" style="290" customWidth="1"/>
    <col min="10255" max="10264" width="13.5" style="290"/>
    <col min="10265" max="10304" width="0" style="290" hidden="1" customWidth="1"/>
    <col min="10305" max="10496" width="13.5" style="290"/>
    <col min="10497" max="10497" width="4.33203125" style="290" customWidth="1"/>
    <col min="10498" max="10498" width="8.83203125" style="290" customWidth="1"/>
    <col min="10499" max="10499" width="16.6640625" style="290" customWidth="1"/>
    <col min="10500" max="10500" width="1.6640625" style="290" customWidth="1"/>
    <col min="10501" max="10501" width="97.83203125" style="290" customWidth="1"/>
    <col min="10502" max="10502" width="5" style="290" customWidth="1"/>
    <col min="10503" max="10503" width="15" style="290" customWidth="1"/>
    <col min="10504" max="10504" width="14" style="290" customWidth="1"/>
    <col min="10505" max="10507" width="16.6640625" style="290" customWidth="1"/>
    <col min="10508" max="10510" width="13.6640625" style="290" customWidth="1"/>
    <col min="10511" max="10520" width="13.5" style="290"/>
    <col min="10521" max="10560" width="0" style="290" hidden="1" customWidth="1"/>
    <col min="10561" max="10752" width="13.5" style="290"/>
    <col min="10753" max="10753" width="4.33203125" style="290" customWidth="1"/>
    <col min="10754" max="10754" width="8.83203125" style="290" customWidth="1"/>
    <col min="10755" max="10755" width="16.6640625" style="290" customWidth="1"/>
    <col min="10756" max="10756" width="1.6640625" style="290" customWidth="1"/>
    <col min="10757" max="10757" width="97.83203125" style="290" customWidth="1"/>
    <col min="10758" max="10758" width="5" style="290" customWidth="1"/>
    <col min="10759" max="10759" width="15" style="290" customWidth="1"/>
    <col min="10760" max="10760" width="14" style="290" customWidth="1"/>
    <col min="10761" max="10763" width="16.6640625" style="290" customWidth="1"/>
    <col min="10764" max="10766" width="13.6640625" style="290" customWidth="1"/>
    <col min="10767" max="10776" width="13.5" style="290"/>
    <col min="10777" max="10816" width="0" style="290" hidden="1" customWidth="1"/>
    <col min="10817" max="11008" width="13.5" style="290"/>
    <col min="11009" max="11009" width="4.33203125" style="290" customWidth="1"/>
    <col min="11010" max="11010" width="8.83203125" style="290" customWidth="1"/>
    <col min="11011" max="11011" width="16.6640625" style="290" customWidth="1"/>
    <col min="11012" max="11012" width="1.6640625" style="290" customWidth="1"/>
    <col min="11013" max="11013" width="97.83203125" style="290" customWidth="1"/>
    <col min="11014" max="11014" width="5" style="290" customWidth="1"/>
    <col min="11015" max="11015" width="15" style="290" customWidth="1"/>
    <col min="11016" max="11016" width="14" style="290" customWidth="1"/>
    <col min="11017" max="11019" width="16.6640625" style="290" customWidth="1"/>
    <col min="11020" max="11022" width="13.6640625" style="290" customWidth="1"/>
    <col min="11023" max="11032" width="13.5" style="290"/>
    <col min="11033" max="11072" width="0" style="290" hidden="1" customWidth="1"/>
    <col min="11073" max="11264" width="13.5" style="290"/>
    <col min="11265" max="11265" width="4.33203125" style="290" customWidth="1"/>
    <col min="11266" max="11266" width="8.83203125" style="290" customWidth="1"/>
    <col min="11267" max="11267" width="16.6640625" style="290" customWidth="1"/>
    <col min="11268" max="11268" width="1.6640625" style="290" customWidth="1"/>
    <col min="11269" max="11269" width="97.83203125" style="290" customWidth="1"/>
    <col min="11270" max="11270" width="5" style="290" customWidth="1"/>
    <col min="11271" max="11271" width="15" style="290" customWidth="1"/>
    <col min="11272" max="11272" width="14" style="290" customWidth="1"/>
    <col min="11273" max="11275" width="16.6640625" style="290" customWidth="1"/>
    <col min="11276" max="11278" width="13.6640625" style="290" customWidth="1"/>
    <col min="11279" max="11288" width="13.5" style="290"/>
    <col min="11289" max="11328" width="0" style="290" hidden="1" customWidth="1"/>
    <col min="11329" max="11520" width="13.5" style="290"/>
    <col min="11521" max="11521" width="4.33203125" style="290" customWidth="1"/>
    <col min="11522" max="11522" width="8.83203125" style="290" customWidth="1"/>
    <col min="11523" max="11523" width="16.6640625" style="290" customWidth="1"/>
    <col min="11524" max="11524" width="1.6640625" style="290" customWidth="1"/>
    <col min="11525" max="11525" width="97.83203125" style="290" customWidth="1"/>
    <col min="11526" max="11526" width="5" style="290" customWidth="1"/>
    <col min="11527" max="11527" width="15" style="290" customWidth="1"/>
    <col min="11528" max="11528" width="14" style="290" customWidth="1"/>
    <col min="11529" max="11531" width="16.6640625" style="290" customWidth="1"/>
    <col min="11532" max="11534" width="13.6640625" style="290" customWidth="1"/>
    <col min="11535" max="11544" width="13.5" style="290"/>
    <col min="11545" max="11584" width="0" style="290" hidden="1" customWidth="1"/>
    <col min="11585" max="11776" width="13.5" style="290"/>
    <col min="11777" max="11777" width="4.33203125" style="290" customWidth="1"/>
    <col min="11778" max="11778" width="8.83203125" style="290" customWidth="1"/>
    <col min="11779" max="11779" width="16.6640625" style="290" customWidth="1"/>
    <col min="11780" max="11780" width="1.6640625" style="290" customWidth="1"/>
    <col min="11781" max="11781" width="97.83203125" style="290" customWidth="1"/>
    <col min="11782" max="11782" width="5" style="290" customWidth="1"/>
    <col min="11783" max="11783" width="15" style="290" customWidth="1"/>
    <col min="11784" max="11784" width="14" style="290" customWidth="1"/>
    <col min="11785" max="11787" width="16.6640625" style="290" customWidth="1"/>
    <col min="11788" max="11790" width="13.6640625" style="290" customWidth="1"/>
    <col min="11791" max="11800" width="13.5" style="290"/>
    <col min="11801" max="11840" width="0" style="290" hidden="1" customWidth="1"/>
    <col min="11841" max="12032" width="13.5" style="290"/>
    <col min="12033" max="12033" width="4.33203125" style="290" customWidth="1"/>
    <col min="12034" max="12034" width="8.83203125" style="290" customWidth="1"/>
    <col min="12035" max="12035" width="16.6640625" style="290" customWidth="1"/>
    <col min="12036" max="12036" width="1.6640625" style="290" customWidth="1"/>
    <col min="12037" max="12037" width="97.83203125" style="290" customWidth="1"/>
    <col min="12038" max="12038" width="5" style="290" customWidth="1"/>
    <col min="12039" max="12039" width="15" style="290" customWidth="1"/>
    <col min="12040" max="12040" width="14" style="290" customWidth="1"/>
    <col min="12041" max="12043" width="16.6640625" style="290" customWidth="1"/>
    <col min="12044" max="12046" width="13.6640625" style="290" customWidth="1"/>
    <col min="12047" max="12056" width="13.5" style="290"/>
    <col min="12057" max="12096" width="0" style="290" hidden="1" customWidth="1"/>
    <col min="12097" max="12288" width="13.5" style="290"/>
    <col min="12289" max="12289" width="4.33203125" style="290" customWidth="1"/>
    <col min="12290" max="12290" width="8.83203125" style="290" customWidth="1"/>
    <col min="12291" max="12291" width="16.6640625" style="290" customWidth="1"/>
    <col min="12292" max="12292" width="1.6640625" style="290" customWidth="1"/>
    <col min="12293" max="12293" width="97.83203125" style="290" customWidth="1"/>
    <col min="12294" max="12294" width="5" style="290" customWidth="1"/>
    <col min="12295" max="12295" width="15" style="290" customWidth="1"/>
    <col min="12296" max="12296" width="14" style="290" customWidth="1"/>
    <col min="12297" max="12299" width="16.6640625" style="290" customWidth="1"/>
    <col min="12300" max="12302" width="13.6640625" style="290" customWidth="1"/>
    <col min="12303" max="12312" width="13.5" style="290"/>
    <col min="12313" max="12352" width="0" style="290" hidden="1" customWidth="1"/>
    <col min="12353" max="12544" width="13.5" style="290"/>
    <col min="12545" max="12545" width="4.33203125" style="290" customWidth="1"/>
    <col min="12546" max="12546" width="8.83203125" style="290" customWidth="1"/>
    <col min="12547" max="12547" width="16.6640625" style="290" customWidth="1"/>
    <col min="12548" max="12548" width="1.6640625" style="290" customWidth="1"/>
    <col min="12549" max="12549" width="97.83203125" style="290" customWidth="1"/>
    <col min="12550" max="12550" width="5" style="290" customWidth="1"/>
    <col min="12551" max="12551" width="15" style="290" customWidth="1"/>
    <col min="12552" max="12552" width="14" style="290" customWidth="1"/>
    <col min="12553" max="12555" width="16.6640625" style="290" customWidth="1"/>
    <col min="12556" max="12558" width="13.6640625" style="290" customWidth="1"/>
    <col min="12559" max="12568" width="13.5" style="290"/>
    <col min="12569" max="12608" width="0" style="290" hidden="1" customWidth="1"/>
    <col min="12609" max="12800" width="13.5" style="290"/>
    <col min="12801" max="12801" width="4.33203125" style="290" customWidth="1"/>
    <col min="12802" max="12802" width="8.83203125" style="290" customWidth="1"/>
    <col min="12803" max="12803" width="16.6640625" style="290" customWidth="1"/>
    <col min="12804" max="12804" width="1.6640625" style="290" customWidth="1"/>
    <col min="12805" max="12805" width="97.83203125" style="290" customWidth="1"/>
    <col min="12806" max="12806" width="5" style="290" customWidth="1"/>
    <col min="12807" max="12807" width="15" style="290" customWidth="1"/>
    <col min="12808" max="12808" width="14" style="290" customWidth="1"/>
    <col min="12809" max="12811" width="16.6640625" style="290" customWidth="1"/>
    <col min="12812" max="12814" width="13.6640625" style="290" customWidth="1"/>
    <col min="12815" max="12824" width="13.5" style="290"/>
    <col min="12825" max="12864" width="0" style="290" hidden="1" customWidth="1"/>
    <col min="12865" max="13056" width="13.5" style="290"/>
    <col min="13057" max="13057" width="4.33203125" style="290" customWidth="1"/>
    <col min="13058" max="13058" width="8.83203125" style="290" customWidth="1"/>
    <col min="13059" max="13059" width="16.6640625" style="290" customWidth="1"/>
    <col min="13060" max="13060" width="1.6640625" style="290" customWidth="1"/>
    <col min="13061" max="13061" width="97.83203125" style="290" customWidth="1"/>
    <col min="13062" max="13062" width="5" style="290" customWidth="1"/>
    <col min="13063" max="13063" width="15" style="290" customWidth="1"/>
    <col min="13064" max="13064" width="14" style="290" customWidth="1"/>
    <col min="13065" max="13067" width="16.6640625" style="290" customWidth="1"/>
    <col min="13068" max="13070" width="13.6640625" style="290" customWidth="1"/>
    <col min="13071" max="13080" width="13.5" style="290"/>
    <col min="13081" max="13120" width="0" style="290" hidden="1" customWidth="1"/>
    <col min="13121" max="13312" width="13.5" style="290"/>
    <col min="13313" max="13313" width="4.33203125" style="290" customWidth="1"/>
    <col min="13314" max="13314" width="8.83203125" style="290" customWidth="1"/>
    <col min="13315" max="13315" width="16.6640625" style="290" customWidth="1"/>
    <col min="13316" max="13316" width="1.6640625" style="290" customWidth="1"/>
    <col min="13317" max="13317" width="97.83203125" style="290" customWidth="1"/>
    <col min="13318" max="13318" width="5" style="290" customWidth="1"/>
    <col min="13319" max="13319" width="15" style="290" customWidth="1"/>
    <col min="13320" max="13320" width="14" style="290" customWidth="1"/>
    <col min="13321" max="13323" width="16.6640625" style="290" customWidth="1"/>
    <col min="13324" max="13326" width="13.6640625" style="290" customWidth="1"/>
    <col min="13327" max="13336" width="13.5" style="290"/>
    <col min="13337" max="13376" width="0" style="290" hidden="1" customWidth="1"/>
    <col min="13377" max="13568" width="13.5" style="290"/>
    <col min="13569" max="13569" width="4.33203125" style="290" customWidth="1"/>
    <col min="13570" max="13570" width="8.83203125" style="290" customWidth="1"/>
    <col min="13571" max="13571" width="16.6640625" style="290" customWidth="1"/>
    <col min="13572" max="13572" width="1.6640625" style="290" customWidth="1"/>
    <col min="13573" max="13573" width="97.83203125" style="290" customWidth="1"/>
    <col min="13574" max="13574" width="5" style="290" customWidth="1"/>
    <col min="13575" max="13575" width="15" style="290" customWidth="1"/>
    <col min="13576" max="13576" width="14" style="290" customWidth="1"/>
    <col min="13577" max="13579" width="16.6640625" style="290" customWidth="1"/>
    <col min="13580" max="13582" width="13.6640625" style="290" customWidth="1"/>
    <col min="13583" max="13592" width="13.5" style="290"/>
    <col min="13593" max="13632" width="0" style="290" hidden="1" customWidth="1"/>
    <col min="13633" max="13824" width="13.5" style="290"/>
    <col min="13825" max="13825" width="4.33203125" style="290" customWidth="1"/>
    <col min="13826" max="13826" width="8.83203125" style="290" customWidth="1"/>
    <col min="13827" max="13827" width="16.6640625" style="290" customWidth="1"/>
    <col min="13828" max="13828" width="1.6640625" style="290" customWidth="1"/>
    <col min="13829" max="13829" width="97.83203125" style="290" customWidth="1"/>
    <col min="13830" max="13830" width="5" style="290" customWidth="1"/>
    <col min="13831" max="13831" width="15" style="290" customWidth="1"/>
    <col min="13832" max="13832" width="14" style="290" customWidth="1"/>
    <col min="13833" max="13835" width="16.6640625" style="290" customWidth="1"/>
    <col min="13836" max="13838" width="13.6640625" style="290" customWidth="1"/>
    <col min="13839" max="13848" width="13.5" style="290"/>
    <col min="13849" max="13888" width="0" style="290" hidden="1" customWidth="1"/>
    <col min="13889" max="14080" width="13.5" style="290"/>
    <col min="14081" max="14081" width="4.33203125" style="290" customWidth="1"/>
    <col min="14082" max="14082" width="8.83203125" style="290" customWidth="1"/>
    <col min="14083" max="14083" width="16.6640625" style="290" customWidth="1"/>
    <col min="14084" max="14084" width="1.6640625" style="290" customWidth="1"/>
    <col min="14085" max="14085" width="97.83203125" style="290" customWidth="1"/>
    <col min="14086" max="14086" width="5" style="290" customWidth="1"/>
    <col min="14087" max="14087" width="15" style="290" customWidth="1"/>
    <col min="14088" max="14088" width="14" style="290" customWidth="1"/>
    <col min="14089" max="14091" width="16.6640625" style="290" customWidth="1"/>
    <col min="14092" max="14094" width="13.6640625" style="290" customWidth="1"/>
    <col min="14095" max="14104" width="13.5" style="290"/>
    <col min="14105" max="14144" width="0" style="290" hidden="1" customWidth="1"/>
    <col min="14145" max="14336" width="13.5" style="290"/>
    <col min="14337" max="14337" width="4.33203125" style="290" customWidth="1"/>
    <col min="14338" max="14338" width="8.83203125" style="290" customWidth="1"/>
    <col min="14339" max="14339" width="16.6640625" style="290" customWidth="1"/>
    <col min="14340" max="14340" width="1.6640625" style="290" customWidth="1"/>
    <col min="14341" max="14341" width="97.83203125" style="290" customWidth="1"/>
    <col min="14342" max="14342" width="5" style="290" customWidth="1"/>
    <col min="14343" max="14343" width="15" style="290" customWidth="1"/>
    <col min="14344" max="14344" width="14" style="290" customWidth="1"/>
    <col min="14345" max="14347" width="16.6640625" style="290" customWidth="1"/>
    <col min="14348" max="14350" width="13.6640625" style="290" customWidth="1"/>
    <col min="14351" max="14360" width="13.5" style="290"/>
    <col min="14361" max="14400" width="0" style="290" hidden="1" customWidth="1"/>
    <col min="14401" max="14592" width="13.5" style="290"/>
    <col min="14593" max="14593" width="4.33203125" style="290" customWidth="1"/>
    <col min="14594" max="14594" width="8.83203125" style="290" customWidth="1"/>
    <col min="14595" max="14595" width="16.6640625" style="290" customWidth="1"/>
    <col min="14596" max="14596" width="1.6640625" style="290" customWidth="1"/>
    <col min="14597" max="14597" width="97.83203125" style="290" customWidth="1"/>
    <col min="14598" max="14598" width="5" style="290" customWidth="1"/>
    <col min="14599" max="14599" width="15" style="290" customWidth="1"/>
    <col min="14600" max="14600" width="14" style="290" customWidth="1"/>
    <col min="14601" max="14603" width="16.6640625" style="290" customWidth="1"/>
    <col min="14604" max="14606" width="13.6640625" style="290" customWidth="1"/>
    <col min="14607" max="14616" width="13.5" style="290"/>
    <col min="14617" max="14656" width="0" style="290" hidden="1" customWidth="1"/>
    <col min="14657" max="14848" width="13.5" style="290"/>
    <col min="14849" max="14849" width="4.33203125" style="290" customWidth="1"/>
    <col min="14850" max="14850" width="8.83203125" style="290" customWidth="1"/>
    <col min="14851" max="14851" width="16.6640625" style="290" customWidth="1"/>
    <col min="14852" max="14852" width="1.6640625" style="290" customWidth="1"/>
    <col min="14853" max="14853" width="97.83203125" style="290" customWidth="1"/>
    <col min="14854" max="14854" width="5" style="290" customWidth="1"/>
    <col min="14855" max="14855" width="15" style="290" customWidth="1"/>
    <col min="14856" max="14856" width="14" style="290" customWidth="1"/>
    <col min="14857" max="14859" width="16.6640625" style="290" customWidth="1"/>
    <col min="14860" max="14862" width="13.6640625" style="290" customWidth="1"/>
    <col min="14863" max="14872" width="13.5" style="290"/>
    <col min="14873" max="14912" width="0" style="290" hidden="1" customWidth="1"/>
    <col min="14913" max="15104" width="13.5" style="290"/>
    <col min="15105" max="15105" width="4.33203125" style="290" customWidth="1"/>
    <col min="15106" max="15106" width="8.83203125" style="290" customWidth="1"/>
    <col min="15107" max="15107" width="16.6640625" style="290" customWidth="1"/>
    <col min="15108" max="15108" width="1.6640625" style="290" customWidth="1"/>
    <col min="15109" max="15109" width="97.83203125" style="290" customWidth="1"/>
    <col min="15110" max="15110" width="5" style="290" customWidth="1"/>
    <col min="15111" max="15111" width="15" style="290" customWidth="1"/>
    <col min="15112" max="15112" width="14" style="290" customWidth="1"/>
    <col min="15113" max="15115" width="16.6640625" style="290" customWidth="1"/>
    <col min="15116" max="15118" width="13.6640625" style="290" customWidth="1"/>
    <col min="15119" max="15128" width="13.5" style="290"/>
    <col min="15129" max="15168" width="0" style="290" hidden="1" customWidth="1"/>
    <col min="15169" max="15360" width="13.5" style="290"/>
    <col min="15361" max="15361" width="4.33203125" style="290" customWidth="1"/>
    <col min="15362" max="15362" width="8.83203125" style="290" customWidth="1"/>
    <col min="15363" max="15363" width="16.6640625" style="290" customWidth="1"/>
    <col min="15364" max="15364" width="1.6640625" style="290" customWidth="1"/>
    <col min="15365" max="15365" width="97.83203125" style="290" customWidth="1"/>
    <col min="15366" max="15366" width="5" style="290" customWidth="1"/>
    <col min="15367" max="15367" width="15" style="290" customWidth="1"/>
    <col min="15368" max="15368" width="14" style="290" customWidth="1"/>
    <col min="15369" max="15371" width="16.6640625" style="290" customWidth="1"/>
    <col min="15372" max="15374" width="13.6640625" style="290" customWidth="1"/>
    <col min="15375" max="15384" width="13.5" style="290"/>
    <col min="15385" max="15424" width="0" style="290" hidden="1" customWidth="1"/>
    <col min="15425" max="15616" width="13.5" style="290"/>
    <col min="15617" max="15617" width="4.33203125" style="290" customWidth="1"/>
    <col min="15618" max="15618" width="8.83203125" style="290" customWidth="1"/>
    <col min="15619" max="15619" width="16.6640625" style="290" customWidth="1"/>
    <col min="15620" max="15620" width="1.6640625" style="290" customWidth="1"/>
    <col min="15621" max="15621" width="97.83203125" style="290" customWidth="1"/>
    <col min="15622" max="15622" width="5" style="290" customWidth="1"/>
    <col min="15623" max="15623" width="15" style="290" customWidth="1"/>
    <col min="15624" max="15624" width="14" style="290" customWidth="1"/>
    <col min="15625" max="15627" width="16.6640625" style="290" customWidth="1"/>
    <col min="15628" max="15630" width="13.6640625" style="290" customWidth="1"/>
    <col min="15631" max="15640" width="13.5" style="290"/>
    <col min="15641" max="15680" width="0" style="290" hidden="1" customWidth="1"/>
    <col min="15681" max="15872" width="13.5" style="290"/>
    <col min="15873" max="15873" width="4.33203125" style="290" customWidth="1"/>
    <col min="15874" max="15874" width="8.83203125" style="290" customWidth="1"/>
    <col min="15875" max="15875" width="16.6640625" style="290" customWidth="1"/>
    <col min="15876" max="15876" width="1.6640625" style="290" customWidth="1"/>
    <col min="15877" max="15877" width="97.83203125" style="290" customWidth="1"/>
    <col min="15878" max="15878" width="5" style="290" customWidth="1"/>
    <col min="15879" max="15879" width="15" style="290" customWidth="1"/>
    <col min="15880" max="15880" width="14" style="290" customWidth="1"/>
    <col min="15881" max="15883" width="16.6640625" style="290" customWidth="1"/>
    <col min="15884" max="15886" width="13.6640625" style="290" customWidth="1"/>
    <col min="15887" max="15896" width="13.5" style="290"/>
    <col min="15897" max="15936" width="0" style="290" hidden="1" customWidth="1"/>
    <col min="15937" max="16128" width="13.5" style="290"/>
    <col min="16129" max="16129" width="4.33203125" style="290" customWidth="1"/>
    <col min="16130" max="16130" width="8.83203125" style="290" customWidth="1"/>
    <col min="16131" max="16131" width="16.6640625" style="290" customWidth="1"/>
    <col min="16132" max="16132" width="1.6640625" style="290" customWidth="1"/>
    <col min="16133" max="16133" width="97.83203125" style="290" customWidth="1"/>
    <col min="16134" max="16134" width="5" style="290" customWidth="1"/>
    <col min="16135" max="16135" width="15" style="290" customWidth="1"/>
    <col min="16136" max="16136" width="14" style="290" customWidth="1"/>
    <col min="16137" max="16139" width="16.6640625" style="290" customWidth="1"/>
    <col min="16140" max="16142" width="13.6640625" style="290" customWidth="1"/>
    <col min="16143" max="16152" width="13.5" style="290"/>
    <col min="16153" max="16192" width="0" style="290" hidden="1" customWidth="1"/>
    <col min="16193" max="16384" width="13.5" style="290"/>
  </cols>
  <sheetData>
    <row r="1" spans="1:64" ht="72.95" customHeight="1">
      <c r="A1" s="468" t="s">
        <v>4498</v>
      </c>
      <c r="B1" s="469"/>
      <c r="C1" s="469"/>
      <c r="D1" s="469"/>
      <c r="E1" s="469"/>
      <c r="F1" s="469"/>
      <c r="G1" s="469"/>
      <c r="H1" s="469"/>
      <c r="I1" s="469"/>
      <c r="J1" s="469"/>
      <c r="K1" s="469"/>
      <c r="L1" s="469"/>
      <c r="M1" s="469"/>
      <c r="N1" s="469"/>
    </row>
    <row r="2" spans="1:64">
      <c r="A2" s="470" t="s">
        <v>4499</v>
      </c>
      <c r="B2" s="471"/>
      <c r="C2" s="471"/>
      <c r="D2" s="473" t="s">
        <v>4820</v>
      </c>
      <c r="E2" s="452"/>
      <c r="F2" s="475" t="s">
        <v>4501</v>
      </c>
      <c r="G2" s="471"/>
      <c r="H2" s="475" t="s">
        <v>4502</v>
      </c>
      <c r="I2" s="476" t="s">
        <v>4503</v>
      </c>
      <c r="J2" s="476" t="s">
        <v>4504</v>
      </c>
      <c r="K2" s="471"/>
      <c r="L2" s="471"/>
      <c r="M2" s="471"/>
      <c r="N2" s="477"/>
      <c r="O2" s="291"/>
    </row>
    <row r="3" spans="1:64">
      <c r="A3" s="472"/>
      <c r="B3" s="440"/>
      <c r="C3" s="440"/>
      <c r="D3" s="474"/>
      <c r="E3" s="474"/>
      <c r="F3" s="440"/>
      <c r="G3" s="440"/>
      <c r="H3" s="440"/>
      <c r="I3" s="440"/>
      <c r="J3" s="440"/>
      <c r="K3" s="440"/>
      <c r="L3" s="440"/>
      <c r="M3" s="440"/>
      <c r="N3" s="466"/>
      <c r="O3" s="291"/>
    </row>
    <row r="4" spans="1:64">
      <c r="A4" s="462" t="s">
        <v>4505</v>
      </c>
      <c r="B4" s="440"/>
      <c r="C4" s="440"/>
      <c r="D4" s="439" t="s">
        <v>4821</v>
      </c>
      <c r="E4" s="440"/>
      <c r="F4" s="465" t="s">
        <v>4507</v>
      </c>
      <c r="G4" s="440"/>
      <c r="H4" s="465" t="s">
        <v>4502</v>
      </c>
      <c r="I4" s="439" t="s">
        <v>32</v>
      </c>
      <c r="J4" s="439" t="s">
        <v>4508</v>
      </c>
      <c r="K4" s="440"/>
      <c r="L4" s="440"/>
      <c r="M4" s="440"/>
      <c r="N4" s="466"/>
      <c r="O4" s="291"/>
    </row>
    <row r="5" spans="1:64">
      <c r="A5" s="472"/>
      <c r="B5" s="440"/>
      <c r="C5" s="440"/>
      <c r="D5" s="440"/>
      <c r="E5" s="440"/>
      <c r="F5" s="440"/>
      <c r="G5" s="440"/>
      <c r="H5" s="440"/>
      <c r="I5" s="440"/>
      <c r="J5" s="440"/>
      <c r="K5" s="440"/>
      <c r="L5" s="440"/>
      <c r="M5" s="440"/>
      <c r="N5" s="466"/>
      <c r="O5" s="291"/>
    </row>
    <row r="6" spans="1:64">
      <c r="A6" s="462" t="s">
        <v>4509</v>
      </c>
      <c r="B6" s="440"/>
      <c r="C6" s="440"/>
      <c r="D6" s="439" t="s">
        <v>4510</v>
      </c>
      <c r="E6" s="440"/>
      <c r="F6" s="465" t="s">
        <v>4511</v>
      </c>
      <c r="G6" s="440"/>
      <c r="H6" s="465" t="s">
        <v>4502</v>
      </c>
      <c r="I6" s="439" t="s">
        <v>4512</v>
      </c>
      <c r="J6" s="465" t="s">
        <v>4513</v>
      </c>
      <c r="K6" s="440"/>
      <c r="L6" s="440"/>
      <c r="M6" s="440"/>
      <c r="N6" s="466"/>
      <c r="O6" s="291"/>
    </row>
    <row r="7" spans="1:64">
      <c r="A7" s="472"/>
      <c r="B7" s="440"/>
      <c r="C7" s="440"/>
      <c r="D7" s="440"/>
      <c r="E7" s="440"/>
      <c r="F7" s="440"/>
      <c r="G7" s="440"/>
      <c r="H7" s="440"/>
      <c r="I7" s="440"/>
      <c r="J7" s="440"/>
      <c r="K7" s="440"/>
      <c r="L7" s="440"/>
      <c r="M7" s="440"/>
      <c r="N7" s="466"/>
      <c r="O7" s="291"/>
    </row>
    <row r="8" spans="1:64">
      <c r="A8" s="462" t="s">
        <v>4514</v>
      </c>
      <c r="B8" s="440"/>
      <c r="C8" s="440"/>
      <c r="D8" s="439" t="s">
        <v>4502</v>
      </c>
      <c r="E8" s="440"/>
      <c r="F8" s="465" t="s">
        <v>4515</v>
      </c>
      <c r="G8" s="440"/>
      <c r="H8" s="465" t="s">
        <v>4822</v>
      </c>
      <c r="I8" s="439" t="s">
        <v>4517</v>
      </c>
      <c r="J8" s="439" t="s">
        <v>4508</v>
      </c>
      <c r="K8" s="440"/>
      <c r="L8" s="440"/>
      <c r="M8" s="440"/>
      <c r="N8" s="466"/>
      <c r="O8" s="291"/>
    </row>
    <row r="9" spans="1:64" ht="13.5" thickBot="1">
      <c r="A9" s="463"/>
      <c r="B9" s="464"/>
      <c r="C9" s="464"/>
      <c r="D9" s="464"/>
      <c r="E9" s="464"/>
      <c r="F9" s="464"/>
      <c r="G9" s="464"/>
      <c r="H9" s="464"/>
      <c r="I9" s="464"/>
      <c r="J9" s="464"/>
      <c r="K9" s="464"/>
      <c r="L9" s="464"/>
      <c r="M9" s="464"/>
      <c r="N9" s="467"/>
      <c r="O9" s="291"/>
    </row>
    <row r="10" spans="1:64">
      <c r="A10" s="292" t="s">
        <v>4518</v>
      </c>
      <c r="B10" s="293" t="s">
        <v>4433</v>
      </c>
      <c r="C10" s="293" t="s">
        <v>58</v>
      </c>
      <c r="D10" s="453" t="s">
        <v>4519</v>
      </c>
      <c r="E10" s="454"/>
      <c r="F10" s="293" t="s">
        <v>164</v>
      </c>
      <c r="G10" s="294" t="s">
        <v>165</v>
      </c>
      <c r="H10" s="295" t="s">
        <v>4520</v>
      </c>
      <c r="I10" s="455" t="s">
        <v>4521</v>
      </c>
      <c r="J10" s="456"/>
      <c r="K10" s="457"/>
      <c r="L10" s="455" t="s">
        <v>4522</v>
      </c>
      <c r="M10" s="457"/>
      <c r="N10" s="296" t="s">
        <v>4523</v>
      </c>
      <c r="O10" s="297"/>
      <c r="BK10" s="298" t="s">
        <v>4524</v>
      </c>
      <c r="BL10" s="299" t="s">
        <v>4525</v>
      </c>
    </row>
    <row r="11" spans="1:64" ht="13.5" thickBot="1">
      <c r="A11" s="300" t="s">
        <v>4502</v>
      </c>
      <c r="B11" s="301" t="s">
        <v>4502</v>
      </c>
      <c r="C11" s="301" t="s">
        <v>4502</v>
      </c>
      <c r="D11" s="458" t="s">
        <v>4526</v>
      </c>
      <c r="E11" s="459"/>
      <c r="F11" s="301" t="s">
        <v>4502</v>
      </c>
      <c r="G11" s="301" t="s">
        <v>4502</v>
      </c>
      <c r="H11" s="302" t="s">
        <v>4527</v>
      </c>
      <c r="I11" s="303" t="s">
        <v>4528</v>
      </c>
      <c r="J11" s="304" t="s">
        <v>4529</v>
      </c>
      <c r="K11" s="305" t="s">
        <v>4530</v>
      </c>
      <c r="L11" s="303" t="s">
        <v>4531</v>
      </c>
      <c r="M11" s="305" t="s">
        <v>4530</v>
      </c>
      <c r="N11" s="306" t="s">
        <v>4532</v>
      </c>
      <c r="O11" s="297"/>
      <c r="Z11" s="298" t="s">
        <v>4533</v>
      </c>
      <c r="AA11" s="298" t="s">
        <v>4534</v>
      </c>
      <c r="AB11" s="298" t="s">
        <v>4535</v>
      </c>
      <c r="AC11" s="298" t="s">
        <v>4536</v>
      </c>
      <c r="AD11" s="298" t="s">
        <v>4537</v>
      </c>
      <c r="AE11" s="298" t="s">
        <v>4538</v>
      </c>
      <c r="AF11" s="298" t="s">
        <v>4539</v>
      </c>
      <c r="AG11" s="298" t="s">
        <v>4540</v>
      </c>
      <c r="AH11" s="298" t="s">
        <v>4541</v>
      </c>
      <c r="BH11" s="298" t="s">
        <v>4542</v>
      </c>
      <c r="BI11" s="298" t="s">
        <v>4543</v>
      </c>
      <c r="BJ11" s="298" t="s">
        <v>4544</v>
      </c>
    </row>
    <row r="12" spans="1:64">
      <c r="A12" s="307"/>
      <c r="B12" s="308"/>
      <c r="C12" s="308" t="s">
        <v>770</v>
      </c>
      <c r="D12" s="460" t="s">
        <v>771</v>
      </c>
      <c r="E12" s="461"/>
      <c r="F12" s="309" t="s">
        <v>4502</v>
      </c>
      <c r="G12" s="309" t="s">
        <v>4502</v>
      </c>
      <c r="H12" s="309" t="s">
        <v>4502</v>
      </c>
      <c r="I12" s="310">
        <f>SUM(I13:I19)</f>
        <v>0</v>
      </c>
      <c r="J12" s="310">
        <f>SUM(J13:J19)</f>
        <v>0</v>
      </c>
      <c r="K12" s="310">
        <f>SUM(K13:K19)</f>
        <v>0</v>
      </c>
      <c r="L12" s="311"/>
      <c r="M12" s="310">
        <f>SUM(M13:M19)</f>
        <v>3.5279400000000002E-2</v>
      </c>
      <c r="N12" s="312"/>
      <c r="O12" s="291"/>
      <c r="AI12" s="298"/>
      <c r="AS12" s="313">
        <f>SUM(AJ13:AJ19)</f>
        <v>0</v>
      </c>
      <c r="AT12" s="313">
        <f>SUM(AK13:AK19)</f>
        <v>0</v>
      </c>
      <c r="AU12" s="313">
        <f>SUM(AL13:AL19)</f>
        <v>0</v>
      </c>
    </row>
    <row r="13" spans="1:64">
      <c r="A13" s="314" t="s">
        <v>85</v>
      </c>
      <c r="B13" s="315"/>
      <c r="C13" s="315" t="s">
        <v>4823</v>
      </c>
      <c r="D13" s="443" t="s">
        <v>4824</v>
      </c>
      <c r="E13" s="444"/>
      <c r="F13" s="315" t="s">
        <v>332</v>
      </c>
      <c r="G13" s="316">
        <v>18.14</v>
      </c>
      <c r="H13" s="316"/>
      <c r="I13" s="316">
        <f>G13*AO13</f>
        <v>0</v>
      </c>
      <c r="J13" s="316">
        <f>G13*AP13</f>
        <v>0</v>
      </c>
      <c r="K13" s="316">
        <f>G13*H13</f>
        <v>0</v>
      </c>
      <c r="L13" s="316">
        <v>8.4000000000000003E-4</v>
      </c>
      <c r="M13" s="316">
        <f>G13*L13</f>
        <v>1.52376E-2</v>
      </c>
      <c r="N13" s="317" t="s">
        <v>4548</v>
      </c>
      <c r="O13" s="291"/>
      <c r="Z13" s="318">
        <f>IF(AQ13="5",BJ13,0)</f>
        <v>0</v>
      </c>
      <c r="AB13" s="318">
        <f>IF(AQ13="1",BH13,0)</f>
        <v>0</v>
      </c>
      <c r="AC13" s="318">
        <f>IF(AQ13="1",BI13,0)</f>
        <v>0</v>
      </c>
      <c r="AD13" s="318">
        <f>IF(AQ13="7",BH13,0)</f>
        <v>0</v>
      </c>
      <c r="AE13" s="318">
        <f>IF(AQ13="7",BI13,0)</f>
        <v>0</v>
      </c>
      <c r="AF13" s="318">
        <f>IF(AQ13="2",BH13,0)</f>
        <v>0</v>
      </c>
      <c r="AG13" s="318">
        <f>IF(AQ13="2",BI13,0)</f>
        <v>0</v>
      </c>
      <c r="AH13" s="318">
        <f>IF(AQ13="0",BJ13,0)</f>
        <v>0</v>
      </c>
      <c r="AI13" s="298"/>
      <c r="AJ13" s="316">
        <f>IF(AN13=0,K13,0)</f>
        <v>0</v>
      </c>
      <c r="AK13" s="316">
        <f>IF(AN13=15,K13,0)</f>
        <v>0</v>
      </c>
      <c r="AL13" s="316">
        <f>IF(AN13=21,K13,0)</f>
        <v>0</v>
      </c>
      <c r="AN13" s="318">
        <v>21</v>
      </c>
      <c r="AO13" s="318">
        <f>H13*0.106452258463822</f>
        <v>0</v>
      </c>
      <c r="AP13" s="318">
        <f>H13*(1-0.106452258463822)</f>
        <v>0</v>
      </c>
      <c r="AQ13" s="319" t="s">
        <v>241</v>
      </c>
      <c r="AV13" s="318">
        <f>AW13+AX13</f>
        <v>0</v>
      </c>
      <c r="AW13" s="318">
        <f>G13*AO13</f>
        <v>0</v>
      </c>
      <c r="AX13" s="318">
        <f>G13*AP13</f>
        <v>0</v>
      </c>
      <c r="AY13" s="320" t="s">
        <v>4825</v>
      </c>
      <c r="AZ13" s="320" t="s">
        <v>4826</v>
      </c>
      <c r="BA13" s="298" t="s">
        <v>4551</v>
      </c>
      <c r="BC13" s="318">
        <f>AW13+AX13</f>
        <v>0</v>
      </c>
      <c r="BD13" s="318">
        <f>H13/(100-BE13)*100</f>
        <v>0</v>
      </c>
      <c r="BE13" s="318">
        <v>0</v>
      </c>
      <c r="BF13" s="318">
        <f>M13</f>
        <v>1.52376E-2</v>
      </c>
      <c r="BH13" s="316">
        <f>G13*AO13</f>
        <v>0</v>
      </c>
      <c r="BI13" s="316">
        <f>G13*AP13</f>
        <v>0</v>
      </c>
      <c r="BJ13" s="316">
        <f>G13*H13</f>
        <v>0</v>
      </c>
      <c r="BK13" s="316" t="s">
        <v>815</v>
      </c>
      <c r="BL13" s="318">
        <v>713</v>
      </c>
    </row>
    <row r="14" spans="1:64">
      <c r="A14" s="388" t="s">
        <v>87</v>
      </c>
      <c r="B14" s="389"/>
      <c r="C14" s="389" t="s">
        <v>4827</v>
      </c>
      <c r="D14" s="480" t="s">
        <v>4828</v>
      </c>
      <c r="E14" s="481"/>
      <c r="F14" s="389" t="s">
        <v>476</v>
      </c>
      <c r="G14" s="390">
        <v>3.14</v>
      </c>
      <c r="H14" s="390"/>
      <c r="I14" s="390">
        <f>G14*AO14</f>
        <v>0</v>
      </c>
      <c r="J14" s="390">
        <f>G14*AP14</f>
        <v>0</v>
      </c>
      <c r="K14" s="390">
        <f>G14*H14</f>
        <v>0</v>
      </c>
      <c r="L14" s="390">
        <v>1.2E-4</v>
      </c>
      <c r="M14" s="390">
        <f>G14*L14</f>
        <v>3.7680000000000005E-4</v>
      </c>
      <c r="N14" s="391" t="s">
        <v>4548</v>
      </c>
      <c r="O14" s="291"/>
      <c r="Z14" s="318">
        <f>IF(AQ14="5",BJ14,0)</f>
        <v>0</v>
      </c>
      <c r="AB14" s="318">
        <f>IF(AQ14="1",BH14,0)</f>
        <v>0</v>
      </c>
      <c r="AC14" s="318">
        <f>IF(AQ14="1",BI14,0)</f>
        <v>0</v>
      </c>
      <c r="AD14" s="318">
        <f>IF(AQ14="7",BH14,0)</f>
        <v>0</v>
      </c>
      <c r="AE14" s="318">
        <f>IF(AQ14="7",BI14,0)</f>
        <v>0</v>
      </c>
      <c r="AF14" s="318">
        <f>IF(AQ14="2",BH14,0)</f>
        <v>0</v>
      </c>
      <c r="AG14" s="318">
        <f>IF(AQ14="2",BI14,0)</f>
        <v>0</v>
      </c>
      <c r="AH14" s="318">
        <f>IF(AQ14="0",BJ14,0)</f>
        <v>0</v>
      </c>
      <c r="AI14" s="298"/>
      <c r="AJ14" s="390">
        <f>IF(AN14=0,K14,0)</f>
        <v>0</v>
      </c>
      <c r="AK14" s="390">
        <f>IF(AN14=15,K14,0)</f>
        <v>0</v>
      </c>
      <c r="AL14" s="390">
        <f>IF(AN14=21,K14,0)</f>
        <v>0</v>
      </c>
      <c r="AN14" s="318">
        <v>21</v>
      </c>
      <c r="AO14" s="318">
        <f>H14*1</f>
        <v>0</v>
      </c>
      <c r="AP14" s="318">
        <f>H14*(1-1)</f>
        <v>0</v>
      </c>
      <c r="AQ14" s="392" t="s">
        <v>241</v>
      </c>
      <c r="AV14" s="318">
        <f>AW14+AX14</f>
        <v>0</v>
      </c>
      <c r="AW14" s="318">
        <f>G14*AO14</f>
        <v>0</v>
      </c>
      <c r="AX14" s="318">
        <f>G14*AP14</f>
        <v>0</v>
      </c>
      <c r="AY14" s="320" t="s">
        <v>4825</v>
      </c>
      <c r="AZ14" s="320" t="s">
        <v>4826</v>
      </c>
      <c r="BA14" s="298" t="s">
        <v>4551</v>
      </c>
      <c r="BC14" s="318">
        <f>AW14+AX14</f>
        <v>0</v>
      </c>
      <c r="BD14" s="318">
        <f>H14/(100-BE14)*100</f>
        <v>0</v>
      </c>
      <c r="BE14" s="318">
        <v>0</v>
      </c>
      <c r="BF14" s="318">
        <f>M14</f>
        <v>3.7680000000000005E-4</v>
      </c>
      <c r="BH14" s="390">
        <f>G14*AO14</f>
        <v>0</v>
      </c>
      <c r="BI14" s="390">
        <f>G14*AP14</f>
        <v>0</v>
      </c>
      <c r="BJ14" s="390">
        <f>G14*H14</f>
        <v>0</v>
      </c>
      <c r="BK14" s="390" t="s">
        <v>484</v>
      </c>
      <c r="BL14" s="318">
        <v>713</v>
      </c>
    </row>
    <row r="15" spans="1:64">
      <c r="A15" s="388" t="s">
        <v>198</v>
      </c>
      <c r="B15" s="389"/>
      <c r="C15" s="389" t="s">
        <v>4829</v>
      </c>
      <c r="D15" s="480" t="s">
        <v>4830</v>
      </c>
      <c r="E15" s="481"/>
      <c r="F15" s="389" t="s">
        <v>476</v>
      </c>
      <c r="G15" s="390">
        <v>15</v>
      </c>
      <c r="H15" s="390"/>
      <c r="I15" s="390">
        <f>G15*AO15</f>
        <v>0</v>
      </c>
      <c r="J15" s="390">
        <f>G15*AP15</f>
        <v>0</v>
      </c>
      <c r="K15" s="390">
        <f>G15*H15</f>
        <v>0</v>
      </c>
      <c r="L15" s="390">
        <v>9.0000000000000006E-5</v>
      </c>
      <c r="M15" s="390">
        <f>G15*L15</f>
        <v>1.3500000000000001E-3</v>
      </c>
      <c r="N15" s="391" t="s">
        <v>4548</v>
      </c>
      <c r="O15" s="291"/>
      <c r="Z15" s="318">
        <f>IF(AQ15="5",BJ15,0)</f>
        <v>0</v>
      </c>
      <c r="AB15" s="318">
        <f>IF(AQ15="1",BH15,0)</f>
        <v>0</v>
      </c>
      <c r="AC15" s="318">
        <f>IF(AQ15="1",BI15,0)</f>
        <v>0</v>
      </c>
      <c r="AD15" s="318">
        <f>IF(AQ15="7",BH15,0)</f>
        <v>0</v>
      </c>
      <c r="AE15" s="318">
        <f>IF(AQ15="7",BI15,0)</f>
        <v>0</v>
      </c>
      <c r="AF15" s="318">
        <f>IF(AQ15="2",BH15,0)</f>
        <v>0</v>
      </c>
      <c r="AG15" s="318">
        <f>IF(AQ15="2",BI15,0)</f>
        <v>0</v>
      </c>
      <c r="AH15" s="318">
        <f>IF(AQ15="0",BJ15,0)</f>
        <v>0</v>
      </c>
      <c r="AI15" s="298"/>
      <c r="AJ15" s="390">
        <f>IF(AN15=0,K15,0)</f>
        <v>0</v>
      </c>
      <c r="AK15" s="390">
        <f>IF(AN15=15,K15,0)</f>
        <v>0</v>
      </c>
      <c r="AL15" s="390">
        <f>IF(AN15=21,K15,0)</f>
        <v>0</v>
      </c>
      <c r="AN15" s="318">
        <v>21</v>
      </c>
      <c r="AO15" s="318">
        <f>H15*1</f>
        <v>0</v>
      </c>
      <c r="AP15" s="318">
        <f>H15*(1-1)</f>
        <v>0</v>
      </c>
      <c r="AQ15" s="392" t="s">
        <v>241</v>
      </c>
      <c r="AV15" s="318">
        <f>AW15+AX15</f>
        <v>0</v>
      </c>
      <c r="AW15" s="318">
        <f>G15*AO15</f>
        <v>0</v>
      </c>
      <c r="AX15" s="318">
        <f>G15*AP15</f>
        <v>0</v>
      </c>
      <c r="AY15" s="320" t="s">
        <v>4825</v>
      </c>
      <c r="AZ15" s="320" t="s">
        <v>4826</v>
      </c>
      <c r="BA15" s="298" t="s">
        <v>4551</v>
      </c>
      <c r="BC15" s="318">
        <f>AW15+AX15</f>
        <v>0</v>
      </c>
      <c r="BD15" s="318">
        <f>H15/(100-BE15)*100</f>
        <v>0</v>
      </c>
      <c r="BE15" s="318">
        <v>0</v>
      </c>
      <c r="BF15" s="318">
        <f>M15</f>
        <v>1.3500000000000001E-3</v>
      </c>
      <c r="BH15" s="390">
        <f>G15*AO15</f>
        <v>0</v>
      </c>
      <c r="BI15" s="390">
        <f>G15*AP15</f>
        <v>0</v>
      </c>
      <c r="BJ15" s="390">
        <f>G15*H15</f>
        <v>0</v>
      </c>
      <c r="BK15" s="390" t="s">
        <v>484</v>
      </c>
      <c r="BL15" s="318">
        <v>713</v>
      </c>
    </row>
    <row r="16" spans="1:64">
      <c r="A16" s="314" t="s">
        <v>185</v>
      </c>
      <c r="B16" s="315"/>
      <c r="C16" s="315" t="s">
        <v>4831</v>
      </c>
      <c r="D16" s="443" t="s">
        <v>4832</v>
      </c>
      <c r="E16" s="444"/>
      <c r="F16" s="315" t="s">
        <v>332</v>
      </c>
      <c r="G16" s="316">
        <v>1.5</v>
      </c>
      <c r="H16" s="316"/>
      <c r="I16" s="316">
        <f>G16*AO16</f>
        <v>0</v>
      </c>
      <c r="J16" s="316">
        <f>G16*AP16</f>
        <v>0</v>
      </c>
      <c r="K16" s="316">
        <f>G16*H16</f>
        <v>0</v>
      </c>
      <c r="L16" s="316">
        <v>1.1E-4</v>
      </c>
      <c r="M16" s="316">
        <f>G16*L16</f>
        <v>1.65E-4</v>
      </c>
      <c r="N16" s="317" t="s">
        <v>4548</v>
      </c>
      <c r="O16" s="291"/>
      <c r="Z16" s="318">
        <f>IF(AQ16="5",BJ16,0)</f>
        <v>0</v>
      </c>
      <c r="AB16" s="318">
        <f>IF(AQ16="1",BH16,0)</f>
        <v>0</v>
      </c>
      <c r="AC16" s="318">
        <f>IF(AQ16="1",BI16,0)</f>
        <v>0</v>
      </c>
      <c r="AD16" s="318">
        <f>IF(AQ16="7",BH16,0)</f>
        <v>0</v>
      </c>
      <c r="AE16" s="318">
        <f>IF(AQ16="7",BI16,0)</f>
        <v>0</v>
      </c>
      <c r="AF16" s="318">
        <f>IF(AQ16="2",BH16,0)</f>
        <v>0</v>
      </c>
      <c r="AG16" s="318">
        <f>IF(AQ16="2",BI16,0)</f>
        <v>0</v>
      </c>
      <c r="AH16" s="318">
        <f>IF(AQ16="0",BJ16,0)</f>
        <v>0</v>
      </c>
      <c r="AI16" s="298"/>
      <c r="AJ16" s="316">
        <f>IF(AN16=0,K16,0)</f>
        <v>0</v>
      </c>
      <c r="AK16" s="316">
        <f>IF(AN16=15,K16,0)</f>
        <v>0</v>
      </c>
      <c r="AL16" s="316">
        <f>IF(AN16=21,K16,0)</f>
        <v>0</v>
      </c>
      <c r="AN16" s="318">
        <v>21</v>
      </c>
      <c r="AO16" s="318">
        <f>H16*0.0440493827160494</f>
        <v>0</v>
      </c>
      <c r="AP16" s="318">
        <f>H16*(1-0.0440493827160494)</f>
        <v>0</v>
      </c>
      <c r="AQ16" s="319" t="s">
        <v>241</v>
      </c>
      <c r="AV16" s="318">
        <f>AW16+AX16</f>
        <v>0</v>
      </c>
      <c r="AW16" s="318">
        <f>G16*AO16</f>
        <v>0</v>
      </c>
      <c r="AX16" s="318">
        <f>G16*AP16</f>
        <v>0</v>
      </c>
      <c r="AY16" s="320" t="s">
        <v>4825</v>
      </c>
      <c r="AZ16" s="320" t="s">
        <v>4826</v>
      </c>
      <c r="BA16" s="298" t="s">
        <v>4551</v>
      </c>
      <c r="BC16" s="318">
        <f>AW16+AX16</f>
        <v>0</v>
      </c>
      <c r="BD16" s="318">
        <f>H16/(100-BE16)*100</f>
        <v>0</v>
      </c>
      <c r="BE16" s="318">
        <v>0</v>
      </c>
      <c r="BF16" s="318">
        <f>M16</f>
        <v>1.65E-4</v>
      </c>
      <c r="BH16" s="316">
        <f>G16*AO16</f>
        <v>0</v>
      </c>
      <c r="BI16" s="316">
        <f>G16*AP16</f>
        <v>0</v>
      </c>
      <c r="BJ16" s="316">
        <f>G16*H16</f>
        <v>0</v>
      </c>
      <c r="BK16" s="316" t="s">
        <v>815</v>
      </c>
      <c r="BL16" s="318">
        <v>713</v>
      </c>
    </row>
    <row r="17" spans="1:64">
      <c r="A17" s="291"/>
      <c r="C17" s="321" t="s">
        <v>4552</v>
      </c>
      <c r="D17" s="445" t="s">
        <v>4833</v>
      </c>
      <c r="E17" s="446"/>
      <c r="F17" s="446"/>
      <c r="G17" s="446"/>
      <c r="H17" s="446"/>
      <c r="I17" s="446"/>
      <c r="J17" s="446"/>
      <c r="K17" s="446"/>
      <c r="L17" s="446"/>
      <c r="M17" s="446"/>
      <c r="N17" s="447"/>
      <c r="O17" s="291"/>
    </row>
    <row r="18" spans="1:64">
      <c r="A18" s="388" t="s">
        <v>200</v>
      </c>
      <c r="B18" s="389"/>
      <c r="C18" s="389" t="s">
        <v>4834</v>
      </c>
      <c r="D18" s="480" t="s">
        <v>4835</v>
      </c>
      <c r="E18" s="481"/>
      <c r="F18" s="389" t="s">
        <v>476</v>
      </c>
      <c r="G18" s="390">
        <v>1.5</v>
      </c>
      <c r="H18" s="390"/>
      <c r="I18" s="390">
        <f>G18*AO18</f>
        <v>0</v>
      </c>
      <c r="J18" s="390">
        <f>G18*AP18</f>
        <v>0</v>
      </c>
      <c r="K18" s="390">
        <f>G18*H18</f>
        <v>0</v>
      </c>
      <c r="L18" s="390">
        <v>1.21E-2</v>
      </c>
      <c r="M18" s="390">
        <f>G18*L18</f>
        <v>1.8149999999999999E-2</v>
      </c>
      <c r="N18" s="391" t="s">
        <v>4548</v>
      </c>
      <c r="O18" s="291"/>
      <c r="Z18" s="318">
        <f>IF(AQ18="5",BJ18,0)</f>
        <v>0</v>
      </c>
      <c r="AB18" s="318">
        <f>IF(AQ18="1",BH18,0)</f>
        <v>0</v>
      </c>
      <c r="AC18" s="318">
        <f>IF(AQ18="1",BI18,0)</f>
        <v>0</v>
      </c>
      <c r="AD18" s="318">
        <f>IF(AQ18="7",BH18,0)</f>
        <v>0</v>
      </c>
      <c r="AE18" s="318">
        <f>IF(AQ18="7",BI18,0)</f>
        <v>0</v>
      </c>
      <c r="AF18" s="318">
        <f>IF(AQ18="2",BH18,0)</f>
        <v>0</v>
      </c>
      <c r="AG18" s="318">
        <f>IF(AQ18="2",BI18,0)</f>
        <v>0</v>
      </c>
      <c r="AH18" s="318">
        <f>IF(AQ18="0",BJ18,0)</f>
        <v>0</v>
      </c>
      <c r="AI18" s="298"/>
      <c r="AJ18" s="390">
        <f>IF(AN18=0,K18,0)</f>
        <v>0</v>
      </c>
      <c r="AK18" s="390">
        <f>IF(AN18=15,K18,0)</f>
        <v>0</v>
      </c>
      <c r="AL18" s="390">
        <f>IF(AN18=21,K18,0)</f>
        <v>0</v>
      </c>
      <c r="AN18" s="318">
        <v>21</v>
      </c>
      <c r="AO18" s="318">
        <f>H18*1</f>
        <v>0</v>
      </c>
      <c r="AP18" s="318">
        <f>H18*(1-1)</f>
        <v>0</v>
      </c>
      <c r="AQ18" s="392" t="s">
        <v>241</v>
      </c>
      <c r="AV18" s="318">
        <f>AW18+AX18</f>
        <v>0</v>
      </c>
      <c r="AW18" s="318">
        <f>G18*AO18</f>
        <v>0</v>
      </c>
      <c r="AX18" s="318">
        <f>G18*AP18</f>
        <v>0</v>
      </c>
      <c r="AY18" s="320" t="s">
        <v>4825</v>
      </c>
      <c r="AZ18" s="320" t="s">
        <v>4826</v>
      </c>
      <c r="BA18" s="298" t="s">
        <v>4551</v>
      </c>
      <c r="BC18" s="318">
        <f>AW18+AX18</f>
        <v>0</v>
      </c>
      <c r="BD18" s="318">
        <f>H18/(100-BE18)*100</f>
        <v>0</v>
      </c>
      <c r="BE18" s="318">
        <v>0</v>
      </c>
      <c r="BF18" s="318">
        <f>M18</f>
        <v>1.8149999999999999E-2</v>
      </c>
      <c r="BH18" s="390">
        <f>G18*AO18</f>
        <v>0</v>
      </c>
      <c r="BI18" s="390">
        <f>G18*AP18</f>
        <v>0</v>
      </c>
      <c r="BJ18" s="390">
        <f>G18*H18</f>
        <v>0</v>
      </c>
      <c r="BK18" s="390" t="s">
        <v>484</v>
      </c>
      <c r="BL18" s="318">
        <v>713</v>
      </c>
    </row>
    <row r="19" spans="1:64">
      <c r="A19" s="314" t="s">
        <v>233</v>
      </c>
      <c r="B19" s="315"/>
      <c r="C19" s="315" t="s">
        <v>4836</v>
      </c>
      <c r="D19" s="443" t="s">
        <v>4837</v>
      </c>
      <c r="E19" s="444"/>
      <c r="F19" s="315" t="s">
        <v>183</v>
      </c>
      <c r="G19" s="316">
        <v>3.5279999999999999E-2</v>
      </c>
      <c r="H19" s="316"/>
      <c r="I19" s="316">
        <f>G19*AO19</f>
        <v>0</v>
      </c>
      <c r="J19" s="316">
        <f>G19*AP19</f>
        <v>0</v>
      </c>
      <c r="K19" s="316">
        <f>G19*H19</f>
        <v>0</v>
      </c>
      <c r="L19" s="316">
        <v>0</v>
      </c>
      <c r="M19" s="316">
        <f>G19*L19</f>
        <v>0</v>
      </c>
      <c r="N19" s="317" t="s">
        <v>4548</v>
      </c>
      <c r="O19" s="291"/>
      <c r="Z19" s="318">
        <f>IF(AQ19="5",BJ19,0)</f>
        <v>0</v>
      </c>
      <c r="AB19" s="318">
        <f>IF(AQ19="1",BH19,0)</f>
        <v>0</v>
      </c>
      <c r="AC19" s="318">
        <f>IF(AQ19="1",BI19,0)</f>
        <v>0</v>
      </c>
      <c r="AD19" s="318">
        <f>IF(AQ19="7",BH19,0)</f>
        <v>0</v>
      </c>
      <c r="AE19" s="318">
        <f>IF(AQ19="7",BI19,0)</f>
        <v>0</v>
      </c>
      <c r="AF19" s="318">
        <f>IF(AQ19="2",BH19,0)</f>
        <v>0</v>
      </c>
      <c r="AG19" s="318">
        <f>IF(AQ19="2",BI19,0)</f>
        <v>0</v>
      </c>
      <c r="AH19" s="318">
        <f>IF(AQ19="0",BJ19,0)</f>
        <v>0</v>
      </c>
      <c r="AI19" s="298"/>
      <c r="AJ19" s="316">
        <f>IF(AN19=0,K19,0)</f>
        <v>0</v>
      </c>
      <c r="AK19" s="316">
        <f>IF(AN19=15,K19,0)</f>
        <v>0</v>
      </c>
      <c r="AL19" s="316">
        <f>IF(AN19=21,K19,0)</f>
        <v>0</v>
      </c>
      <c r="AN19" s="318">
        <v>21</v>
      </c>
      <c r="AO19" s="318">
        <f>H19*0</f>
        <v>0</v>
      </c>
      <c r="AP19" s="318">
        <f>H19*(1-0)</f>
        <v>0</v>
      </c>
      <c r="AQ19" s="319" t="s">
        <v>200</v>
      </c>
      <c r="AV19" s="318">
        <f>AW19+AX19</f>
        <v>0</v>
      </c>
      <c r="AW19" s="318">
        <f>G19*AO19</f>
        <v>0</v>
      </c>
      <c r="AX19" s="318">
        <f>G19*AP19</f>
        <v>0</v>
      </c>
      <c r="AY19" s="320" t="s">
        <v>4825</v>
      </c>
      <c r="AZ19" s="320" t="s">
        <v>4826</v>
      </c>
      <c r="BA19" s="298" t="s">
        <v>4551</v>
      </c>
      <c r="BC19" s="318">
        <f>AW19+AX19</f>
        <v>0</v>
      </c>
      <c r="BD19" s="318">
        <f>H19/(100-BE19)*100</f>
        <v>0</v>
      </c>
      <c r="BE19" s="318">
        <v>0</v>
      </c>
      <c r="BF19" s="318">
        <f>M19</f>
        <v>0</v>
      </c>
      <c r="BH19" s="316">
        <f>G19*AO19</f>
        <v>0</v>
      </c>
      <c r="BI19" s="316">
        <f>G19*AP19</f>
        <v>0</v>
      </c>
      <c r="BJ19" s="316">
        <f>G19*H19</f>
        <v>0</v>
      </c>
      <c r="BK19" s="316" t="s">
        <v>815</v>
      </c>
      <c r="BL19" s="318">
        <v>713</v>
      </c>
    </row>
    <row r="20" spans="1:64">
      <c r="A20" s="322"/>
      <c r="B20" s="323"/>
      <c r="C20" s="323" t="s">
        <v>4838</v>
      </c>
      <c r="D20" s="441" t="s">
        <v>301</v>
      </c>
      <c r="E20" s="442"/>
      <c r="F20" s="324" t="s">
        <v>4502</v>
      </c>
      <c r="G20" s="324" t="s">
        <v>4502</v>
      </c>
      <c r="H20" s="324"/>
      <c r="I20" s="313">
        <f>SUM(I21:I85)</f>
        <v>0</v>
      </c>
      <c r="J20" s="313">
        <f>SUM(J21:J85)</f>
        <v>0</v>
      </c>
      <c r="K20" s="313">
        <f>SUM(K21:K85)</f>
        <v>0</v>
      </c>
      <c r="L20" s="298"/>
      <c r="M20" s="313">
        <f>SUM(M21:M85)</f>
        <v>0.51661000000000012</v>
      </c>
      <c r="N20" s="325"/>
      <c r="O20" s="291"/>
      <c r="AI20" s="298"/>
      <c r="AS20" s="313">
        <f>SUM(AJ21:AJ85)</f>
        <v>0</v>
      </c>
      <c r="AT20" s="313">
        <f>SUM(AK21:AK85)</f>
        <v>0</v>
      </c>
      <c r="AU20" s="313">
        <f>SUM(AL21:AL85)</f>
        <v>0</v>
      </c>
    </row>
    <row r="21" spans="1:64">
      <c r="A21" s="314" t="s">
        <v>241</v>
      </c>
      <c r="B21" s="315"/>
      <c r="C21" s="315" t="s">
        <v>4839</v>
      </c>
      <c r="D21" s="443" t="s">
        <v>4840</v>
      </c>
      <c r="E21" s="444"/>
      <c r="F21" s="315" t="s">
        <v>236</v>
      </c>
      <c r="G21" s="316">
        <v>1</v>
      </c>
      <c r="H21" s="316"/>
      <c r="I21" s="316">
        <f t="shared" ref="I21:I35" si="0">G21*AO21</f>
        <v>0</v>
      </c>
      <c r="J21" s="316">
        <f t="shared" ref="J21:J35" si="1">G21*AP21</f>
        <v>0</v>
      </c>
      <c r="K21" s="316">
        <f t="shared" ref="K21:K35" si="2">G21*H21</f>
        <v>0</v>
      </c>
      <c r="L21" s="316">
        <v>0</v>
      </c>
      <c r="M21" s="316">
        <f t="shared" ref="M21:M35" si="3">G21*L21</f>
        <v>0</v>
      </c>
      <c r="N21" s="317" t="s">
        <v>4548</v>
      </c>
      <c r="O21" s="291"/>
      <c r="Z21" s="318">
        <f t="shared" ref="Z21:Z35" si="4">IF(AQ21="5",BJ21,0)</f>
        <v>0</v>
      </c>
      <c r="AB21" s="318">
        <f t="shared" ref="AB21:AB35" si="5">IF(AQ21="1",BH21,0)</f>
        <v>0</v>
      </c>
      <c r="AC21" s="318">
        <f t="shared" ref="AC21:AC35" si="6">IF(AQ21="1",BI21,0)</f>
        <v>0</v>
      </c>
      <c r="AD21" s="318">
        <f t="shared" ref="AD21:AD35" si="7">IF(AQ21="7",BH21,0)</f>
        <v>0</v>
      </c>
      <c r="AE21" s="318">
        <f t="shared" ref="AE21:AE35" si="8">IF(AQ21="7",BI21,0)</f>
        <v>0</v>
      </c>
      <c r="AF21" s="318">
        <f t="shared" ref="AF21:AF35" si="9">IF(AQ21="2",BH21,0)</f>
        <v>0</v>
      </c>
      <c r="AG21" s="318">
        <f t="shared" ref="AG21:AG35" si="10">IF(AQ21="2",BI21,0)</f>
        <v>0</v>
      </c>
      <c r="AH21" s="318">
        <f t="shared" ref="AH21:AH35" si="11">IF(AQ21="0",BJ21,0)</f>
        <v>0</v>
      </c>
      <c r="AI21" s="298"/>
      <c r="AJ21" s="316">
        <f t="shared" ref="AJ21:AJ35" si="12">IF(AN21=0,K21,0)</f>
        <v>0</v>
      </c>
      <c r="AK21" s="316">
        <f t="shared" ref="AK21:AK35" si="13">IF(AN21=15,K21,0)</f>
        <v>0</v>
      </c>
      <c r="AL21" s="316">
        <f t="shared" ref="AL21:AL35" si="14">IF(AN21=21,K21,0)</f>
        <v>0</v>
      </c>
      <c r="AN21" s="318">
        <v>21</v>
      </c>
      <c r="AO21" s="318">
        <f>H21*0</f>
        <v>0</v>
      </c>
      <c r="AP21" s="318">
        <f>H21*(1-0)</f>
        <v>0</v>
      </c>
      <c r="AQ21" s="319" t="s">
        <v>241</v>
      </c>
      <c r="AV21" s="318">
        <f t="shared" ref="AV21:AV35" si="15">AW21+AX21</f>
        <v>0</v>
      </c>
      <c r="AW21" s="318">
        <f t="shared" ref="AW21:AW35" si="16">G21*AO21</f>
        <v>0</v>
      </c>
      <c r="AX21" s="318">
        <f t="shared" ref="AX21:AX35" si="17">G21*AP21</f>
        <v>0</v>
      </c>
      <c r="AY21" s="320" t="s">
        <v>4841</v>
      </c>
      <c r="AZ21" s="320" t="s">
        <v>4550</v>
      </c>
      <c r="BA21" s="298" t="s">
        <v>4551</v>
      </c>
      <c r="BC21" s="318">
        <f t="shared" ref="BC21:BC35" si="18">AW21+AX21</f>
        <v>0</v>
      </c>
      <c r="BD21" s="318">
        <f t="shared" ref="BD21:BD35" si="19">H21/(100-BE21)*100</f>
        <v>0</v>
      </c>
      <c r="BE21" s="318">
        <v>0</v>
      </c>
      <c r="BF21" s="318">
        <f t="shared" ref="BF21:BF35" si="20">M21</f>
        <v>0</v>
      </c>
      <c r="BH21" s="316">
        <f t="shared" ref="BH21:BH35" si="21">G21*AO21</f>
        <v>0</v>
      </c>
      <c r="BI21" s="316">
        <f t="shared" ref="BI21:BI35" si="22">G21*AP21</f>
        <v>0</v>
      </c>
      <c r="BJ21" s="316">
        <f t="shared" ref="BJ21:BJ35" si="23">G21*H21</f>
        <v>0</v>
      </c>
      <c r="BK21" s="316" t="s">
        <v>815</v>
      </c>
      <c r="BL21" s="318">
        <v>728</v>
      </c>
    </row>
    <row r="22" spans="1:64">
      <c r="A22" s="388" t="s">
        <v>248</v>
      </c>
      <c r="B22" s="389"/>
      <c r="C22" s="389" t="s">
        <v>4842</v>
      </c>
      <c r="D22" s="480" t="s">
        <v>4843</v>
      </c>
      <c r="E22" s="481"/>
      <c r="F22" s="389" t="s">
        <v>236</v>
      </c>
      <c r="G22" s="390">
        <v>1</v>
      </c>
      <c r="H22" s="390"/>
      <c r="I22" s="390">
        <f t="shared" si="0"/>
        <v>0</v>
      </c>
      <c r="J22" s="390">
        <f t="shared" si="1"/>
        <v>0</v>
      </c>
      <c r="K22" s="390">
        <f t="shared" si="2"/>
        <v>0</v>
      </c>
      <c r="L22" s="390">
        <v>0</v>
      </c>
      <c r="M22" s="390">
        <f t="shared" si="3"/>
        <v>0</v>
      </c>
      <c r="N22" s="391" t="s">
        <v>4548</v>
      </c>
      <c r="O22" s="291"/>
      <c r="Z22" s="318">
        <f t="shared" si="4"/>
        <v>0</v>
      </c>
      <c r="AB22" s="318">
        <f t="shared" si="5"/>
        <v>0</v>
      </c>
      <c r="AC22" s="318">
        <f t="shared" si="6"/>
        <v>0</v>
      </c>
      <c r="AD22" s="318">
        <f t="shared" si="7"/>
        <v>0</v>
      </c>
      <c r="AE22" s="318">
        <f t="shared" si="8"/>
        <v>0</v>
      </c>
      <c r="AF22" s="318">
        <f t="shared" si="9"/>
        <v>0</v>
      </c>
      <c r="AG22" s="318">
        <f t="shared" si="10"/>
        <v>0</v>
      </c>
      <c r="AH22" s="318">
        <f t="shared" si="11"/>
        <v>0</v>
      </c>
      <c r="AI22" s="298"/>
      <c r="AJ22" s="390">
        <f t="shared" si="12"/>
        <v>0</v>
      </c>
      <c r="AK22" s="390">
        <f t="shared" si="13"/>
        <v>0</v>
      </c>
      <c r="AL22" s="390">
        <f t="shared" si="14"/>
        <v>0</v>
      </c>
      <c r="AN22" s="318">
        <v>21</v>
      </c>
      <c r="AO22" s="318">
        <f>H22*1</f>
        <v>0</v>
      </c>
      <c r="AP22" s="318">
        <f>H22*(1-1)</f>
        <v>0</v>
      </c>
      <c r="AQ22" s="392" t="s">
        <v>241</v>
      </c>
      <c r="AV22" s="318">
        <f t="shared" si="15"/>
        <v>0</v>
      </c>
      <c r="AW22" s="318">
        <f t="shared" si="16"/>
        <v>0</v>
      </c>
      <c r="AX22" s="318">
        <f t="shared" si="17"/>
        <v>0</v>
      </c>
      <c r="AY22" s="320" t="s">
        <v>4841</v>
      </c>
      <c r="AZ22" s="320" t="s">
        <v>4550</v>
      </c>
      <c r="BA22" s="298" t="s">
        <v>4551</v>
      </c>
      <c r="BC22" s="318">
        <f t="shared" si="18"/>
        <v>0</v>
      </c>
      <c r="BD22" s="318">
        <f t="shared" si="19"/>
        <v>0</v>
      </c>
      <c r="BE22" s="318">
        <v>0</v>
      </c>
      <c r="BF22" s="318">
        <f t="shared" si="20"/>
        <v>0</v>
      </c>
      <c r="BH22" s="390">
        <f t="shared" si="21"/>
        <v>0</v>
      </c>
      <c r="BI22" s="390">
        <f t="shared" si="22"/>
        <v>0</v>
      </c>
      <c r="BJ22" s="390">
        <f t="shared" si="23"/>
        <v>0</v>
      </c>
      <c r="BK22" s="390" t="s">
        <v>484</v>
      </c>
      <c r="BL22" s="318">
        <v>728</v>
      </c>
    </row>
    <row r="23" spans="1:64">
      <c r="A23" s="314" t="s">
        <v>252</v>
      </c>
      <c r="B23" s="315"/>
      <c r="C23" s="315" t="s">
        <v>4844</v>
      </c>
      <c r="D23" s="443" t="s">
        <v>4845</v>
      </c>
      <c r="E23" s="444"/>
      <c r="F23" s="315" t="s">
        <v>236</v>
      </c>
      <c r="G23" s="316">
        <v>1</v>
      </c>
      <c r="H23" s="316"/>
      <c r="I23" s="316">
        <f t="shared" si="0"/>
        <v>0</v>
      </c>
      <c r="J23" s="316">
        <f t="shared" si="1"/>
        <v>0</v>
      </c>
      <c r="K23" s="316">
        <f t="shared" si="2"/>
        <v>0</v>
      </c>
      <c r="L23" s="316">
        <v>0</v>
      </c>
      <c r="M23" s="316">
        <f t="shared" si="3"/>
        <v>0</v>
      </c>
      <c r="N23" s="317" t="s">
        <v>4548</v>
      </c>
      <c r="O23" s="291"/>
      <c r="Z23" s="318">
        <f t="shared" si="4"/>
        <v>0</v>
      </c>
      <c r="AB23" s="318">
        <f t="shared" si="5"/>
        <v>0</v>
      </c>
      <c r="AC23" s="318">
        <f t="shared" si="6"/>
        <v>0</v>
      </c>
      <c r="AD23" s="318">
        <f t="shared" si="7"/>
        <v>0</v>
      </c>
      <c r="AE23" s="318">
        <f t="shared" si="8"/>
        <v>0</v>
      </c>
      <c r="AF23" s="318">
        <f t="shared" si="9"/>
        <v>0</v>
      </c>
      <c r="AG23" s="318">
        <f t="shared" si="10"/>
        <v>0</v>
      </c>
      <c r="AH23" s="318">
        <f t="shared" si="11"/>
        <v>0</v>
      </c>
      <c r="AI23" s="298"/>
      <c r="AJ23" s="316">
        <f t="shared" si="12"/>
        <v>0</v>
      </c>
      <c r="AK23" s="316">
        <f t="shared" si="13"/>
        <v>0</v>
      </c>
      <c r="AL23" s="316">
        <f t="shared" si="14"/>
        <v>0</v>
      </c>
      <c r="AN23" s="318">
        <v>21</v>
      </c>
      <c r="AO23" s="318">
        <f>H23*0</f>
        <v>0</v>
      </c>
      <c r="AP23" s="318">
        <f>H23*(1-0)</f>
        <v>0</v>
      </c>
      <c r="AQ23" s="319" t="s">
        <v>241</v>
      </c>
      <c r="AV23" s="318">
        <f t="shared" si="15"/>
        <v>0</v>
      </c>
      <c r="AW23" s="318">
        <f t="shared" si="16"/>
        <v>0</v>
      </c>
      <c r="AX23" s="318">
        <f t="shared" si="17"/>
        <v>0</v>
      </c>
      <c r="AY23" s="320" t="s">
        <v>4841</v>
      </c>
      <c r="AZ23" s="320" t="s">
        <v>4550</v>
      </c>
      <c r="BA23" s="298" t="s">
        <v>4551</v>
      </c>
      <c r="BC23" s="318">
        <f t="shared" si="18"/>
        <v>0</v>
      </c>
      <c r="BD23" s="318">
        <f t="shared" si="19"/>
        <v>0</v>
      </c>
      <c r="BE23" s="318">
        <v>0</v>
      </c>
      <c r="BF23" s="318">
        <f t="shared" si="20"/>
        <v>0</v>
      </c>
      <c r="BH23" s="316">
        <f t="shared" si="21"/>
        <v>0</v>
      </c>
      <c r="BI23" s="316">
        <f t="shared" si="22"/>
        <v>0</v>
      </c>
      <c r="BJ23" s="316">
        <f t="shared" si="23"/>
        <v>0</v>
      </c>
      <c r="BK23" s="316" t="s">
        <v>815</v>
      </c>
      <c r="BL23" s="318">
        <v>728</v>
      </c>
    </row>
    <row r="24" spans="1:64">
      <c r="A24" s="388" t="s">
        <v>258</v>
      </c>
      <c r="B24" s="389"/>
      <c r="C24" s="389" t="s">
        <v>4846</v>
      </c>
      <c r="D24" s="480" t="s">
        <v>4847</v>
      </c>
      <c r="E24" s="481"/>
      <c r="F24" s="389" t="s">
        <v>236</v>
      </c>
      <c r="G24" s="390">
        <v>1</v>
      </c>
      <c r="H24" s="390"/>
      <c r="I24" s="390">
        <f t="shared" si="0"/>
        <v>0</v>
      </c>
      <c r="J24" s="390">
        <f t="shared" si="1"/>
        <v>0</v>
      </c>
      <c r="K24" s="390">
        <f t="shared" si="2"/>
        <v>0</v>
      </c>
      <c r="L24" s="390">
        <v>1.4999999999999999E-2</v>
      </c>
      <c r="M24" s="390">
        <f t="shared" si="3"/>
        <v>1.4999999999999999E-2</v>
      </c>
      <c r="N24" s="391" t="s">
        <v>4548</v>
      </c>
      <c r="O24" s="291"/>
      <c r="Z24" s="318">
        <f t="shared" si="4"/>
        <v>0</v>
      </c>
      <c r="AB24" s="318">
        <f t="shared" si="5"/>
        <v>0</v>
      </c>
      <c r="AC24" s="318">
        <f t="shared" si="6"/>
        <v>0</v>
      </c>
      <c r="AD24" s="318">
        <f t="shared" si="7"/>
        <v>0</v>
      </c>
      <c r="AE24" s="318">
        <f t="shared" si="8"/>
        <v>0</v>
      </c>
      <c r="AF24" s="318">
        <f t="shared" si="9"/>
        <v>0</v>
      </c>
      <c r="AG24" s="318">
        <f t="shared" si="10"/>
        <v>0</v>
      </c>
      <c r="AH24" s="318">
        <f t="shared" si="11"/>
        <v>0</v>
      </c>
      <c r="AI24" s="298"/>
      <c r="AJ24" s="390">
        <f t="shared" si="12"/>
        <v>0</v>
      </c>
      <c r="AK24" s="390">
        <f t="shared" si="13"/>
        <v>0</v>
      </c>
      <c r="AL24" s="390">
        <f t="shared" si="14"/>
        <v>0</v>
      </c>
      <c r="AN24" s="318">
        <v>21</v>
      </c>
      <c r="AO24" s="318">
        <f>H24*1</f>
        <v>0</v>
      </c>
      <c r="AP24" s="318">
        <f>H24*(1-1)</f>
        <v>0</v>
      </c>
      <c r="AQ24" s="392" t="s">
        <v>241</v>
      </c>
      <c r="AV24" s="318">
        <f t="shared" si="15"/>
        <v>0</v>
      </c>
      <c r="AW24" s="318">
        <f t="shared" si="16"/>
        <v>0</v>
      </c>
      <c r="AX24" s="318">
        <f t="shared" si="17"/>
        <v>0</v>
      </c>
      <c r="AY24" s="320" t="s">
        <v>4841</v>
      </c>
      <c r="AZ24" s="320" t="s">
        <v>4550</v>
      </c>
      <c r="BA24" s="298" t="s">
        <v>4551</v>
      </c>
      <c r="BC24" s="318">
        <f t="shared" si="18"/>
        <v>0</v>
      </c>
      <c r="BD24" s="318">
        <f t="shared" si="19"/>
        <v>0</v>
      </c>
      <c r="BE24" s="318">
        <v>0</v>
      </c>
      <c r="BF24" s="318">
        <f t="shared" si="20"/>
        <v>1.4999999999999999E-2</v>
      </c>
      <c r="BH24" s="390">
        <f t="shared" si="21"/>
        <v>0</v>
      </c>
      <c r="BI24" s="390">
        <f t="shared" si="22"/>
        <v>0</v>
      </c>
      <c r="BJ24" s="390">
        <f t="shared" si="23"/>
        <v>0</v>
      </c>
      <c r="BK24" s="390" t="s">
        <v>484</v>
      </c>
      <c r="BL24" s="318">
        <v>728</v>
      </c>
    </row>
    <row r="25" spans="1:64">
      <c r="A25" s="314" t="s">
        <v>265</v>
      </c>
      <c r="B25" s="315"/>
      <c r="C25" s="315" t="s">
        <v>4848</v>
      </c>
      <c r="D25" s="443" t="s">
        <v>4849</v>
      </c>
      <c r="E25" s="444"/>
      <c r="F25" s="315" t="s">
        <v>236</v>
      </c>
      <c r="G25" s="316">
        <v>1</v>
      </c>
      <c r="H25" s="316"/>
      <c r="I25" s="316">
        <f t="shared" si="0"/>
        <v>0</v>
      </c>
      <c r="J25" s="316">
        <f t="shared" si="1"/>
        <v>0</v>
      </c>
      <c r="K25" s="316">
        <f t="shared" si="2"/>
        <v>0</v>
      </c>
      <c r="L25" s="316">
        <v>0</v>
      </c>
      <c r="M25" s="316">
        <f t="shared" si="3"/>
        <v>0</v>
      </c>
      <c r="N25" s="317" t="s">
        <v>4548</v>
      </c>
      <c r="O25" s="291"/>
      <c r="Z25" s="318">
        <f t="shared" si="4"/>
        <v>0</v>
      </c>
      <c r="AB25" s="318">
        <f t="shared" si="5"/>
        <v>0</v>
      </c>
      <c r="AC25" s="318">
        <f t="shared" si="6"/>
        <v>0</v>
      </c>
      <c r="AD25" s="318">
        <f t="shared" si="7"/>
        <v>0</v>
      </c>
      <c r="AE25" s="318">
        <f t="shared" si="8"/>
        <v>0</v>
      </c>
      <c r="AF25" s="318">
        <f t="shared" si="9"/>
        <v>0</v>
      </c>
      <c r="AG25" s="318">
        <f t="shared" si="10"/>
        <v>0</v>
      </c>
      <c r="AH25" s="318">
        <f t="shared" si="11"/>
        <v>0</v>
      </c>
      <c r="AI25" s="298"/>
      <c r="AJ25" s="316">
        <f t="shared" si="12"/>
        <v>0</v>
      </c>
      <c r="AK25" s="316">
        <f t="shared" si="13"/>
        <v>0</v>
      </c>
      <c r="AL25" s="316">
        <f t="shared" si="14"/>
        <v>0</v>
      </c>
      <c r="AN25" s="318">
        <v>21</v>
      </c>
      <c r="AO25" s="318">
        <f>H25*0</f>
        <v>0</v>
      </c>
      <c r="AP25" s="318">
        <f>H25*(1-0)</f>
        <v>0</v>
      </c>
      <c r="AQ25" s="319" t="s">
        <v>241</v>
      </c>
      <c r="AV25" s="318">
        <f t="shared" si="15"/>
        <v>0</v>
      </c>
      <c r="AW25" s="318">
        <f t="shared" si="16"/>
        <v>0</v>
      </c>
      <c r="AX25" s="318">
        <f t="shared" si="17"/>
        <v>0</v>
      </c>
      <c r="AY25" s="320" t="s">
        <v>4841</v>
      </c>
      <c r="AZ25" s="320" t="s">
        <v>4550</v>
      </c>
      <c r="BA25" s="298" t="s">
        <v>4551</v>
      </c>
      <c r="BC25" s="318">
        <f t="shared" si="18"/>
        <v>0</v>
      </c>
      <c r="BD25" s="318">
        <f t="shared" si="19"/>
        <v>0</v>
      </c>
      <c r="BE25" s="318">
        <v>0</v>
      </c>
      <c r="BF25" s="318">
        <f t="shared" si="20"/>
        <v>0</v>
      </c>
      <c r="BH25" s="316">
        <f t="shared" si="21"/>
        <v>0</v>
      </c>
      <c r="BI25" s="316">
        <f t="shared" si="22"/>
        <v>0</v>
      </c>
      <c r="BJ25" s="316">
        <f t="shared" si="23"/>
        <v>0</v>
      </c>
      <c r="BK25" s="316" t="s">
        <v>815</v>
      </c>
      <c r="BL25" s="318">
        <v>728</v>
      </c>
    </row>
    <row r="26" spans="1:64">
      <c r="A26" s="388" t="s">
        <v>271</v>
      </c>
      <c r="B26" s="389"/>
      <c r="C26" s="389" t="s">
        <v>4850</v>
      </c>
      <c r="D26" s="480" t="s">
        <v>4851</v>
      </c>
      <c r="E26" s="481"/>
      <c r="F26" s="389" t="s">
        <v>236</v>
      </c>
      <c r="G26" s="390">
        <v>1</v>
      </c>
      <c r="H26" s="390"/>
      <c r="I26" s="390">
        <f t="shared" si="0"/>
        <v>0</v>
      </c>
      <c r="J26" s="390">
        <f t="shared" si="1"/>
        <v>0</v>
      </c>
      <c r="K26" s="390">
        <f t="shared" si="2"/>
        <v>0</v>
      </c>
      <c r="L26" s="390">
        <v>9.1000000000000004E-3</v>
      </c>
      <c r="M26" s="390">
        <f t="shared" si="3"/>
        <v>9.1000000000000004E-3</v>
      </c>
      <c r="N26" s="391" t="s">
        <v>4548</v>
      </c>
      <c r="O26" s="291"/>
      <c r="Z26" s="318">
        <f t="shared" si="4"/>
        <v>0</v>
      </c>
      <c r="AB26" s="318">
        <f t="shared" si="5"/>
        <v>0</v>
      </c>
      <c r="AC26" s="318">
        <f t="shared" si="6"/>
        <v>0</v>
      </c>
      <c r="AD26" s="318">
        <f t="shared" si="7"/>
        <v>0</v>
      </c>
      <c r="AE26" s="318">
        <f t="shared" si="8"/>
        <v>0</v>
      </c>
      <c r="AF26" s="318">
        <f t="shared" si="9"/>
        <v>0</v>
      </c>
      <c r="AG26" s="318">
        <f t="shared" si="10"/>
        <v>0</v>
      </c>
      <c r="AH26" s="318">
        <f t="shared" si="11"/>
        <v>0</v>
      </c>
      <c r="AI26" s="298"/>
      <c r="AJ26" s="390">
        <f t="shared" si="12"/>
        <v>0</v>
      </c>
      <c r="AK26" s="390">
        <f t="shared" si="13"/>
        <v>0</v>
      </c>
      <c r="AL26" s="390">
        <f t="shared" si="14"/>
        <v>0</v>
      </c>
      <c r="AN26" s="318">
        <v>21</v>
      </c>
      <c r="AO26" s="318">
        <f>H26*1</f>
        <v>0</v>
      </c>
      <c r="AP26" s="318">
        <f>H26*(1-1)</f>
        <v>0</v>
      </c>
      <c r="AQ26" s="392" t="s">
        <v>241</v>
      </c>
      <c r="AV26" s="318">
        <f t="shared" si="15"/>
        <v>0</v>
      </c>
      <c r="AW26" s="318">
        <f t="shared" si="16"/>
        <v>0</v>
      </c>
      <c r="AX26" s="318">
        <f t="shared" si="17"/>
        <v>0</v>
      </c>
      <c r="AY26" s="320" t="s">
        <v>4841</v>
      </c>
      <c r="AZ26" s="320" t="s">
        <v>4550</v>
      </c>
      <c r="BA26" s="298" t="s">
        <v>4551</v>
      </c>
      <c r="BC26" s="318">
        <f t="shared" si="18"/>
        <v>0</v>
      </c>
      <c r="BD26" s="318">
        <f t="shared" si="19"/>
        <v>0</v>
      </c>
      <c r="BE26" s="318">
        <v>0</v>
      </c>
      <c r="BF26" s="318">
        <f t="shared" si="20"/>
        <v>9.1000000000000004E-3</v>
      </c>
      <c r="BH26" s="390">
        <f t="shared" si="21"/>
        <v>0</v>
      </c>
      <c r="BI26" s="390">
        <f t="shared" si="22"/>
        <v>0</v>
      </c>
      <c r="BJ26" s="390">
        <f t="shared" si="23"/>
        <v>0</v>
      </c>
      <c r="BK26" s="390" t="s">
        <v>484</v>
      </c>
      <c r="BL26" s="318">
        <v>728</v>
      </c>
    </row>
    <row r="27" spans="1:64">
      <c r="A27" s="314" t="s">
        <v>277</v>
      </c>
      <c r="B27" s="315"/>
      <c r="C27" s="315" t="s">
        <v>4852</v>
      </c>
      <c r="D27" s="443" t="s">
        <v>4853</v>
      </c>
      <c r="E27" s="444"/>
      <c r="F27" s="315" t="s">
        <v>236</v>
      </c>
      <c r="G27" s="316">
        <v>1</v>
      </c>
      <c r="H27" s="316"/>
      <c r="I27" s="316">
        <f t="shared" si="0"/>
        <v>0</v>
      </c>
      <c r="J27" s="316">
        <f t="shared" si="1"/>
        <v>0</v>
      </c>
      <c r="K27" s="316">
        <f t="shared" si="2"/>
        <v>0</v>
      </c>
      <c r="L27" s="316">
        <v>0</v>
      </c>
      <c r="M27" s="316">
        <f t="shared" si="3"/>
        <v>0</v>
      </c>
      <c r="N27" s="317" t="s">
        <v>4548</v>
      </c>
      <c r="O27" s="291"/>
      <c r="Z27" s="318">
        <f t="shared" si="4"/>
        <v>0</v>
      </c>
      <c r="AB27" s="318">
        <f t="shared" si="5"/>
        <v>0</v>
      </c>
      <c r="AC27" s="318">
        <f t="shared" si="6"/>
        <v>0</v>
      </c>
      <c r="AD27" s="318">
        <f t="shared" si="7"/>
        <v>0</v>
      </c>
      <c r="AE27" s="318">
        <f t="shared" si="8"/>
        <v>0</v>
      </c>
      <c r="AF27" s="318">
        <f t="shared" si="9"/>
        <v>0</v>
      </c>
      <c r="AG27" s="318">
        <f t="shared" si="10"/>
        <v>0</v>
      </c>
      <c r="AH27" s="318">
        <f t="shared" si="11"/>
        <v>0</v>
      </c>
      <c r="AI27" s="298"/>
      <c r="AJ27" s="316">
        <f t="shared" si="12"/>
        <v>0</v>
      </c>
      <c r="AK27" s="316">
        <f t="shared" si="13"/>
        <v>0</v>
      </c>
      <c r="AL27" s="316">
        <f t="shared" si="14"/>
        <v>0</v>
      </c>
      <c r="AN27" s="318">
        <v>21</v>
      </c>
      <c r="AO27" s="318">
        <f>H27*0</f>
        <v>0</v>
      </c>
      <c r="AP27" s="318">
        <f>H27*(1-0)</f>
        <v>0</v>
      </c>
      <c r="AQ27" s="319" t="s">
        <v>241</v>
      </c>
      <c r="AV27" s="318">
        <f t="shared" si="15"/>
        <v>0</v>
      </c>
      <c r="AW27" s="318">
        <f t="shared" si="16"/>
        <v>0</v>
      </c>
      <c r="AX27" s="318">
        <f t="shared" si="17"/>
        <v>0</v>
      </c>
      <c r="AY27" s="320" t="s">
        <v>4841</v>
      </c>
      <c r="AZ27" s="320" t="s">
        <v>4550</v>
      </c>
      <c r="BA27" s="298" t="s">
        <v>4551</v>
      </c>
      <c r="BC27" s="318">
        <f t="shared" si="18"/>
        <v>0</v>
      </c>
      <c r="BD27" s="318">
        <f t="shared" si="19"/>
        <v>0</v>
      </c>
      <c r="BE27" s="318">
        <v>0</v>
      </c>
      <c r="BF27" s="318">
        <f t="shared" si="20"/>
        <v>0</v>
      </c>
      <c r="BH27" s="316">
        <f t="shared" si="21"/>
        <v>0</v>
      </c>
      <c r="BI27" s="316">
        <f t="shared" si="22"/>
        <v>0</v>
      </c>
      <c r="BJ27" s="316">
        <f t="shared" si="23"/>
        <v>0</v>
      </c>
      <c r="BK27" s="316" t="s">
        <v>815</v>
      </c>
      <c r="BL27" s="318">
        <v>728</v>
      </c>
    </row>
    <row r="28" spans="1:64">
      <c r="A28" s="388" t="s">
        <v>283</v>
      </c>
      <c r="B28" s="389"/>
      <c r="C28" s="389" t="s">
        <v>4854</v>
      </c>
      <c r="D28" s="480" t="s">
        <v>4855</v>
      </c>
      <c r="E28" s="481"/>
      <c r="F28" s="389" t="s">
        <v>236</v>
      </c>
      <c r="G28" s="390">
        <v>1</v>
      </c>
      <c r="H28" s="390"/>
      <c r="I28" s="390">
        <f t="shared" si="0"/>
        <v>0</v>
      </c>
      <c r="J28" s="390">
        <f t="shared" si="1"/>
        <v>0</v>
      </c>
      <c r="K28" s="390">
        <f t="shared" si="2"/>
        <v>0</v>
      </c>
      <c r="L28" s="390">
        <v>6.4999999999999997E-3</v>
      </c>
      <c r="M28" s="390">
        <f t="shared" si="3"/>
        <v>6.4999999999999997E-3</v>
      </c>
      <c r="N28" s="391" t="s">
        <v>4548</v>
      </c>
      <c r="O28" s="291"/>
      <c r="Z28" s="318">
        <f t="shared" si="4"/>
        <v>0</v>
      </c>
      <c r="AB28" s="318">
        <f t="shared" si="5"/>
        <v>0</v>
      </c>
      <c r="AC28" s="318">
        <f t="shared" si="6"/>
        <v>0</v>
      </c>
      <c r="AD28" s="318">
        <f t="shared" si="7"/>
        <v>0</v>
      </c>
      <c r="AE28" s="318">
        <f t="shared" si="8"/>
        <v>0</v>
      </c>
      <c r="AF28" s="318">
        <f t="shared" si="9"/>
        <v>0</v>
      </c>
      <c r="AG28" s="318">
        <f t="shared" si="10"/>
        <v>0</v>
      </c>
      <c r="AH28" s="318">
        <f t="shared" si="11"/>
        <v>0</v>
      </c>
      <c r="AI28" s="298"/>
      <c r="AJ28" s="390">
        <f t="shared" si="12"/>
        <v>0</v>
      </c>
      <c r="AK28" s="390">
        <f t="shared" si="13"/>
        <v>0</v>
      </c>
      <c r="AL28" s="390">
        <f t="shared" si="14"/>
        <v>0</v>
      </c>
      <c r="AN28" s="318">
        <v>21</v>
      </c>
      <c r="AO28" s="318">
        <f>H28*1</f>
        <v>0</v>
      </c>
      <c r="AP28" s="318">
        <f>H28*(1-1)</f>
        <v>0</v>
      </c>
      <c r="AQ28" s="392" t="s">
        <v>241</v>
      </c>
      <c r="AV28" s="318">
        <f t="shared" si="15"/>
        <v>0</v>
      </c>
      <c r="AW28" s="318">
        <f t="shared" si="16"/>
        <v>0</v>
      </c>
      <c r="AX28" s="318">
        <f t="shared" si="17"/>
        <v>0</v>
      </c>
      <c r="AY28" s="320" t="s">
        <v>4841</v>
      </c>
      <c r="AZ28" s="320" t="s">
        <v>4550</v>
      </c>
      <c r="BA28" s="298" t="s">
        <v>4551</v>
      </c>
      <c r="BC28" s="318">
        <f t="shared" si="18"/>
        <v>0</v>
      </c>
      <c r="BD28" s="318">
        <f t="shared" si="19"/>
        <v>0</v>
      </c>
      <c r="BE28" s="318">
        <v>0</v>
      </c>
      <c r="BF28" s="318">
        <f t="shared" si="20"/>
        <v>6.4999999999999997E-3</v>
      </c>
      <c r="BH28" s="390">
        <f t="shared" si="21"/>
        <v>0</v>
      </c>
      <c r="BI28" s="390">
        <f t="shared" si="22"/>
        <v>0</v>
      </c>
      <c r="BJ28" s="390">
        <f t="shared" si="23"/>
        <v>0</v>
      </c>
      <c r="BK28" s="390" t="s">
        <v>484</v>
      </c>
      <c r="BL28" s="318">
        <v>728</v>
      </c>
    </row>
    <row r="29" spans="1:64">
      <c r="A29" s="314" t="s">
        <v>9</v>
      </c>
      <c r="B29" s="315"/>
      <c r="C29" s="315" t="s">
        <v>4856</v>
      </c>
      <c r="D29" s="443" t="s">
        <v>4857</v>
      </c>
      <c r="E29" s="444"/>
      <c r="F29" s="315" t="s">
        <v>236</v>
      </c>
      <c r="G29" s="316">
        <v>1</v>
      </c>
      <c r="H29" s="316"/>
      <c r="I29" s="316">
        <f t="shared" si="0"/>
        <v>0</v>
      </c>
      <c r="J29" s="316">
        <f t="shared" si="1"/>
        <v>0</v>
      </c>
      <c r="K29" s="316">
        <f t="shared" si="2"/>
        <v>0</v>
      </c>
      <c r="L29" s="316">
        <v>0</v>
      </c>
      <c r="M29" s="316">
        <f t="shared" si="3"/>
        <v>0</v>
      </c>
      <c r="N29" s="317" t="s">
        <v>4548</v>
      </c>
      <c r="O29" s="291"/>
      <c r="Z29" s="318">
        <f t="shared" si="4"/>
        <v>0</v>
      </c>
      <c r="AB29" s="318">
        <f t="shared" si="5"/>
        <v>0</v>
      </c>
      <c r="AC29" s="318">
        <f t="shared" si="6"/>
        <v>0</v>
      </c>
      <c r="AD29" s="318">
        <f t="shared" si="7"/>
        <v>0</v>
      </c>
      <c r="AE29" s="318">
        <f t="shared" si="8"/>
        <v>0</v>
      </c>
      <c r="AF29" s="318">
        <f t="shared" si="9"/>
        <v>0</v>
      </c>
      <c r="AG29" s="318">
        <f t="shared" si="10"/>
        <v>0</v>
      </c>
      <c r="AH29" s="318">
        <f t="shared" si="11"/>
        <v>0</v>
      </c>
      <c r="AI29" s="298"/>
      <c r="AJ29" s="316">
        <f t="shared" si="12"/>
        <v>0</v>
      </c>
      <c r="AK29" s="316">
        <f t="shared" si="13"/>
        <v>0</v>
      </c>
      <c r="AL29" s="316">
        <f t="shared" si="14"/>
        <v>0</v>
      </c>
      <c r="AN29" s="318">
        <v>21</v>
      </c>
      <c r="AO29" s="318">
        <f>H29*0</f>
        <v>0</v>
      </c>
      <c r="AP29" s="318">
        <f>H29*(1-0)</f>
        <v>0</v>
      </c>
      <c r="AQ29" s="319" t="s">
        <v>241</v>
      </c>
      <c r="AV29" s="318">
        <f t="shared" si="15"/>
        <v>0</v>
      </c>
      <c r="AW29" s="318">
        <f t="shared" si="16"/>
        <v>0</v>
      </c>
      <c r="AX29" s="318">
        <f t="shared" si="17"/>
        <v>0</v>
      </c>
      <c r="AY29" s="320" t="s">
        <v>4841</v>
      </c>
      <c r="AZ29" s="320" t="s">
        <v>4550</v>
      </c>
      <c r="BA29" s="298" t="s">
        <v>4551</v>
      </c>
      <c r="BC29" s="318">
        <f t="shared" si="18"/>
        <v>0</v>
      </c>
      <c r="BD29" s="318">
        <f t="shared" si="19"/>
        <v>0</v>
      </c>
      <c r="BE29" s="318">
        <v>0</v>
      </c>
      <c r="BF29" s="318">
        <f t="shared" si="20"/>
        <v>0</v>
      </c>
      <c r="BH29" s="316">
        <f t="shared" si="21"/>
        <v>0</v>
      </c>
      <c r="BI29" s="316">
        <f t="shared" si="22"/>
        <v>0</v>
      </c>
      <c r="BJ29" s="316">
        <f t="shared" si="23"/>
        <v>0</v>
      </c>
      <c r="BK29" s="316" t="s">
        <v>815</v>
      </c>
      <c r="BL29" s="318">
        <v>728</v>
      </c>
    </row>
    <row r="30" spans="1:64">
      <c r="A30" s="388" t="s">
        <v>237</v>
      </c>
      <c r="B30" s="389"/>
      <c r="C30" s="389" t="s">
        <v>4858</v>
      </c>
      <c r="D30" s="480" t="s">
        <v>4859</v>
      </c>
      <c r="E30" s="481"/>
      <c r="F30" s="389" t="s">
        <v>236</v>
      </c>
      <c r="G30" s="390">
        <v>1</v>
      </c>
      <c r="H30" s="390"/>
      <c r="I30" s="390">
        <f t="shared" si="0"/>
        <v>0</v>
      </c>
      <c r="J30" s="390">
        <f t="shared" si="1"/>
        <v>0</v>
      </c>
      <c r="K30" s="390">
        <f t="shared" si="2"/>
        <v>0</v>
      </c>
      <c r="L30" s="390">
        <v>5.0000000000000001E-3</v>
      </c>
      <c r="M30" s="390">
        <f t="shared" si="3"/>
        <v>5.0000000000000001E-3</v>
      </c>
      <c r="N30" s="391" t="s">
        <v>4548</v>
      </c>
      <c r="O30" s="291"/>
      <c r="Z30" s="318">
        <f t="shared" si="4"/>
        <v>0</v>
      </c>
      <c r="AB30" s="318">
        <f t="shared" si="5"/>
        <v>0</v>
      </c>
      <c r="AC30" s="318">
        <f t="shared" si="6"/>
        <v>0</v>
      </c>
      <c r="AD30" s="318">
        <f t="shared" si="7"/>
        <v>0</v>
      </c>
      <c r="AE30" s="318">
        <f t="shared" si="8"/>
        <v>0</v>
      </c>
      <c r="AF30" s="318">
        <f t="shared" si="9"/>
        <v>0</v>
      </c>
      <c r="AG30" s="318">
        <f t="shared" si="10"/>
        <v>0</v>
      </c>
      <c r="AH30" s="318">
        <f t="shared" si="11"/>
        <v>0</v>
      </c>
      <c r="AI30" s="298"/>
      <c r="AJ30" s="390">
        <f t="shared" si="12"/>
        <v>0</v>
      </c>
      <c r="AK30" s="390">
        <f t="shared" si="13"/>
        <v>0</v>
      </c>
      <c r="AL30" s="390">
        <f t="shared" si="14"/>
        <v>0</v>
      </c>
      <c r="AN30" s="318">
        <v>21</v>
      </c>
      <c r="AO30" s="318">
        <f>H30*1</f>
        <v>0</v>
      </c>
      <c r="AP30" s="318">
        <f>H30*(1-1)</f>
        <v>0</v>
      </c>
      <c r="AQ30" s="392" t="s">
        <v>241</v>
      </c>
      <c r="AV30" s="318">
        <f t="shared" si="15"/>
        <v>0</v>
      </c>
      <c r="AW30" s="318">
        <f t="shared" si="16"/>
        <v>0</v>
      </c>
      <c r="AX30" s="318">
        <f t="shared" si="17"/>
        <v>0</v>
      </c>
      <c r="AY30" s="320" t="s">
        <v>4841</v>
      </c>
      <c r="AZ30" s="320" t="s">
        <v>4550</v>
      </c>
      <c r="BA30" s="298" t="s">
        <v>4551</v>
      </c>
      <c r="BC30" s="318">
        <f t="shared" si="18"/>
        <v>0</v>
      </c>
      <c r="BD30" s="318">
        <f t="shared" si="19"/>
        <v>0</v>
      </c>
      <c r="BE30" s="318">
        <v>0</v>
      </c>
      <c r="BF30" s="318">
        <f t="shared" si="20"/>
        <v>5.0000000000000001E-3</v>
      </c>
      <c r="BH30" s="390">
        <f t="shared" si="21"/>
        <v>0</v>
      </c>
      <c r="BI30" s="390">
        <f t="shared" si="22"/>
        <v>0</v>
      </c>
      <c r="BJ30" s="390">
        <f t="shared" si="23"/>
        <v>0</v>
      </c>
      <c r="BK30" s="390" t="s">
        <v>484</v>
      </c>
      <c r="BL30" s="318">
        <v>728</v>
      </c>
    </row>
    <row r="31" spans="1:64">
      <c r="A31" s="314" t="s">
        <v>302</v>
      </c>
      <c r="B31" s="315"/>
      <c r="C31" s="315" t="s">
        <v>4860</v>
      </c>
      <c r="D31" s="443" t="s">
        <v>4861</v>
      </c>
      <c r="E31" s="444"/>
      <c r="F31" s="315" t="s">
        <v>476</v>
      </c>
      <c r="G31" s="316">
        <v>1</v>
      </c>
      <c r="H31" s="316"/>
      <c r="I31" s="316">
        <f t="shared" si="0"/>
        <v>0</v>
      </c>
      <c r="J31" s="316">
        <f t="shared" si="1"/>
        <v>0</v>
      </c>
      <c r="K31" s="316">
        <f t="shared" si="2"/>
        <v>0</v>
      </c>
      <c r="L31" s="316">
        <v>0</v>
      </c>
      <c r="M31" s="316">
        <f t="shared" si="3"/>
        <v>0</v>
      </c>
      <c r="N31" s="317" t="s">
        <v>4548</v>
      </c>
      <c r="O31" s="291"/>
      <c r="Z31" s="318">
        <f t="shared" si="4"/>
        <v>0</v>
      </c>
      <c r="AB31" s="318">
        <f t="shared" si="5"/>
        <v>0</v>
      </c>
      <c r="AC31" s="318">
        <f t="shared" si="6"/>
        <v>0</v>
      </c>
      <c r="AD31" s="318">
        <f t="shared" si="7"/>
        <v>0</v>
      </c>
      <c r="AE31" s="318">
        <f t="shared" si="8"/>
        <v>0</v>
      </c>
      <c r="AF31" s="318">
        <f t="shared" si="9"/>
        <v>0</v>
      </c>
      <c r="AG31" s="318">
        <f t="shared" si="10"/>
        <v>0</v>
      </c>
      <c r="AH31" s="318">
        <f t="shared" si="11"/>
        <v>0</v>
      </c>
      <c r="AI31" s="298"/>
      <c r="AJ31" s="316">
        <f t="shared" si="12"/>
        <v>0</v>
      </c>
      <c r="AK31" s="316">
        <f t="shared" si="13"/>
        <v>0</v>
      </c>
      <c r="AL31" s="316">
        <f t="shared" si="14"/>
        <v>0</v>
      </c>
      <c r="AN31" s="318">
        <v>21</v>
      </c>
      <c r="AO31" s="318">
        <f>H31*0</f>
        <v>0</v>
      </c>
      <c r="AP31" s="318">
        <f>H31*(1-0)</f>
        <v>0</v>
      </c>
      <c r="AQ31" s="319" t="s">
        <v>241</v>
      </c>
      <c r="AV31" s="318">
        <f t="shared" si="15"/>
        <v>0</v>
      </c>
      <c r="AW31" s="318">
        <f t="shared" si="16"/>
        <v>0</v>
      </c>
      <c r="AX31" s="318">
        <f t="shared" si="17"/>
        <v>0</v>
      </c>
      <c r="AY31" s="320" t="s">
        <v>4841</v>
      </c>
      <c r="AZ31" s="320" t="s">
        <v>4550</v>
      </c>
      <c r="BA31" s="298" t="s">
        <v>4551</v>
      </c>
      <c r="BC31" s="318">
        <f t="shared" si="18"/>
        <v>0</v>
      </c>
      <c r="BD31" s="318">
        <f t="shared" si="19"/>
        <v>0</v>
      </c>
      <c r="BE31" s="318">
        <v>0</v>
      </c>
      <c r="BF31" s="318">
        <f t="shared" si="20"/>
        <v>0</v>
      </c>
      <c r="BH31" s="316">
        <f t="shared" si="21"/>
        <v>0</v>
      </c>
      <c r="BI31" s="316">
        <f t="shared" si="22"/>
        <v>0</v>
      </c>
      <c r="BJ31" s="316">
        <f t="shared" si="23"/>
        <v>0</v>
      </c>
      <c r="BK31" s="316" t="s">
        <v>815</v>
      </c>
      <c r="BL31" s="318">
        <v>728</v>
      </c>
    </row>
    <row r="32" spans="1:64">
      <c r="A32" s="388" t="s">
        <v>315</v>
      </c>
      <c r="B32" s="389"/>
      <c r="C32" s="389" t="s">
        <v>4862</v>
      </c>
      <c r="D32" s="480" t="s">
        <v>4863</v>
      </c>
      <c r="E32" s="481"/>
      <c r="F32" s="389" t="s">
        <v>236</v>
      </c>
      <c r="G32" s="390">
        <v>1</v>
      </c>
      <c r="H32" s="390"/>
      <c r="I32" s="390">
        <f t="shared" si="0"/>
        <v>0</v>
      </c>
      <c r="J32" s="390">
        <f t="shared" si="1"/>
        <v>0</v>
      </c>
      <c r="K32" s="390">
        <f t="shared" si="2"/>
        <v>0</v>
      </c>
      <c r="L32" s="390">
        <v>1.536E-2</v>
      </c>
      <c r="M32" s="390">
        <f t="shared" si="3"/>
        <v>1.536E-2</v>
      </c>
      <c r="N32" s="391" t="s">
        <v>4548</v>
      </c>
      <c r="O32" s="291"/>
      <c r="Z32" s="318">
        <f t="shared" si="4"/>
        <v>0</v>
      </c>
      <c r="AB32" s="318">
        <f t="shared" si="5"/>
        <v>0</v>
      </c>
      <c r="AC32" s="318">
        <f t="shared" si="6"/>
        <v>0</v>
      </c>
      <c r="AD32" s="318">
        <f t="shared" si="7"/>
        <v>0</v>
      </c>
      <c r="AE32" s="318">
        <f t="shared" si="8"/>
        <v>0</v>
      </c>
      <c r="AF32" s="318">
        <f t="shared" si="9"/>
        <v>0</v>
      </c>
      <c r="AG32" s="318">
        <f t="shared" si="10"/>
        <v>0</v>
      </c>
      <c r="AH32" s="318">
        <f t="shared" si="11"/>
        <v>0</v>
      </c>
      <c r="AI32" s="298"/>
      <c r="AJ32" s="390">
        <f t="shared" si="12"/>
        <v>0</v>
      </c>
      <c r="AK32" s="390">
        <f t="shared" si="13"/>
        <v>0</v>
      </c>
      <c r="AL32" s="390">
        <f t="shared" si="14"/>
        <v>0</v>
      </c>
      <c r="AN32" s="318">
        <v>21</v>
      </c>
      <c r="AO32" s="318">
        <f>H32*1</f>
        <v>0</v>
      </c>
      <c r="AP32" s="318">
        <f>H32*(1-1)</f>
        <v>0</v>
      </c>
      <c r="AQ32" s="392" t="s">
        <v>241</v>
      </c>
      <c r="AV32" s="318">
        <f t="shared" si="15"/>
        <v>0</v>
      </c>
      <c r="AW32" s="318">
        <f t="shared" si="16"/>
        <v>0</v>
      </c>
      <c r="AX32" s="318">
        <f t="shared" si="17"/>
        <v>0</v>
      </c>
      <c r="AY32" s="320" t="s">
        <v>4841</v>
      </c>
      <c r="AZ32" s="320" t="s">
        <v>4550</v>
      </c>
      <c r="BA32" s="298" t="s">
        <v>4551</v>
      </c>
      <c r="BC32" s="318">
        <f t="shared" si="18"/>
        <v>0</v>
      </c>
      <c r="BD32" s="318">
        <f t="shared" si="19"/>
        <v>0</v>
      </c>
      <c r="BE32" s="318">
        <v>0</v>
      </c>
      <c r="BF32" s="318">
        <f t="shared" si="20"/>
        <v>1.536E-2</v>
      </c>
      <c r="BH32" s="390">
        <f t="shared" si="21"/>
        <v>0</v>
      </c>
      <c r="BI32" s="390">
        <f t="shared" si="22"/>
        <v>0</v>
      </c>
      <c r="BJ32" s="390">
        <f t="shared" si="23"/>
        <v>0</v>
      </c>
      <c r="BK32" s="390" t="s">
        <v>484</v>
      </c>
      <c r="BL32" s="318">
        <v>728</v>
      </c>
    </row>
    <row r="33" spans="1:64">
      <c r="A33" s="314" t="s">
        <v>461</v>
      </c>
      <c r="B33" s="315"/>
      <c r="C33" s="315" t="s">
        <v>4864</v>
      </c>
      <c r="D33" s="443" t="s">
        <v>4865</v>
      </c>
      <c r="E33" s="444"/>
      <c r="F33" s="315" t="s">
        <v>236</v>
      </c>
      <c r="G33" s="316">
        <v>1</v>
      </c>
      <c r="H33" s="316"/>
      <c r="I33" s="316">
        <f t="shared" si="0"/>
        <v>0</v>
      </c>
      <c r="J33" s="316">
        <f t="shared" si="1"/>
        <v>0</v>
      </c>
      <c r="K33" s="316">
        <f t="shared" si="2"/>
        <v>0</v>
      </c>
      <c r="L33" s="316">
        <v>0</v>
      </c>
      <c r="M33" s="316">
        <f t="shared" si="3"/>
        <v>0</v>
      </c>
      <c r="N33" s="317" t="s">
        <v>4548</v>
      </c>
      <c r="O33" s="291"/>
      <c r="Z33" s="318">
        <f t="shared" si="4"/>
        <v>0</v>
      </c>
      <c r="AB33" s="318">
        <f t="shared" si="5"/>
        <v>0</v>
      </c>
      <c r="AC33" s="318">
        <f t="shared" si="6"/>
        <v>0</v>
      </c>
      <c r="AD33" s="318">
        <f t="shared" si="7"/>
        <v>0</v>
      </c>
      <c r="AE33" s="318">
        <f t="shared" si="8"/>
        <v>0</v>
      </c>
      <c r="AF33" s="318">
        <f t="shared" si="9"/>
        <v>0</v>
      </c>
      <c r="AG33" s="318">
        <f t="shared" si="10"/>
        <v>0</v>
      </c>
      <c r="AH33" s="318">
        <f t="shared" si="11"/>
        <v>0</v>
      </c>
      <c r="AI33" s="298"/>
      <c r="AJ33" s="316">
        <f t="shared" si="12"/>
        <v>0</v>
      </c>
      <c r="AK33" s="316">
        <f t="shared" si="13"/>
        <v>0</v>
      </c>
      <c r="AL33" s="316">
        <f t="shared" si="14"/>
        <v>0</v>
      </c>
      <c r="AN33" s="318">
        <v>21</v>
      </c>
      <c r="AO33" s="318">
        <f>H33*0</f>
        <v>0</v>
      </c>
      <c r="AP33" s="318">
        <f>H33*(1-0)</f>
        <v>0</v>
      </c>
      <c r="AQ33" s="319" t="s">
        <v>241</v>
      </c>
      <c r="AV33" s="318">
        <f t="shared" si="15"/>
        <v>0</v>
      </c>
      <c r="AW33" s="318">
        <f t="shared" si="16"/>
        <v>0</v>
      </c>
      <c r="AX33" s="318">
        <f t="shared" si="17"/>
        <v>0</v>
      </c>
      <c r="AY33" s="320" t="s">
        <v>4841</v>
      </c>
      <c r="AZ33" s="320" t="s">
        <v>4550</v>
      </c>
      <c r="BA33" s="298" t="s">
        <v>4551</v>
      </c>
      <c r="BC33" s="318">
        <f t="shared" si="18"/>
        <v>0</v>
      </c>
      <c r="BD33" s="318">
        <f t="shared" si="19"/>
        <v>0</v>
      </c>
      <c r="BE33" s="318">
        <v>0</v>
      </c>
      <c r="BF33" s="318">
        <f t="shared" si="20"/>
        <v>0</v>
      </c>
      <c r="BH33" s="316">
        <f t="shared" si="21"/>
        <v>0</v>
      </c>
      <c r="BI33" s="316">
        <f t="shared" si="22"/>
        <v>0</v>
      </c>
      <c r="BJ33" s="316">
        <f t="shared" si="23"/>
        <v>0</v>
      </c>
      <c r="BK33" s="316" t="s">
        <v>815</v>
      </c>
      <c r="BL33" s="318">
        <v>728</v>
      </c>
    </row>
    <row r="34" spans="1:64">
      <c r="A34" s="388" t="s">
        <v>467</v>
      </c>
      <c r="B34" s="389"/>
      <c r="C34" s="389" t="s">
        <v>4866</v>
      </c>
      <c r="D34" s="480" t="s">
        <v>4867</v>
      </c>
      <c r="E34" s="481"/>
      <c r="F34" s="389" t="s">
        <v>236</v>
      </c>
      <c r="G34" s="390">
        <v>1</v>
      </c>
      <c r="H34" s="390"/>
      <c r="I34" s="390">
        <f t="shared" si="0"/>
        <v>0</v>
      </c>
      <c r="J34" s="390">
        <f t="shared" si="1"/>
        <v>0</v>
      </c>
      <c r="K34" s="390">
        <f t="shared" si="2"/>
        <v>0</v>
      </c>
      <c r="L34" s="390">
        <v>2.9000000000000001E-2</v>
      </c>
      <c r="M34" s="390">
        <f t="shared" si="3"/>
        <v>2.9000000000000001E-2</v>
      </c>
      <c r="N34" s="391" t="s">
        <v>4548</v>
      </c>
      <c r="O34" s="291"/>
      <c r="Z34" s="318">
        <f t="shared" si="4"/>
        <v>0</v>
      </c>
      <c r="AB34" s="318">
        <f t="shared" si="5"/>
        <v>0</v>
      </c>
      <c r="AC34" s="318">
        <f t="shared" si="6"/>
        <v>0</v>
      </c>
      <c r="AD34" s="318">
        <f t="shared" si="7"/>
        <v>0</v>
      </c>
      <c r="AE34" s="318">
        <f t="shared" si="8"/>
        <v>0</v>
      </c>
      <c r="AF34" s="318">
        <f t="shared" si="9"/>
        <v>0</v>
      </c>
      <c r="AG34" s="318">
        <f t="shared" si="10"/>
        <v>0</v>
      </c>
      <c r="AH34" s="318">
        <f t="shared" si="11"/>
        <v>0</v>
      </c>
      <c r="AI34" s="298"/>
      <c r="AJ34" s="390">
        <f t="shared" si="12"/>
        <v>0</v>
      </c>
      <c r="AK34" s="390">
        <f t="shared" si="13"/>
        <v>0</v>
      </c>
      <c r="AL34" s="390">
        <f t="shared" si="14"/>
        <v>0</v>
      </c>
      <c r="AN34" s="318">
        <v>21</v>
      </c>
      <c r="AO34" s="318">
        <f>H34*1</f>
        <v>0</v>
      </c>
      <c r="AP34" s="318">
        <f>H34*(1-1)</f>
        <v>0</v>
      </c>
      <c r="AQ34" s="392" t="s">
        <v>241</v>
      </c>
      <c r="AV34" s="318">
        <f t="shared" si="15"/>
        <v>0</v>
      </c>
      <c r="AW34" s="318">
        <f t="shared" si="16"/>
        <v>0</v>
      </c>
      <c r="AX34" s="318">
        <f t="shared" si="17"/>
        <v>0</v>
      </c>
      <c r="AY34" s="320" t="s">
        <v>4841</v>
      </c>
      <c r="AZ34" s="320" t="s">
        <v>4550</v>
      </c>
      <c r="BA34" s="298" t="s">
        <v>4551</v>
      </c>
      <c r="BC34" s="318">
        <f t="shared" si="18"/>
        <v>0</v>
      </c>
      <c r="BD34" s="318">
        <f t="shared" si="19"/>
        <v>0</v>
      </c>
      <c r="BE34" s="318">
        <v>0</v>
      </c>
      <c r="BF34" s="318">
        <f t="shared" si="20"/>
        <v>2.9000000000000001E-2</v>
      </c>
      <c r="BH34" s="390">
        <f t="shared" si="21"/>
        <v>0</v>
      </c>
      <c r="BI34" s="390">
        <f t="shared" si="22"/>
        <v>0</v>
      </c>
      <c r="BJ34" s="390">
        <f t="shared" si="23"/>
        <v>0</v>
      </c>
      <c r="BK34" s="390" t="s">
        <v>484</v>
      </c>
      <c r="BL34" s="318">
        <v>728</v>
      </c>
    </row>
    <row r="35" spans="1:64">
      <c r="A35" s="314" t="s">
        <v>8</v>
      </c>
      <c r="B35" s="315"/>
      <c r="C35" s="315" t="s">
        <v>4868</v>
      </c>
      <c r="D35" s="443" t="s">
        <v>4869</v>
      </c>
      <c r="E35" s="444"/>
      <c r="F35" s="315" t="s">
        <v>236</v>
      </c>
      <c r="G35" s="316">
        <v>4</v>
      </c>
      <c r="H35" s="316"/>
      <c r="I35" s="316">
        <f t="shared" si="0"/>
        <v>0</v>
      </c>
      <c r="J35" s="316">
        <f t="shared" si="1"/>
        <v>0</v>
      </c>
      <c r="K35" s="316">
        <f t="shared" si="2"/>
        <v>0</v>
      </c>
      <c r="L35" s="316">
        <v>0</v>
      </c>
      <c r="M35" s="316">
        <f t="shared" si="3"/>
        <v>0</v>
      </c>
      <c r="N35" s="317" t="s">
        <v>4548</v>
      </c>
      <c r="O35" s="291"/>
      <c r="Z35" s="318">
        <f t="shared" si="4"/>
        <v>0</v>
      </c>
      <c r="AB35" s="318">
        <f t="shared" si="5"/>
        <v>0</v>
      </c>
      <c r="AC35" s="318">
        <f t="shared" si="6"/>
        <v>0</v>
      </c>
      <c r="AD35" s="318">
        <f t="shared" si="7"/>
        <v>0</v>
      </c>
      <c r="AE35" s="318">
        <f t="shared" si="8"/>
        <v>0</v>
      </c>
      <c r="AF35" s="318">
        <f t="shared" si="9"/>
        <v>0</v>
      </c>
      <c r="AG35" s="318">
        <f t="shared" si="10"/>
        <v>0</v>
      </c>
      <c r="AH35" s="318">
        <f t="shared" si="11"/>
        <v>0</v>
      </c>
      <c r="AI35" s="298"/>
      <c r="AJ35" s="316">
        <f t="shared" si="12"/>
        <v>0</v>
      </c>
      <c r="AK35" s="316">
        <f t="shared" si="13"/>
        <v>0</v>
      </c>
      <c r="AL35" s="316">
        <f t="shared" si="14"/>
        <v>0</v>
      </c>
      <c r="AN35" s="318">
        <v>21</v>
      </c>
      <c r="AO35" s="318">
        <f>H35*0</f>
        <v>0</v>
      </c>
      <c r="AP35" s="318">
        <f>H35*(1-0)</f>
        <v>0</v>
      </c>
      <c r="AQ35" s="319" t="s">
        <v>241</v>
      </c>
      <c r="AV35" s="318">
        <f t="shared" si="15"/>
        <v>0</v>
      </c>
      <c r="AW35" s="318">
        <f t="shared" si="16"/>
        <v>0</v>
      </c>
      <c r="AX35" s="318">
        <f t="shared" si="17"/>
        <v>0</v>
      </c>
      <c r="AY35" s="320" t="s">
        <v>4841</v>
      </c>
      <c r="AZ35" s="320" t="s">
        <v>4550</v>
      </c>
      <c r="BA35" s="298" t="s">
        <v>4551</v>
      </c>
      <c r="BC35" s="318">
        <f t="shared" si="18"/>
        <v>0</v>
      </c>
      <c r="BD35" s="318">
        <f t="shared" si="19"/>
        <v>0</v>
      </c>
      <c r="BE35" s="318">
        <v>0</v>
      </c>
      <c r="BF35" s="318">
        <f t="shared" si="20"/>
        <v>0</v>
      </c>
      <c r="BH35" s="316">
        <f t="shared" si="21"/>
        <v>0</v>
      </c>
      <c r="BI35" s="316">
        <f t="shared" si="22"/>
        <v>0</v>
      </c>
      <c r="BJ35" s="316">
        <f t="shared" si="23"/>
        <v>0</v>
      </c>
      <c r="BK35" s="316" t="s">
        <v>815</v>
      </c>
      <c r="BL35" s="318">
        <v>728</v>
      </c>
    </row>
    <row r="36" spans="1:64">
      <c r="A36" s="291"/>
      <c r="C36" s="321" t="s">
        <v>4552</v>
      </c>
      <c r="D36" s="445" t="s">
        <v>4870</v>
      </c>
      <c r="E36" s="446"/>
      <c r="F36" s="446"/>
      <c r="G36" s="446"/>
      <c r="H36" s="446"/>
      <c r="I36" s="446"/>
      <c r="J36" s="446"/>
      <c r="K36" s="446"/>
      <c r="L36" s="446"/>
      <c r="M36" s="446"/>
      <c r="N36" s="447"/>
      <c r="O36" s="291"/>
    </row>
    <row r="37" spans="1:64">
      <c r="A37" s="388" t="s">
        <v>483</v>
      </c>
      <c r="B37" s="389"/>
      <c r="C37" s="389" t="s">
        <v>4871</v>
      </c>
      <c r="D37" s="480" t="s">
        <v>4872</v>
      </c>
      <c r="E37" s="481"/>
      <c r="F37" s="389" t="s">
        <v>236</v>
      </c>
      <c r="G37" s="390">
        <v>4</v>
      </c>
      <c r="H37" s="390"/>
      <c r="I37" s="390">
        <f>G37*AO37</f>
        <v>0</v>
      </c>
      <c r="J37" s="390">
        <f>G37*AP37</f>
        <v>0</v>
      </c>
      <c r="K37" s="390">
        <f>G37*H37</f>
        <v>0</v>
      </c>
      <c r="L37" s="390">
        <v>2.2000000000000001E-3</v>
      </c>
      <c r="M37" s="390">
        <f>G37*L37</f>
        <v>8.8000000000000005E-3</v>
      </c>
      <c r="N37" s="391" t="s">
        <v>4548</v>
      </c>
      <c r="O37" s="291"/>
      <c r="Z37" s="318">
        <f>IF(AQ37="5",BJ37,0)</f>
        <v>0</v>
      </c>
      <c r="AB37" s="318">
        <f>IF(AQ37="1",BH37,0)</f>
        <v>0</v>
      </c>
      <c r="AC37" s="318">
        <f>IF(AQ37="1",BI37,0)</f>
        <v>0</v>
      </c>
      <c r="AD37" s="318">
        <f>IF(AQ37="7",BH37,0)</f>
        <v>0</v>
      </c>
      <c r="AE37" s="318">
        <f>IF(AQ37="7",BI37,0)</f>
        <v>0</v>
      </c>
      <c r="AF37" s="318">
        <f>IF(AQ37="2",BH37,0)</f>
        <v>0</v>
      </c>
      <c r="AG37" s="318">
        <f>IF(AQ37="2",BI37,0)</f>
        <v>0</v>
      </c>
      <c r="AH37" s="318">
        <f>IF(AQ37="0",BJ37,0)</f>
        <v>0</v>
      </c>
      <c r="AI37" s="298"/>
      <c r="AJ37" s="390">
        <f>IF(AN37=0,K37,0)</f>
        <v>0</v>
      </c>
      <c r="AK37" s="390">
        <f>IF(AN37=15,K37,0)</f>
        <v>0</v>
      </c>
      <c r="AL37" s="390">
        <f>IF(AN37=21,K37,0)</f>
        <v>0</v>
      </c>
      <c r="AN37" s="318">
        <v>21</v>
      </c>
      <c r="AO37" s="318">
        <f>H37*1</f>
        <v>0</v>
      </c>
      <c r="AP37" s="318">
        <f>H37*(1-1)</f>
        <v>0</v>
      </c>
      <c r="AQ37" s="392" t="s">
        <v>241</v>
      </c>
      <c r="AV37" s="318">
        <f>AW37+AX37</f>
        <v>0</v>
      </c>
      <c r="AW37" s="318">
        <f>G37*AO37</f>
        <v>0</v>
      </c>
      <c r="AX37" s="318">
        <f>G37*AP37</f>
        <v>0</v>
      </c>
      <c r="AY37" s="320" t="s">
        <v>4841</v>
      </c>
      <c r="AZ37" s="320" t="s">
        <v>4550</v>
      </c>
      <c r="BA37" s="298" t="s">
        <v>4551</v>
      </c>
      <c r="BC37" s="318">
        <f>AW37+AX37</f>
        <v>0</v>
      </c>
      <c r="BD37" s="318">
        <f>H37/(100-BE37)*100</f>
        <v>0</v>
      </c>
      <c r="BE37" s="318">
        <v>0</v>
      </c>
      <c r="BF37" s="318">
        <f>M37</f>
        <v>8.8000000000000005E-3</v>
      </c>
      <c r="BH37" s="390">
        <f>G37*AO37</f>
        <v>0</v>
      </c>
      <c r="BI37" s="390">
        <f>G37*AP37</f>
        <v>0</v>
      </c>
      <c r="BJ37" s="390">
        <f>G37*H37</f>
        <v>0</v>
      </c>
      <c r="BK37" s="390" t="s">
        <v>484</v>
      </c>
      <c r="BL37" s="318">
        <v>728</v>
      </c>
    </row>
    <row r="38" spans="1:64">
      <c r="A38" s="314" t="s">
        <v>490</v>
      </c>
      <c r="B38" s="315"/>
      <c r="C38" s="315" t="s">
        <v>4873</v>
      </c>
      <c r="D38" s="443" t="s">
        <v>4874</v>
      </c>
      <c r="E38" s="444"/>
      <c r="F38" s="315" t="s">
        <v>236</v>
      </c>
      <c r="G38" s="316">
        <v>4</v>
      </c>
      <c r="H38" s="316"/>
      <c r="I38" s="316">
        <f>G38*AO38</f>
        <v>0</v>
      </c>
      <c r="J38" s="316">
        <f>G38*AP38</f>
        <v>0</v>
      </c>
      <c r="K38" s="316">
        <f>G38*H38</f>
        <v>0</v>
      </c>
      <c r="L38" s="316">
        <v>0</v>
      </c>
      <c r="M38" s="316">
        <f>G38*L38</f>
        <v>0</v>
      </c>
      <c r="N38" s="317" t="s">
        <v>4548</v>
      </c>
      <c r="O38" s="291"/>
      <c r="Z38" s="318">
        <f>IF(AQ38="5",BJ38,0)</f>
        <v>0</v>
      </c>
      <c r="AB38" s="318">
        <f>IF(AQ38="1",BH38,0)</f>
        <v>0</v>
      </c>
      <c r="AC38" s="318">
        <f>IF(AQ38="1",BI38,0)</f>
        <v>0</v>
      </c>
      <c r="AD38" s="318">
        <f>IF(AQ38="7",BH38,0)</f>
        <v>0</v>
      </c>
      <c r="AE38" s="318">
        <f>IF(AQ38="7",BI38,0)</f>
        <v>0</v>
      </c>
      <c r="AF38" s="318">
        <f>IF(AQ38="2",BH38,0)</f>
        <v>0</v>
      </c>
      <c r="AG38" s="318">
        <f>IF(AQ38="2",BI38,0)</f>
        <v>0</v>
      </c>
      <c r="AH38" s="318">
        <f>IF(AQ38="0",BJ38,0)</f>
        <v>0</v>
      </c>
      <c r="AI38" s="298"/>
      <c r="AJ38" s="316">
        <f>IF(AN38=0,K38,0)</f>
        <v>0</v>
      </c>
      <c r="AK38" s="316">
        <f>IF(AN38=15,K38,0)</f>
        <v>0</v>
      </c>
      <c r="AL38" s="316">
        <f>IF(AN38=21,K38,0)</f>
        <v>0</v>
      </c>
      <c r="AN38" s="318">
        <v>21</v>
      </c>
      <c r="AO38" s="318">
        <f>H38*0</f>
        <v>0</v>
      </c>
      <c r="AP38" s="318">
        <f>H38*(1-0)</f>
        <v>0</v>
      </c>
      <c r="AQ38" s="319" t="s">
        <v>241</v>
      </c>
      <c r="AV38" s="318">
        <f>AW38+AX38</f>
        <v>0</v>
      </c>
      <c r="AW38" s="318">
        <f>G38*AO38</f>
        <v>0</v>
      </c>
      <c r="AX38" s="318">
        <f>G38*AP38</f>
        <v>0</v>
      </c>
      <c r="AY38" s="320" t="s">
        <v>4841</v>
      </c>
      <c r="AZ38" s="320" t="s">
        <v>4550</v>
      </c>
      <c r="BA38" s="298" t="s">
        <v>4551</v>
      </c>
      <c r="BC38" s="318">
        <f>AW38+AX38</f>
        <v>0</v>
      </c>
      <c r="BD38" s="318">
        <f>H38/(100-BE38)*100</f>
        <v>0</v>
      </c>
      <c r="BE38" s="318">
        <v>0</v>
      </c>
      <c r="BF38" s="318">
        <f>M38</f>
        <v>0</v>
      </c>
      <c r="BH38" s="316">
        <f>G38*AO38</f>
        <v>0</v>
      </c>
      <c r="BI38" s="316">
        <f>G38*AP38</f>
        <v>0</v>
      </c>
      <c r="BJ38" s="316">
        <f>G38*H38</f>
        <v>0</v>
      </c>
      <c r="BK38" s="316" t="s">
        <v>815</v>
      </c>
      <c r="BL38" s="318">
        <v>728</v>
      </c>
    </row>
    <row r="39" spans="1:64">
      <c r="A39" s="291"/>
      <c r="C39" s="321" t="s">
        <v>4552</v>
      </c>
      <c r="D39" s="445" t="s">
        <v>4875</v>
      </c>
      <c r="E39" s="446"/>
      <c r="F39" s="446"/>
      <c r="G39" s="446"/>
      <c r="H39" s="446"/>
      <c r="I39" s="446"/>
      <c r="J39" s="446"/>
      <c r="K39" s="446"/>
      <c r="L39" s="446"/>
      <c r="M39" s="446"/>
      <c r="N39" s="447"/>
      <c r="O39" s="291"/>
    </row>
    <row r="40" spans="1:64">
      <c r="A40" s="388" t="s">
        <v>496</v>
      </c>
      <c r="B40" s="389"/>
      <c r="C40" s="389" t="s">
        <v>4876</v>
      </c>
      <c r="D40" s="480" t="s">
        <v>4877</v>
      </c>
      <c r="E40" s="481"/>
      <c r="F40" s="389" t="s">
        <v>236</v>
      </c>
      <c r="G40" s="390">
        <v>4</v>
      </c>
      <c r="H40" s="390"/>
      <c r="I40" s="390">
        <f>G40*AO40</f>
        <v>0</v>
      </c>
      <c r="J40" s="390">
        <f>G40*AP40</f>
        <v>0</v>
      </c>
      <c r="K40" s="390">
        <f>G40*H40</f>
        <v>0</v>
      </c>
      <c r="L40" s="390">
        <v>1.5E-3</v>
      </c>
      <c r="M40" s="390">
        <f>G40*L40</f>
        <v>6.0000000000000001E-3</v>
      </c>
      <c r="N40" s="391" t="s">
        <v>4548</v>
      </c>
      <c r="O40" s="291"/>
      <c r="Z40" s="318">
        <f>IF(AQ40="5",BJ40,0)</f>
        <v>0</v>
      </c>
      <c r="AB40" s="318">
        <f>IF(AQ40="1",BH40,0)</f>
        <v>0</v>
      </c>
      <c r="AC40" s="318">
        <f>IF(AQ40="1",BI40,0)</f>
        <v>0</v>
      </c>
      <c r="AD40" s="318">
        <f>IF(AQ40="7",BH40,0)</f>
        <v>0</v>
      </c>
      <c r="AE40" s="318">
        <f>IF(AQ40="7",BI40,0)</f>
        <v>0</v>
      </c>
      <c r="AF40" s="318">
        <f>IF(AQ40="2",BH40,0)</f>
        <v>0</v>
      </c>
      <c r="AG40" s="318">
        <f>IF(AQ40="2",BI40,0)</f>
        <v>0</v>
      </c>
      <c r="AH40" s="318">
        <f>IF(AQ40="0",BJ40,0)</f>
        <v>0</v>
      </c>
      <c r="AI40" s="298"/>
      <c r="AJ40" s="390">
        <f>IF(AN40=0,K40,0)</f>
        <v>0</v>
      </c>
      <c r="AK40" s="390">
        <f>IF(AN40=15,K40,0)</f>
        <v>0</v>
      </c>
      <c r="AL40" s="390">
        <f>IF(AN40=21,K40,0)</f>
        <v>0</v>
      </c>
      <c r="AN40" s="318">
        <v>21</v>
      </c>
      <c r="AO40" s="318">
        <f>H40*1</f>
        <v>0</v>
      </c>
      <c r="AP40" s="318">
        <f>H40*(1-1)</f>
        <v>0</v>
      </c>
      <c r="AQ40" s="392" t="s">
        <v>241</v>
      </c>
      <c r="AV40" s="318">
        <f>AW40+AX40</f>
        <v>0</v>
      </c>
      <c r="AW40" s="318">
        <f>G40*AO40</f>
        <v>0</v>
      </c>
      <c r="AX40" s="318">
        <f>G40*AP40</f>
        <v>0</v>
      </c>
      <c r="AY40" s="320" t="s">
        <v>4841</v>
      </c>
      <c r="AZ40" s="320" t="s">
        <v>4550</v>
      </c>
      <c r="BA40" s="298" t="s">
        <v>4551</v>
      </c>
      <c r="BC40" s="318">
        <f>AW40+AX40</f>
        <v>0</v>
      </c>
      <c r="BD40" s="318">
        <f>H40/(100-BE40)*100</f>
        <v>0</v>
      </c>
      <c r="BE40" s="318">
        <v>0</v>
      </c>
      <c r="BF40" s="318">
        <f>M40</f>
        <v>6.0000000000000001E-3</v>
      </c>
      <c r="BH40" s="390">
        <f>G40*AO40</f>
        <v>0</v>
      </c>
      <c r="BI40" s="390">
        <f>G40*AP40</f>
        <v>0</v>
      </c>
      <c r="BJ40" s="390">
        <f>G40*H40</f>
        <v>0</v>
      </c>
      <c r="BK40" s="390" t="s">
        <v>484</v>
      </c>
      <c r="BL40" s="318">
        <v>728</v>
      </c>
    </row>
    <row r="41" spans="1:64">
      <c r="A41" s="314" t="s">
        <v>502</v>
      </c>
      <c r="B41" s="315"/>
      <c r="C41" s="315" t="s">
        <v>4878</v>
      </c>
      <c r="D41" s="443" t="s">
        <v>4879</v>
      </c>
      <c r="E41" s="444"/>
      <c r="F41" s="315" t="s">
        <v>236</v>
      </c>
      <c r="G41" s="316">
        <v>4</v>
      </c>
      <c r="H41" s="316"/>
      <c r="I41" s="316">
        <f>G41*AO41</f>
        <v>0</v>
      </c>
      <c r="J41" s="316">
        <f>G41*AP41</f>
        <v>0</v>
      </c>
      <c r="K41" s="316">
        <f>G41*H41</f>
        <v>0</v>
      </c>
      <c r="L41" s="316">
        <v>0</v>
      </c>
      <c r="M41" s="316">
        <f>G41*L41</f>
        <v>0</v>
      </c>
      <c r="N41" s="317" t="s">
        <v>4548</v>
      </c>
      <c r="O41" s="291"/>
      <c r="Z41" s="318">
        <f>IF(AQ41="5",BJ41,0)</f>
        <v>0</v>
      </c>
      <c r="AB41" s="318">
        <f>IF(AQ41="1",BH41,0)</f>
        <v>0</v>
      </c>
      <c r="AC41" s="318">
        <f>IF(AQ41="1",BI41,0)</f>
        <v>0</v>
      </c>
      <c r="AD41" s="318">
        <f>IF(AQ41="7",BH41,0)</f>
        <v>0</v>
      </c>
      <c r="AE41" s="318">
        <f>IF(AQ41="7",BI41,0)</f>
        <v>0</v>
      </c>
      <c r="AF41" s="318">
        <f>IF(AQ41="2",BH41,0)</f>
        <v>0</v>
      </c>
      <c r="AG41" s="318">
        <f>IF(AQ41="2",BI41,0)</f>
        <v>0</v>
      </c>
      <c r="AH41" s="318">
        <f>IF(AQ41="0",BJ41,0)</f>
        <v>0</v>
      </c>
      <c r="AI41" s="298"/>
      <c r="AJ41" s="316">
        <f>IF(AN41=0,K41,0)</f>
        <v>0</v>
      </c>
      <c r="AK41" s="316">
        <f>IF(AN41=15,K41,0)</f>
        <v>0</v>
      </c>
      <c r="AL41" s="316">
        <f>IF(AN41=21,K41,0)</f>
        <v>0</v>
      </c>
      <c r="AN41" s="318">
        <v>21</v>
      </c>
      <c r="AO41" s="318">
        <f>H41*0</f>
        <v>0</v>
      </c>
      <c r="AP41" s="318">
        <f>H41*(1-0)</f>
        <v>0</v>
      </c>
      <c r="AQ41" s="319" t="s">
        <v>241</v>
      </c>
      <c r="AV41" s="318">
        <f>AW41+AX41</f>
        <v>0</v>
      </c>
      <c r="AW41" s="318">
        <f>G41*AO41</f>
        <v>0</v>
      </c>
      <c r="AX41" s="318">
        <f>G41*AP41</f>
        <v>0</v>
      </c>
      <c r="AY41" s="320" t="s">
        <v>4841</v>
      </c>
      <c r="AZ41" s="320" t="s">
        <v>4550</v>
      </c>
      <c r="BA41" s="298" t="s">
        <v>4551</v>
      </c>
      <c r="BC41" s="318">
        <f>AW41+AX41</f>
        <v>0</v>
      </c>
      <c r="BD41" s="318">
        <f>H41/(100-BE41)*100</f>
        <v>0</v>
      </c>
      <c r="BE41" s="318">
        <v>0</v>
      </c>
      <c r="BF41" s="318">
        <f>M41</f>
        <v>0</v>
      </c>
      <c r="BH41" s="316">
        <f>G41*AO41</f>
        <v>0</v>
      </c>
      <c r="BI41" s="316">
        <f>G41*AP41</f>
        <v>0</v>
      </c>
      <c r="BJ41" s="316">
        <f>G41*H41</f>
        <v>0</v>
      </c>
      <c r="BK41" s="316" t="s">
        <v>815</v>
      </c>
      <c r="BL41" s="318">
        <v>728</v>
      </c>
    </row>
    <row r="42" spans="1:64">
      <c r="A42" s="291"/>
      <c r="C42" s="321" t="s">
        <v>4552</v>
      </c>
      <c r="D42" s="445" t="s">
        <v>4880</v>
      </c>
      <c r="E42" s="446"/>
      <c r="F42" s="446"/>
      <c r="G42" s="446"/>
      <c r="H42" s="446"/>
      <c r="I42" s="446"/>
      <c r="J42" s="446"/>
      <c r="K42" s="446"/>
      <c r="L42" s="446"/>
      <c r="M42" s="446"/>
      <c r="N42" s="447"/>
      <c r="O42" s="291"/>
    </row>
    <row r="43" spans="1:64">
      <c r="A43" s="388" t="s">
        <v>504</v>
      </c>
      <c r="B43" s="389"/>
      <c r="C43" s="389" t="s">
        <v>4881</v>
      </c>
      <c r="D43" s="480" t="s">
        <v>4882</v>
      </c>
      <c r="E43" s="481"/>
      <c r="F43" s="389" t="s">
        <v>236</v>
      </c>
      <c r="G43" s="390">
        <v>2</v>
      </c>
      <c r="H43" s="390"/>
      <c r="I43" s="390">
        <f>G43*AO43</f>
        <v>0</v>
      </c>
      <c r="J43" s="390">
        <f>G43*AP43</f>
        <v>0</v>
      </c>
      <c r="K43" s="390">
        <f>G43*H43</f>
        <v>0</v>
      </c>
      <c r="L43" s="390">
        <v>0</v>
      </c>
      <c r="M43" s="390">
        <f>G43*L43</f>
        <v>0</v>
      </c>
      <c r="N43" s="391" t="s">
        <v>4548</v>
      </c>
      <c r="O43" s="291"/>
      <c r="Z43" s="318">
        <f>IF(AQ43="5",BJ43,0)</f>
        <v>0</v>
      </c>
      <c r="AB43" s="318">
        <f>IF(AQ43="1",BH43,0)</f>
        <v>0</v>
      </c>
      <c r="AC43" s="318">
        <f>IF(AQ43="1",BI43,0)</f>
        <v>0</v>
      </c>
      <c r="AD43" s="318">
        <f>IF(AQ43="7",BH43,0)</f>
        <v>0</v>
      </c>
      <c r="AE43" s="318">
        <f>IF(AQ43="7",BI43,0)</f>
        <v>0</v>
      </c>
      <c r="AF43" s="318">
        <f>IF(AQ43="2",BH43,0)</f>
        <v>0</v>
      </c>
      <c r="AG43" s="318">
        <f>IF(AQ43="2",BI43,0)</f>
        <v>0</v>
      </c>
      <c r="AH43" s="318">
        <f>IF(AQ43="0",BJ43,0)</f>
        <v>0</v>
      </c>
      <c r="AI43" s="298"/>
      <c r="AJ43" s="390">
        <f>IF(AN43=0,K43,0)</f>
        <v>0</v>
      </c>
      <c r="AK43" s="390">
        <f>IF(AN43=15,K43,0)</f>
        <v>0</v>
      </c>
      <c r="AL43" s="390">
        <f>IF(AN43=21,K43,0)</f>
        <v>0</v>
      </c>
      <c r="AN43" s="318">
        <v>21</v>
      </c>
      <c r="AO43" s="318">
        <f>H43*1</f>
        <v>0</v>
      </c>
      <c r="AP43" s="318">
        <f>H43*(1-1)</f>
        <v>0</v>
      </c>
      <c r="AQ43" s="392" t="s">
        <v>241</v>
      </c>
      <c r="AV43" s="318">
        <f>AW43+AX43</f>
        <v>0</v>
      </c>
      <c r="AW43" s="318">
        <f>G43*AO43</f>
        <v>0</v>
      </c>
      <c r="AX43" s="318">
        <f>G43*AP43</f>
        <v>0</v>
      </c>
      <c r="AY43" s="320" t="s">
        <v>4841</v>
      </c>
      <c r="AZ43" s="320" t="s">
        <v>4550</v>
      </c>
      <c r="BA43" s="298" t="s">
        <v>4551</v>
      </c>
      <c r="BC43" s="318">
        <f>AW43+AX43</f>
        <v>0</v>
      </c>
      <c r="BD43" s="318">
        <f>H43/(100-BE43)*100</f>
        <v>0</v>
      </c>
      <c r="BE43" s="318">
        <v>0</v>
      </c>
      <c r="BF43" s="318">
        <f>M43</f>
        <v>0</v>
      </c>
      <c r="BH43" s="390">
        <f>G43*AO43</f>
        <v>0</v>
      </c>
      <c r="BI43" s="390">
        <f>G43*AP43</f>
        <v>0</v>
      </c>
      <c r="BJ43" s="390">
        <f>G43*H43</f>
        <v>0</v>
      </c>
      <c r="BK43" s="390" t="s">
        <v>484</v>
      </c>
      <c r="BL43" s="318">
        <v>728</v>
      </c>
    </row>
    <row r="44" spans="1:64">
      <c r="A44" s="388" t="s">
        <v>507</v>
      </c>
      <c r="B44" s="389"/>
      <c r="C44" s="389" t="s">
        <v>4883</v>
      </c>
      <c r="D44" s="480" t="s">
        <v>4884</v>
      </c>
      <c r="E44" s="481"/>
      <c r="F44" s="389" t="s">
        <v>236</v>
      </c>
      <c r="G44" s="390">
        <v>2</v>
      </c>
      <c r="H44" s="390"/>
      <c r="I44" s="390">
        <f>G44*AO44</f>
        <v>0</v>
      </c>
      <c r="J44" s="390">
        <f>G44*AP44</f>
        <v>0</v>
      </c>
      <c r="K44" s="390">
        <f>G44*H44</f>
        <v>0</v>
      </c>
      <c r="L44" s="390">
        <v>5.0000000000000001E-3</v>
      </c>
      <c r="M44" s="390">
        <f>G44*L44</f>
        <v>0.01</v>
      </c>
      <c r="N44" s="391" t="s">
        <v>4548</v>
      </c>
      <c r="O44" s="291"/>
      <c r="Z44" s="318">
        <f>IF(AQ44="5",BJ44,0)</f>
        <v>0</v>
      </c>
      <c r="AB44" s="318">
        <f>IF(AQ44="1",BH44,0)</f>
        <v>0</v>
      </c>
      <c r="AC44" s="318">
        <f>IF(AQ44="1",BI44,0)</f>
        <v>0</v>
      </c>
      <c r="AD44" s="318">
        <f>IF(AQ44="7",BH44,0)</f>
        <v>0</v>
      </c>
      <c r="AE44" s="318">
        <f>IF(AQ44="7",BI44,0)</f>
        <v>0</v>
      </c>
      <c r="AF44" s="318">
        <f>IF(AQ44="2",BH44,0)</f>
        <v>0</v>
      </c>
      <c r="AG44" s="318">
        <f>IF(AQ44="2",BI44,0)</f>
        <v>0</v>
      </c>
      <c r="AH44" s="318">
        <f>IF(AQ44="0",BJ44,0)</f>
        <v>0</v>
      </c>
      <c r="AI44" s="298"/>
      <c r="AJ44" s="390">
        <f>IF(AN44=0,K44,0)</f>
        <v>0</v>
      </c>
      <c r="AK44" s="390">
        <f>IF(AN44=15,K44,0)</f>
        <v>0</v>
      </c>
      <c r="AL44" s="390">
        <f>IF(AN44=21,K44,0)</f>
        <v>0</v>
      </c>
      <c r="AN44" s="318">
        <v>21</v>
      </c>
      <c r="AO44" s="318">
        <f>H44*1</f>
        <v>0</v>
      </c>
      <c r="AP44" s="318">
        <f>H44*(1-1)</f>
        <v>0</v>
      </c>
      <c r="AQ44" s="392" t="s">
        <v>241</v>
      </c>
      <c r="AV44" s="318">
        <f>AW44+AX44</f>
        <v>0</v>
      </c>
      <c r="AW44" s="318">
        <f>G44*AO44</f>
        <v>0</v>
      </c>
      <c r="AX44" s="318">
        <f>G44*AP44</f>
        <v>0</v>
      </c>
      <c r="AY44" s="320" t="s">
        <v>4841</v>
      </c>
      <c r="AZ44" s="320" t="s">
        <v>4550</v>
      </c>
      <c r="BA44" s="298" t="s">
        <v>4551</v>
      </c>
      <c r="BC44" s="318">
        <f>AW44+AX44</f>
        <v>0</v>
      </c>
      <c r="BD44" s="318">
        <f>H44/(100-BE44)*100</f>
        <v>0</v>
      </c>
      <c r="BE44" s="318">
        <v>0</v>
      </c>
      <c r="BF44" s="318">
        <f>M44</f>
        <v>0.01</v>
      </c>
      <c r="BH44" s="390">
        <f>G44*AO44</f>
        <v>0</v>
      </c>
      <c r="BI44" s="390">
        <f>G44*AP44</f>
        <v>0</v>
      </c>
      <c r="BJ44" s="390">
        <f>G44*H44</f>
        <v>0</v>
      </c>
      <c r="BK44" s="390" t="s">
        <v>484</v>
      </c>
      <c r="BL44" s="318">
        <v>728</v>
      </c>
    </row>
    <row r="45" spans="1:64">
      <c r="A45" s="314" t="s">
        <v>509</v>
      </c>
      <c r="B45" s="315"/>
      <c r="C45" s="315" t="s">
        <v>4885</v>
      </c>
      <c r="D45" s="443" t="s">
        <v>4886</v>
      </c>
      <c r="E45" s="444"/>
      <c r="F45" s="315" t="s">
        <v>236</v>
      </c>
      <c r="G45" s="316">
        <v>4</v>
      </c>
      <c r="H45" s="316"/>
      <c r="I45" s="316">
        <f>G45*AO45</f>
        <v>0</v>
      </c>
      <c r="J45" s="316">
        <f>G45*AP45</f>
        <v>0</v>
      </c>
      <c r="K45" s="316">
        <f>G45*H45</f>
        <v>0</v>
      </c>
      <c r="L45" s="316">
        <v>0</v>
      </c>
      <c r="M45" s="316">
        <f>G45*L45</f>
        <v>0</v>
      </c>
      <c r="N45" s="317" t="s">
        <v>4548</v>
      </c>
      <c r="O45" s="291"/>
      <c r="Z45" s="318">
        <f>IF(AQ45="5",BJ45,0)</f>
        <v>0</v>
      </c>
      <c r="AB45" s="318">
        <f>IF(AQ45="1",BH45,0)</f>
        <v>0</v>
      </c>
      <c r="AC45" s="318">
        <f>IF(AQ45="1",BI45,0)</f>
        <v>0</v>
      </c>
      <c r="AD45" s="318">
        <f>IF(AQ45="7",BH45,0)</f>
        <v>0</v>
      </c>
      <c r="AE45" s="318">
        <f>IF(AQ45="7",BI45,0)</f>
        <v>0</v>
      </c>
      <c r="AF45" s="318">
        <f>IF(AQ45="2",BH45,0)</f>
        <v>0</v>
      </c>
      <c r="AG45" s="318">
        <f>IF(AQ45="2",BI45,0)</f>
        <v>0</v>
      </c>
      <c r="AH45" s="318">
        <f>IF(AQ45="0",BJ45,0)</f>
        <v>0</v>
      </c>
      <c r="AI45" s="298"/>
      <c r="AJ45" s="316">
        <f>IF(AN45=0,K45,0)</f>
        <v>0</v>
      </c>
      <c r="AK45" s="316">
        <f>IF(AN45=15,K45,0)</f>
        <v>0</v>
      </c>
      <c r="AL45" s="316">
        <f>IF(AN45=21,K45,0)</f>
        <v>0</v>
      </c>
      <c r="AN45" s="318">
        <v>21</v>
      </c>
      <c r="AO45" s="318">
        <f>H45*0</f>
        <v>0</v>
      </c>
      <c r="AP45" s="318">
        <f>H45*(1-0)</f>
        <v>0</v>
      </c>
      <c r="AQ45" s="319" t="s">
        <v>241</v>
      </c>
      <c r="AV45" s="318">
        <f>AW45+AX45</f>
        <v>0</v>
      </c>
      <c r="AW45" s="318">
        <f>G45*AO45</f>
        <v>0</v>
      </c>
      <c r="AX45" s="318">
        <f>G45*AP45</f>
        <v>0</v>
      </c>
      <c r="AY45" s="320" t="s">
        <v>4841</v>
      </c>
      <c r="AZ45" s="320" t="s">
        <v>4550</v>
      </c>
      <c r="BA45" s="298" t="s">
        <v>4551</v>
      </c>
      <c r="BC45" s="318">
        <f>AW45+AX45</f>
        <v>0</v>
      </c>
      <c r="BD45" s="318">
        <f>H45/(100-BE45)*100</f>
        <v>0</v>
      </c>
      <c r="BE45" s="318">
        <v>0</v>
      </c>
      <c r="BF45" s="318">
        <f>M45</f>
        <v>0</v>
      </c>
      <c r="BH45" s="316">
        <f>G45*AO45</f>
        <v>0</v>
      </c>
      <c r="BI45" s="316">
        <f>G45*AP45</f>
        <v>0</v>
      </c>
      <c r="BJ45" s="316">
        <f>G45*H45</f>
        <v>0</v>
      </c>
      <c r="BK45" s="316" t="s">
        <v>815</v>
      </c>
      <c r="BL45" s="318">
        <v>728</v>
      </c>
    </row>
    <row r="46" spans="1:64">
      <c r="A46" s="291"/>
      <c r="C46" s="321" t="s">
        <v>4552</v>
      </c>
      <c r="D46" s="445" t="s">
        <v>4887</v>
      </c>
      <c r="E46" s="446"/>
      <c r="F46" s="446"/>
      <c r="G46" s="446"/>
      <c r="H46" s="446"/>
      <c r="I46" s="446"/>
      <c r="J46" s="446"/>
      <c r="K46" s="446"/>
      <c r="L46" s="446"/>
      <c r="M46" s="446"/>
      <c r="N46" s="447"/>
      <c r="O46" s="291"/>
    </row>
    <row r="47" spans="1:64">
      <c r="A47" s="388" t="s">
        <v>512</v>
      </c>
      <c r="B47" s="389"/>
      <c r="C47" s="389" t="s">
        <v>4888</v>
      </c>
      <c r="D47" s="480" t="s">
        <v>4889</v>
      </c>
      <c r="E47" s="481"/>
      <c r="F47" s="389" t="s">
        <v>236</v>
      </c>
      <c r="G47" s="390">
        <v>2</v>
      </c>
      <c r="H47" s="390"/>
      <c r="I47" s="390">
        <f t="shared" ref="I47:I52" si="24">G47*AO47</f>
        <v>0</v>
      </c>
      <c r="J47" s="390">
        <f t="shared" ref="J47:J52" si="25">G47*AP47</f>
        <v>0</v>
      </c>
      <c r="K47" s="390">
        <f t="shared" ref="K47:K52" si="26">G47*H47</f>
        <v>0</v>
      </c>
      <c r="L47" s="390">
        <v>0</v>
      </c>
      <c r="M47" s="390">
        <f t="shared" ref="M47:M52" si="27">G47*L47</f>
        <v>0</v>
      </c>
      <c r="N47" s="391" t="s">
        <v>4548</v>
      </c>
      <c r="O47" s="291"/>
      <c r="Z47" s="318">
        <f t="shared" ref="Z47:Z52" si="28">IF(AQ47="5",BJ47,0)</f>
        <v>0</v>
      </c>
      <c r="AB47" s="318">
        <f t="shared" ref="AB47:AB52" si="29">IF(AQ47="1",BH47,0)</f>
        <v>0</v>
      </c>
      <c r="AC47" s="318">
        <f t="shared" ref="AC47:AC52" si="30">IF(AQ47="1",BI47,0)</f>
        <v>0</v>
      </c>
      <c r="AD47" s="318">
        <f t="shared" ref="AD47:AD52" si="31">IF(AQ47="7",BH47,0)</f>
        <v>0</v>
      </c>
      <c r="AE47" s="318">
        <f t="shared" ref="AE47:AE52" si="32">IF(AQ47="7",BI47,0)</f>
        <v>0</v>
      </c>
      <c r="AF47" s="318">
        <f t="shared" ref="AF47:AF52" si="33">IF(AQ47="2",BH47,0)</f>
        <v>0</v>
      </c>
      <c r="AG47" s="318">
        <f t="shared" ref="AG47:AG52" si="34">IF(AQ47="2",BI47,0)</f>
        <v>0</v>
      </c>
      <c r="AH47" s="318">
        <f t="shared" ref="AH47:AH52" si="35">IF(AQ47="0",BJ47,0)</f>
        <v>0</v>
      </c>
      <c r="AI47" s="298"/>
      <c r="AJ47" s="390">
        <f t="shared" ref="AJ47:AJ52" si="36">IF(AN47=0,K47,0)</f>
        <v>0</v>
      </c>
      <c r="AK47" s="390">
        <f t="shared" ref="AK47:AK52" si="37">IF(AN47=15,K47,0)</f>
        <v>0</v>
      </c>
      <c r="AL47" s="390">
        <f t="shared" ref="AL47:AL52" si="38">IF(AN47=21,K47,0)</f>
        <v>0</v>
      </c>
      <c r="AN47" s="318">
        <v>21</v>
      </c>
      <c r="AO47" s="318">
        <f>H47*1</f>
        <v>0</v>
      </c>
      <c r="AP47" s="318">
        <f>H47*(1-1)</f>
        <v>0</v>
      </c>
      <c r="AQ47" s="392" t="s">
        <v>241</v>
      </c>
      <c r="AV47" s="318">
        <f t="shared" ref="AV47:AV52" si="39">AW47+AX47</f>
        <v>0</v>
      </c>
      <c r="AW47" s="318">
        <f t="shared" ref="AW47:AW52" si="40">G47*AO47</f>
        <v>0</v>
      </c>
      <c r="AX47" s="318">
        <f t="shared" ref="AX47:AX52" si="41">G47*AP47</f>
        <v>0</v>
      </c>
      <c r="AY47" s="320" t="s">
        <v>4841</v>
      </c>
      <c r="AZ47" s="320" t="s">
        <v>4550</v>
      </c>
      <c r="BA47" s="298" t="s">
        <v>4551</v>
      </c>
      <c r="BC47" s="318">
        <f t="shared" ref="BC47:BC52" si="42">AW47+AX47</f>
        <v>0</v>
      </c>
      <c r="BD47" s="318">
        <f t="shared" ref="BD47:BD52" si="43">H47/(100-BE47)*100</f>
        <v>0</v>
      </c>
      <c r="BE47" s="318">
        <v>0</v>
      </c>
      <c r="BF47" s="318">
        <f t="shared" ref="BF47:BF52" si="44">M47</f>
        <v>0</v>
      </c>
      <c r="BH47" s="390">
        <f t="shared" ref="BH47:BH52" si="45">G47*AO47</f>
        <v>0</v>
      </c>
      <c r="BI47" s="390">
        <f t="shared" ref="BI47:BI52" si="46">G47*AP47</f>
        <v>0</v>
      </c>
      <c r="BJ47" s="390">
        <f t="shared" ref="BJ47:BJ52" si="47">G47*H47</f>
        <v>0</v>
      </c>
      <c r="BK47" s="390" t="s">
        <v>484</v>
      </c>
      <c r="BL47" s="318">
        <v>728</v>
      </c>
    </row>
    <row r="48" spans="1:64">
      <c r="A48" s="388" t="s">
        <v>520</v>
      </c>
      <c r="B48" s="389"/>
      <c r="C48" s="389" t="s">
        <v>4890</v>
      </c>
      <c r="D48" s="480" t="s">
        <v>4891</v>
      </c>
      <c r="E48" s="481"/>
      <c r="F48" s="389" t="s">
        <v>236</v>
      </c>
      <c r="G48" s="390">
        <v>2</v>
      </c>
      <c r="H48" s="390"/>
      <c r="I48" s="390">
        <f t="shared" si="24"/>
        <v>0</v>
      </c>
      <c r="J48" s="390">
        <f t="shared" si="25"/>
        <v>0</v>
      </c>
      <c r="K48" s="390">
        <f t="shared" si="26"/>
        <v>0</v>
      </c>
      <c r="L48" s="390">
        <v>0</v>
      </c>
      <c r="M48" s="390">
        <f t="shared" si="27"/>
        <v>0</v>
      </c>
      <c r="N48" s="391" t="s">
        <v>4548</v>
      </c>
      <c r="O48" s="291"/>
      <c r="Z48" s="318">
        <f t="shared" si="28"/>
        <v>0</v>
      </c>
      <c r="AB48" s="318">
        <f t="shared" si="29"/>
        <v>0</v>
      </c>
      <c r="AC48" s="318">
        <f t="shared" si="30"/>
        <v>0</v>
      </c>
      <c r="AD48" s="318">
        <f t="shared" si="31"/>
        <v>0</v>
      </c>
      <c r="AE48" s="318">
        <f t="shared" si="32"/>
        <v>0</v>
      </c>
      <c r="AF48" s="318">
        <f t="shared" si="33"/>
        <v>0</v>
      </c>
      <c r="AG48" s="318">
        <f t="shared" si="34"/>
        <v>0</v>
      </c>
      <c r="AH48" s="318">
        <f t="shared" si="35"/>
        <v>0</v>
      </c>
      <c r="AI48" s="298"/>
      <c r="AJ48" s="390">
        <f t="shared" si="36"/>
        <v>0</v>
      </c>
      <c r="AK48" s="390">
        <f t="shared" si="37"/>
        <v>0</v>
      </c>
      <c r="AL48" s="390">
        <f t="shared" si="38"/>
        <v>0</v>
      </c>
      <c r="AN48" s="318">
        <v>21</v>
      </c>
      <c r="AO48" s="318">
        <f>H48*1</f>
        <v>0</v>
      </c>
      <c r="AP48" s="318">
        <f>H48*(1-1)</f>
        <v>0</v>
      </c>
      <c r="AQ48" s="392" t="s">
        <v>241</v>
      </c>
      <c r="AV48" s="318">
        <f t="shared" si="39"/>
        <v>0</v>
      </c>
      <c r="AW48" s="318">
        <f t="shared" si="40"/>
        <v>0</v>
      </c>
      <c r="AX48" s="318">
        <f t="shared" si="41"/>
        <v>0</v>
      </c>
      <c r="AY48" s="320" t="s">
        <v>4841</v>
      </c>
      <c r="AZ48" s="320" t="s">
        <v>4550</v>
      </c>
      <c r="BA48" s="298" t="s">
        <v>4551</v>
      </c>
      <c r="BC48" s="318">
        <f t="shared" si="42"/>
        <v>0</v>
      </c>
      <c r="BD48" s="318">
        <f t="shared" si="43"/>
        <v>0</v>
      </c>
      <c r="BE48" s="318">
        <v>0</v>
      </c>
      <c r="BF48" s="318">
        <f t="shared" si="44"/>
        <v>0</v>
      </c>
      <c r="BH48" s="390">
        <f t="shared" si="45"/>
        <v>0</v>
      </c>
      <c r="BI48" s="390">
        <f t="shared" si="46"/>
        <v>0</v>
      </c>
      <c r="BJ48" s="390">
        <f t="shared" si="47"/>
        <v>0</v>
      </c>
      <c r="BK48" s="390" t="s">
        <v>484</v>
      </c>
      <c r="BL48" s="318">
        <v>728</v>
      </c>
    </row>
    <row r="49" spans="1:64">
      <c r="A49" s="314" t="s">
        <v>527</v>
      </c>
      <c r="B49" s="315"/>
      <c r="C49" s="315" t="s">
        <v>4892</v>
      </c>
      <c r="D49" s="443" t="s">
        <v>4893</v>
      </c>
      <c r="E49" s="444"/>
      <c r="F49" s="315" t="s">
        <v>236</v>
      </c>
      <c r="G49" s="316">
        <v>2</v>
      </c>
      <c r="H49" s="316"/>
      <c r="I49" s="316">
        <f t="shared" si="24"/>
        <v>0</v>
      </c>
      <c r="J49" s="316">
        <f t="shared" si="25"/>
        <v>0</v>
      </c>
      <c r="K49" s="316">
        <f t="shared" si="26"/>
        <v>0</v>
      </c>
      <c r="L49" s="316">
        <v>0</v>
      </c>
      <c r="M49" s="316">
        <f t="shared" si="27"/>
        <v>0</v>
      </c>
      <c r="N49" s="317" t="s">
        <v>4548</v>
      </c>
      <c r="O49" s="291"/>
      <c r="Z49" s="318">
        <f t="shared" si="28"/>
        <v>0</v>
      </c>
      <c r="AB49" s="318">
        <f t="shared" si="29"/>
        <v>0</v>
      </c>
      <c r="AC49" s="318">
        <f t="shared" si="30"/>
        <v>0</v>
      </c>
      <c r="AD49" s="318">
        <f t="shared" si="31"/>
        <v>0</v>
      </c>
      <c r="AE49" s="318">
        <f t="shared" si="32"/>
        <v>0</v>
      </c>
      <c r="AF49" s="318">
        <f t="shared" si="33"/>
        <v>0</v>
      </c>
      <c r="AG49" s="318">
        <f t="shared" si="34"/>
        <v>0</v>
      </c>
      <c r="AH49" s="318">
        <f t="shared" si="35"/>
        <v>0</v>
      </c>
      <c r="AI49" s="298"/>
      <c r="AJ49" s="316">
        <f t="shared" si="36"/>
        <v>0</v>
      </c>
      <c r="AK49" s="316">
        <f t="shared" si="37"/>
        <v>0</v>
      </c>
      <c r="AL49" s="316">
        <f t="shared" si="38"/>
        <v>0</v>
      </c>
      <c r="AN49" s="318">
        <v>21</v>
      </c>
      <c r="AO49" s="318">
        <f>H49*0</f>
        <v>0</v>
      </c>
      <c r="AP49" s="318">
        <f>H49*(1-0)</f>
        <v>0</v>
      </c>
      <c r="AQ49" s="319" t="s">
        <v>241</v>
      </c>
      <c r="AV49" s="318">
        <f t="shared" si="39"/>
        <v>0</v>
      </c>
      <c r="AW49" s="318">
        <f t="shared" si="40"/>
        <v>0</v>
      </c>
      <c r="AX49" s="318">
        <f t="shared" si="41"/>
        <v>0</v>
      </c>
      <c r="AY49" s="320" t="s">
        <v>4841</v>
      </c>
      <c r="AZ49" s="320" t="s">
        <v>4550</v>
      </c>
      <c r="BA49" s="298" t="s">
        <v>4551</v>
      </c>
      <c r="BC49" s="318">
        <f t="shared" si="42"/>
        <v>0</v>
      </c>
      <c r="BD49" s="318">
        <f t="shared" si="43"/>
        <v>0</v>
      </c>
      <c r="BE49" s="318">
        <v>0</v>
      </c>
      <c r="BF49" s="318">
        <f t="shared" si="44"/>
        <v>0</v>
      </c>
      <c r="BH49" s="316">
        <f t="shared" si="45"/>
        <v>0</v>
      </c>
      <c r="BI49" s="316">
        <f t="shared" si="46"/>
        <v>0</v>
      </c>
      <c r="BJ49" s="316">
        <f t="shared" si="47"/>
        <v>0</v>
      </c>
      <c r="BK49" s="316" t="s">
        <v>815</v>
      </c>
      <c r="BL49" s="318">
        <v>728</v>
      </c>
    </row>
    <row r="50" spans="1:64">
      <c r="A50" s="388" t="s">
        <v>537</v>
      </c>
      <c r="B50" s="389"/>
      <c r="C50" s="389" t="s">
        <v>4894</v>
      </c>
      <c r="D50" s="480" t="s">
        <v>4895</v>
      </c>
      <c r="E50" s="481"/>
      <c r="F50" s="389" t="s">
        <v>236</v>
      </c>
      <c r="G50" s="390">
        <v>2</v>
      </c>
      <c r="H50" s="390"/>
      <c r="I50" s="390">
        <f t="shared" si="24"/>
        <v>0</v>
      </c>
      <c r="J50" s="390">
        <f t="shared" si="25"/>
        <v>0</v>
      </c>
      <c r="K50" s="390">
        <f t="shared" si="26"/>
        <v>0</v>
      </c>
      <c r="L50" s="390">
        <v>2E-3</v>
      </c>
      <c r="M50" s="390">
        <f t="shared" si="27"/>
        <v>4.0000000000000001E-3</v>
      </c>
      <c r="N50" s="391" t="s">
        <v>4548</v>
      </c>
      <c r="O50" s="291"/>
      <c r="Z50" s="318">
        <f t="shared" si="28"/>
        <v>0</v>
      </c>
      <c r="AB50" s="318">
        <f t="shared" si="29"/>
        <v>0</v>
      </c>
      <c r="AC50" s="318">
        <f t="shared" si="30"/>
        <v>0</v>
      </c>
      <c r="AD50" s="318">
        <f t="shared" si="31"/>
        <v>0</v>
      </c>
      <c r="AE50" s="318">
        <f t="shared" si="32"/>
        <v>0</v>
      </c>
      <c r="AF50" s="318">
        <f t="shared" si="33"/>
        <v>0</v>
      </c>
      <c r="AG50" s="318">
        <f t="shared" si="34"/>
        <v>0</v>
      </c>
      <c r="AH50" s="318">
        <f t="shared" si="35"/>
        <v>0</v>
      </c>
      <c r="AI50" s="298"/>
      <c r="AJ50" s="390">
        <f t="shared" si="36"/>
        <v>0</v>
      </c>
      <c r="AK50" s="390">
        <f t="shared" si="37"/>
        <v>0</v>
      </c>
      <c r="AL50" s="390">
        <f t="shared" si="38"/>
        <v>0</v>
      </c>
      <c r="AN50" s="318">
        <v>21</v>
      </c>
      <c r="AO50" s="318">
        <f>H50*1</f>
        <v>0</v>
      </c>
      <c r="AP50" s="318">
        <f>H50*(1-1)</f>
        <v>0</v>
      </c>
      <c r="AQ50" s="392" t="s">
        <v>241</v>
      </c>
      <c r="AV50" s="318">
        <f t="shared" si="39"/>
        <v>0</v>
      </c>
      <c r="AW50" s="318">
        <f t="shared" si="40"/>
        <v>0</v>
      </c>
      <c r="AX50" s="318">
        <f t="shared" si="41"/>
        <v>0</v>
      </c>
      <c r="AY50" s="320" t="s">
        <v>4841</v>
      </c>
      <c r="AZ50" s="320" t="s">
        <v>4550</v>
      </c>
      <c r="BA50" s="298" t="s">
        <v>4551</v>
      </c>
      <c r="BC50" s="318">
        <f t="shared" si="42"/>
        <v>0</v>
      </c>
      <c r="BD50" s="318">
        <f t="shared" si="43"/>
        <v>0</v>
      </c>
      <c r="BE50" s="318">
        <v>0</v>
      </c>
      <c r="BF50" s="318">
        <f t="shared" si="44"/>
        <v>4.0000000000000001E-3</v>
      </c>
      <c r="BH50" s="390">
        <f t="shared" si="45"/>
        <v>0</v>
      </c>
      <c r="BI50" s="390">
        <f t="shared" si="46"/>
        <v>0</v>
      </c>
      <c r="BJ50" s="390">
        <f t="shared" si="47"/>
        <v>0</v>
      </c>
      <c r="BK50" s="390" t="s">
        <v>484</v>
      </c>
      <c r="BL50" s="318">
        <v>728</v>
      </c>
    </row>
    <row r="51" spans="1:64">
      <c r="A51" s="388" t="s">
        <v>757</v>
      </c>
      <c r="B51" s="389"/>
      <c r="C51" s="389" t="s">
        <v>4896</v>
      </c>
      <c r="D51" s="480" t="s">
        <v>4897</v>
      </c>
      <c r="E51" s="481"/>
      <c r="F51" s="389" t="s">
        <v>236</v>
      </c>
      <c r="G51" s="390">
        <v>2</v>
      </c>
      <c r="H51" s="390"/>
      <c r="I51" s="390">
        <f t="shared" si="24"/>
        <v>0</v>
      </c>
      <c r="J51" s="390">
        <f t="shared" si="25"/>
        <v>0</v>
      </c>
      <c r="K51" s="390">
        <f t="shared" si="26"/>
        <v>0</v>
      </c>
      <c r="L51" s="390">
        <v>2E-3</v>
      </c>
      <c r="M51" s="390">
        <f t="shared" si="27"/>
        <v>4.0000000000000001E-3</v>
      </c>
      <c r="N51" s="391" t="s">
        <v>4548</v>
      </c>
      <c r="O51" s="291"/>
      <c r="Z51" s="318">
        <f t="shared" si="28"/>
        <v>0</v>
      </c>
      <c r="AB51" s="318">
        <f t="shared" si="29"/>
        <v>0</v>
      </c>
      <c r="AC51" s="318">
        <f t="shared" si="30"/>
        <v>0</v>
      </c>
      <c r="AD51" s="318">
        <f t="shared" si="31"/>
        <v>0</v>
      </c>
      <c r="AE51" s="318">
        <f t="shared" si="32"/>
        <v>0</v>
      </c>
      <c r="AF51" s="318">
        <f t="shared" si="33"/>
        <v>0</v>
      </c>
      <c r="AG51" s="318">
        <f t="shared" si="34"/>
        <v>0</v>
      </c>
      <c r="AH51" s="318">
        <f t="shared" si="35"/>
        <v>0</v>
      </c>
      <c r="AI51" s="298"/>
      <c r="AJ51" s="390">
        <f t="shared" si="36"/>
        <v>0</v>
      </c>
      <c r="AK51" s="390">
        <f t="shared" si="37"/>
        <v>0</v>
      </c>
      <c r="AL51" s="390">
        <f t="shared" si="38"/>
        <v>0</v>
      </c>
      <c r="AN51" s="318">
        <v>21</v>
      </c>
      <c r="AO51" s="318">
        <f>H51*1</f>
        <v>0</v>
      </c>
      <c r="AP51" s="318">
        <f>H51*(1-1)</f>
        <v>0</v>
      </c>
      <c r="AQ51" s="392" t="s">
        <v>241</v>
      </c>
      <c r="AV51" s="318">
        <f t="shared" si="39"/>
        <v>0</v>
      </c>
      <c r="AW51" s="318">
        <f t="shared" si="40"/>
        <v>0</v>
      </c>
      <c r="AX51" s="318">
        <f t="shared" si="41"/>
        <v>0</v>
      </c>
      <c r="AY51" s="320" t="s">
        <v>4841</v>
      </c>
      <c r="AZ51" s="320" t="s">
        <v>4550</v>
      </c>
      <c r="BA51" s="298" t="s">
        <v>4551</v>
      </c>
      <c r="BC51" s="318">
        <f t="shared" si="42"/>
        <v>0</v>
      </c>
      <c r="BD51" s="318">
        <f t="shared" si="43"/>
        <v>0</v>
      </c>
      <c r="BE51" s="318">
        <v>0</v>
      </c>
      <c r="BF51" s="318">
        <f t="shared" si="44"/>
        <v>4.0000000000000001E-3</v>
      </c>
      <c r="BH51" s="390">
        <f t="shared" si="45"/>
        <v>0</v>
      </c>
      <c r="BI51" s="390">
        <f t="shared" si="46"/>
        <v>0</v>
      </c>
      <c r="BJ51" s="390">
        <f t="shared" si="47"/>
        <v>0</v>
      </c>
      <c r="BK51" s="390" t="s">
        <v>484</v>
      </c>
      <c r="BL51" s="318">
        <v>728</v>
      </c>
    </row>
    <row r="52" spans="1:64">
      <c r="A52" s="314" t="s">
        <v>764</v>
      </c>
      <c r="B52" s="315"/>
      <c r="C52" s="315" t="s">
        <v>4898</v>
      </c>
      <c r="D52" s="443" t="s">
        <v>4899</v>
      </c>
      <c r="E52" s="444"/>
      <c r="F52" s="315" t="s">
        <v>236</v>
      </c>
      <c r="G52" s="316">
        <v>17</v>
      </c>
      <c r="H52" s="316"/>
      <c r="I52" s="316">
        <f t="shared" si="24"/>
        <v>0</v>
      </c>
      <c r="J52" s="316">
        <f t="shared" si="25"/>
        <v>0</v>
      </c>
      <c r="K52" s="316">
        <f t="shared" si="26"/>
        <v>0</v>
      </c>
      <c r="L52" s="316">
        <v>0</v>
      </c>
      <c r="M52" s="316">
        <f t="shared" si="27"/>
        <v>0</v>
      </c>
      <c r="N52" s="317" t="s">
        <v>4548</v>
      </c>
      <c r="O52" s="291"/>
      <c r="Z52" s="318">
        <f t="shared" si="28"/>
        <v>0</v>
      </c>
      <c r="AB52" s="318">
        <f t="shared" si="29"/>
        <v>0</v>
      </c>
      <c r="AC52" s="318">
        <f t="shared" si="30"/>
        <v>0</v>
      </c>
      <c r="AD52" s="318">
        <f t="shared" si="31"/>
        <v>0</v>
      </c>
      <c r="AE52" s="318">
        <f t="shared" si="32"/>
        <v>0</v>
      </c>
      <c r="AF52" s="318">
        <f t="shared" si="33"/>
        <v>0</v>
      </c>
      <c r="AG52" s="318">
        <f t="shared" si="34"/>
        <v>0</v>
      </c>
      <c r="AH52" s="318">
        <f t="shared" si="35"/>
        <v>0</v>
      </c>
      <c r="AI52" s="298"/>
      <c r="AJ52" s="316">
        <f t="shared" si="36"/>
        <v>0</v>
      </c>
      <c r="AK52" s="316">
        <f t="shared" si="37"/>
        <v>0</v>
      </c>
      <c r="AL52" s="316">
        <f t="shared" si="38"/>
        <v>0</v>
      </c>
      <c r="AN52" s="318">
        <v>21</v>
      </c>
      <c r="AO52" s="318">
        <f>H52*0</f>
        <v>0</v>
      </c>
      <c r="AP52" s="318">
        <f>H52*(1-0)</f>
        <v>0</v>
      </c>
      <c r="AQ52" s="319" t="s">
        <v>241</v>
      </c>
      <c r="AV52" s="318">
        <f t="shared" si="39"/>
        <v>0</v>
      </c>
      <c r="AW52" s="318">
        <f t="shared" si="40"/>
        <v>0</v>
      </c>
      <c r="AX52" s="318">
        <f t="shared" si="41"/>
        <v>0</v>
      </c>
      <c r="AY52" s="320" t="s">
        <v>4841</v>
      </c>
      <c r="AZ52" s="320" t="s">
        <v>4550</v>
      </c>
      <c r="BA52" s="298" t="s">
        <v>4551</v>
      </c>
      <c r="BC52" s="318">
        <f t="shared" si="42"/>
        <v>0</v>
      </c>
      <c r="BD52" s="318">
        <f t="shared" si="43"/>
        <v>0</v>
      </c>
      <c r="BE52" s="318">
        <v>0</v>
      </c>
      <c r="BF52" s="318">
        <f t="shared" si="44"/>
        <v>0</v>
      </c>
      <c r="BH52" s="316">
        <f t="shared" si="45"/>
        <v>0</v>
      </c>
      <c r="BI52" s="316">
        <f t="shared" si="46"/>
        <v>0</v>
      </c>
      <c r="BJ52" s="316">
        <f t="shared" si="47"/>
        <v>0</v>
      </c>
      <c r="BK52" s="316" t="s">
        <v>815</v>
      </c>
      <c r="BL52" s="318">
        <v>728</v>
      </c>
    </row>
    <row r="53" spans="1:64">
      <c r="A53" s="291"/>
      <c r="C53" s="321" t="s">
        <v>4552</v>
      </c>
      <c r="D53" s="445" t="s">
        <v>4900</v>
      </c>
      <c r="E53" s="446"/>
      <c r="F53" s="446"/>
      <c r="G53" s="446"/>
      <c r="H53" s="446"/>
      <c r="I53" s="446"/>
      <c r="J53" s="446"/>
      <c r="K53" s="446"/>
      <c r="L53" s="446"/>
      <c r="M53" s="446"/>
      <c r="N53" s="447"/>
      <c r="O53" s="291"/>
    </row>
    <row r="54" spans="1:64">
      <c r="A54" s="388" t="s">
        <v>772</v>
      </c>
      <c r="B54" s="389"/>
      <c r="C54" s="389" t="s">
        <v>4901</v>
      </c>
      <c r="D54" s="480" t="s">
        <v>4902</v>
      </c>
      <c r="E54" s="481"/>
      <c r="F54" s="389" t="s">
        <v>236</v>
      </c>
      <c r="G54" s="390">
        <v>17</v>
      </c>
      <c r="H54" s="390"/>
      <c r="I54" s="390">
        <f>G54*AO54</f>
        <v>0</v>
      </c>
      <c r="J54" s="390">
        <f>G54*AP54</f>
        <v>0</v>
      </c>
      <c r="K54" s="390">
        <f>G54*H54</f>
        <v>0</v>
      </c>
      <c r="L54" s="390">
        <v>1E-3</v>
      </c>
      <c r="M54" s="390">
        <f>G54*L54</f>
        <v>1.7000000000000001E-2</v>
      </c>
      <c r="N54" s="391" t="s">
        <v>4548</v>
      </c>
      <c r="O54" s="291"/>
      <c r="Z54" s="318">
        <f>IF(AQ54="5",BJ54,0)</f>
        <v>0</v>
      </c>
      <c r="AB54" s="318">
        <f>IF(AQ54="1",BH54,0)</f>
        <v>0</v>
      </c>
      <c r="AC54" s="318">
        <f>IF(AQ54="1",BI54,0)</f>
        <v>0</v>
      </c>
      <c r="AD54" s="318">
        <f>IF(AQ54="7",BH54,0)</f>
        <v>0</v>
      </c>
      <c r="AE54" s="318">
        <f>IF(AQ54="7",BI54,0)</f>
        <v>0</v>
      </c>
      <c r="AF54" s="318">
        <f>IF(AQ54="2",BH54,0)</f>
        <v>0</v>
      </c>
      <c r="AG54" s="318">
        <f>IF(AQ54="2",BI54,0)</f>
        <v>0</v>
      </c>
      <c r="AH54" s="318">
        <f>IF(AQ54="0",BJ54,0)</f>
        <v>0</v>
      </c>
      <c r="AI54" s="298"/>
      <c r="AJ54" s="390">
        <f>IF(AN54=0,K54,0)</f>
        <v>0</v>
      </c>
      <c r="AK54" s="390">
        <f>IF(AN54=15,K54,0)</f>
        <v>0</v>
      </c>
      <c r="AL54" s="390">
        <f>IF(AN54=21,K54,0)</f>
        <v>0</v>
      </c>
      <c r="AN54" s="318">
        <v>21</v>
      </c>
      <c r="AO54" s="318">
        <f>H54*1</f>
        <v>0</v>
      </c>
      <c r="AP54" s="318">
        <f>H54*(1-1)</f>
        <v>0</v>
      </c>
      <c r="AQ54" s="392" t="s">
        <v>241</v>
      </c>
      <c r="AV54" s="318">
        <f>AW54+AX54</f>
        <v>0</v>
      </c>
      <c r="AW54" s="318">
        <f>G54*AO54</f>
        <v>0</v>
      </c>
      <c r="AX54" s="318">
        <f>G54*AP54</f>
        <v>0</v>
      </c>
      <c r="AY54" s="320" t="s">
        <v>4841</v>
      </c>
      <c r="AZ54" s="320" t="s">
        <v>4550</v>
      </c>
      <c r="BA54" s="298" t="s">
        <v>4551</v>
      </c>
      <c r="BC54" s="318">
        <f>AW54+AX54</f>
        <v>0</v>
      </c>
      <c r="BD54" s="318">
        <f>H54/(100-BE54)*100</f>
        <v>0</v>
      </c>
      <c r="BE54" s="318">
        <v>0</v>
      </c>
      <c r="BF54" s="318">
        <f>M54</f>
        <v>1.7000000000000001E-2</v>
      </c>
      <c r="BH54" s="390">
        <f>G54*AO54</f>
        <v>0</v>
      </c>
      <c r="BI54" s="390">
        <f>G54*AP54</f>
        <v>0</v>
      </c>
      <c r="BJ54" s="390">
        <f>G54*H54</f>
        <v>0</v>
      </c>
      <c r="BK54" s="390" t="s">
        <v>484</v>
      </c>
      <c r="BL54" s="318">
        <v>728</v>
      </c>
    </row>
    <row r="55" spans="1:64">
      <c r="A55" s="314" t="s">
        <v>781</v>
      </c>
      <c r="B55" s="315"/>
      <c r="C55" s="315" t="s">
        <v>4903</v>
      </c>
      <c r="D55" s="443" t="s">
        <v>4904</v>
      </c>
      <c r="E55" s="444"/>
      <c r="F55" s="315" t="s">
        <v>236</v>
      </c>
      <c r="G55" s="316">
        <v>40</v>
      </c>
      <c r="H55" s="316"/>
      <c r="I55" s="316">
        <f>G55*AO55</f>
        <v>0</v>
      </c>
      <c r="J55" s="316">
        <f>G55*AP55</f>
        <v>0</v>
      </c>
      <c r="K55" s="316">
        <f>G55*H55</f>
        <v>0</v>
      </c>
      <c r="L55" s="316">
        <v>0</v>
      </c>
      <c r="M55" s="316">
        <f>G55*L55</f>
        <v>0</v>
      </c>
      <c r="N55" s="317" t="s">
        <v>4548</v>
      </c>
      <c r="O55" s="291"/>
      <c r="Z55" s="318">
        <f>IF(AQ55="5",BJ55,0)</f>
        <v>0</v>
      </c>
      <c r="AB55" s="318">
        <f>IF(AQ55="1",BH55,0)</f>
        <v>0</v>
      </c>
      <c r="AC55" s="318">
        <f>IF(AQ55="1",BI55,0)</f>
        <v>0</v>
      </c>
      <c r="AD55" s="318">
        <f>IF(AQ55="7",BH55,0)</f>
        <v>0</v>
      </c>
      <c r="AE55" s="318">
        <f>IF(AQ55="7",BI55,0)</f>
        <v>0</v>
      </c>
      <c r="AF55" s="318">
        <f>IF(AQ55="2",BH55,0)</f>
        <v>0</v>
      </c>
      <c r="AG55" s="318">
        <f>IF(AQ55="2",BI55,0)</f>
        <v>0</v>
      </c>
      <c r="AH55" s="318">
        <f>IF(AQ55="0",BJ55,0)</f>
        <v>0</v>
      </c>
      <c r="AI55" s="298"/>
      <c r="AJ55" s="316">
        <f>IF(AN55=0,K55,0)</f>
        <v>0</v>
      </c>
      <c r="AK55" s="316">
        <f>IF(AN55=15,K55,0)</f>
        <v>0</v>
      </c>
      <c r="AL55" s="316">
        <f>IF(AN55=21,K55,0)</f>
        <v>0</v>
      </c>
      <c r="AN55" s="318">
        <v>21</v>
      </c>
      <c r="AO55" s="318">
        <f>H55*0</f>
        <v>0</v>
      </c>
      <c r="AP55" s="318">
        <f>H55*(1-0)</f>
        <v>0</v>
      </c>
      <c r="AQ55" s="319" t="s">
        <v>241</v>
      </c>
      <c r="AV55" s="318">
        <f>AW55+AX55</f>
        <v>0</v>
      </c>
      <c r="AW55" s="318">
        <f>G55*AO55</f>
        <v>0</v>
      </c>
      <c r="AX55" s="318">
        <f>G55*AP55</f>
        <v>0</v>
      </c>
      <c r="AY55" s="320" t="s">
        <v>4841</v>
      </c>
      <c r="AZ55" s="320" t="s">
        <v>4550</v>
      </c>
      <c r="BA55" s="298" t="s">
        <v>4551</v>
      </c>
      <c r="BC55" s="318">
        <f>AW55+AX55</f>
        <v>0</v>
      </c>
      <c r="BD55" s="318">
        <f>H55/(100-BE55)*100</f>
        <v>0</v>
      </c>
      <c r="BE55" s="318">
        <v>0</v>
      </c>
      <c r="BF55" s="318">
        <f>M55</f>
        <v>0</v>
      </c>
      <c r="BH55" s="316">
        <f>G55*AO55</f>
        <v>0</v>
      </c>
      <c r="BI55" s="316">
        <f>G55*AP55</f>
        <v>0</v>
      </c>
      <c r="BJ55" s="316">
        <f>G55*H55</f>
        <v>0</v>
      </c>
      <c r="BK55" s="316" t="s">
        <v>815</v>
      </c>
      <c r="BL55" s="318">
        <v>728</v>
      </c>
    </row>
    <row r="56" spans="1:64">
      <c r="A56" s="291"/>
      <c r="C56" s="321" t="s">
        <v>4552</v>
      </c>
      <c r="D56" s="445" t="s">
        <v>4905</v>
      </c>
      <c r="E56" s="446"/>
      <c r="F56" s="446"/>
      <c r="G56" s="446"/>
      <c r="H56" s="446"/>
      <c r="I56" s="446"/>
      <c r="J56" s="446"/>
      <c r="K56" s="446"/>
      <c r="L56" s="446"/>
      <c r="M56" s="446"/>
      <c r="N56" s="447"/>
      <c r="O56" s="291"/>
    </row>
    <row r="57" spans="1:64">
      <c r="A57" s="388" t="s">
        <v>787</v>
      </c>
      <c r="B57" s="389"/>
      <c r="C57" s="389" t="s">
        <v>4906</v>
      </c>
      <c r="D57" s="480" t="s">
        <v>4907</v>
      </c>
      <c r="E57" s="481"/>
      <c r="F57" s="389" t="s">
        <v>236</v>
      </c>
      <c r="G57" s="390">
        <v>40</v>
      </c>
      <c r="H57" s="390"/>
      <c r="I57" s="390">
        <f t="shared" ref="I57:I65" si="48">G57*AO57</f>
        <v>0</v>
      </c>
      <c r="J57" s="390">
        <f t="shared" ref="J57:J65" si="49">G57*AP57</f>
        <v>0</v>
      </c>
      <c r="K57" s="390">
        <f t="shared" ref="K57:K65" si="50">G57*H57</f>
        <v>0</v>
      </c>
      <c r="L57" s="390">
        <v>0</v>
      </c>
      <c r="M57" s="390">
        <f t="shared" ref="M57:M65" si="51">G57*L57</f>
        <v>0</v>
      </c>
      <c r="N57" s="391" t="s">
        <v>4548</v>
      </c>
      <c r="O57" s="291"/>
      <c r="Z57" s="318">
        <f t="shared" ref="Z57:Z65" si="52">IF(AQ57="5",BJ57,0)</f>
        <v>0</v>
      </c>
      <c r="AB57" s="318">
        <f t="shared" ref="AB57:AB65" si="53">IF(AQ57="1",BH57,0)</f>
        <v>0</v>
      </c>
      <c r="AC57" s="318">
        <f t="shared" ref="AC57:AC65" si="54">IF(AQ57="1",BI57,0)</f>
        <v>0</v>
      </c>
      <c r="AD57" s="318">
        <f t="shared" ref="AD57:AD65" si="55">IF(AQ57="7",BH57,0)</f>
        <v>0</v>
      </c>
      <c r="AE57" s="318">
        <f t="shared" ref="AE57:AE65" si="56">IF(AQ57="7",BI57,0)</f>
        <v>0</v>
      </c>
      <c r="AF57" s="318">
        <f t="shared" ref="AF57:AF65" si="57">IF(AQ57="2",BH57,0)</f>
        <v>0</v>
      </c>
      <c r="AG57" s="318">
        <f t="shared" ref="AG57:AG65" si="58">IF(AQ57="2",BI57,0)</f>
        <v>0</v>
      </c>
      <c r="AH57" s="318">
        <f t="shared" ref="AH57:AH65" si="59">IF(AQ57="0",BJ57,0)</f>
        <v>0</v>
      </c>
      <c r="AI57" s="298"/>
      <c r="AJ57" s="390">
        <f t="shared" ref="AJ57:AJ65" si="60">IF(AN57=0,K57,0)</f>
        <v>0</v>
      </c>
      <c r="AK57" s="390">
        <f t="shared" ref="AK57:AK65" si="61">IF(AN57=15,K57,0)</f>
        <v>0</v>
      </c>
      <c r="AL57" s="390">
        <f t="shared" ref="AL57:AL65" si="62">IF(AN57=21,K57,0)</f>
        <v>0</v>
      </c>
      <c r="AN57" s="318">
        <v>21</v>
      </c>
      <c r="AO57" s="318">
        <f>H57*1</f>
        <v>0</v>
      </c>
      <c r="AP57" s="318">
        <f>H57*(1-1)</f>
        <v>0</v>
      </c>
      <c r="AQ57" s="392" t="s">
        <v>241</v>
      </c>
      <c r="AV57" s="318">
        <f t="shared" ref="AV57:AV65" si="63">AW57+AX57</f>
        <v>0</v>
      </c>
      <c r="AW57" s="318">
        <f t="shared" ref="AW57:AW65" si="64">G57*AO57</f>
        <v>0</v>
      </c>
      <c r="AX57" s="318">
        <f t="shared" ref="AX57:AX65" si="65">G57*AP57</f>
        <v>0</v>
      </c>
      <c r="AY57" s="320" t="s">
        <v>4841</v>
      </c>
      <c r="AZ57" s="320" t="s">
        <v>4550</v>
      </c>
      <c r="BA57" s="298" t="s">
        <v>4551</v>
      </c>
      <c r="BC57" s="318">
        <f t="shared" ref="BC57:BC65" si="66">AW57+AX57</f>
        <v>0</v>
      </c>
      <c r="BD57" s="318">
        <f t="shared" ref="BD57:BD65" si="67">H57/(100-BE57)*100</f>
        <v>0</v>
      </c>
      <c r="BE57" s="318">
        <v>0</v>
      </c>
      <c r="BF57" s="318">
        <f t="shared" ref="BF57:BF65" si="68">M57</f>
        <v>0</v>
      </c>
      <c r="BH57" s="390">
        <f t="shared" ref="BH57:BH65" si="69">G57*AO57</f>
        <v>0</v>
      </c>
      <c r="BI57" s="390">
        <f t="shared" ref="BI57:BI65" si="70">G57*AP57</f>
        <v>0</v>
      </c>
      <c r="BJ57" s="390">
        <f t="shared" ref="BJ57:BJ65" si="71">G57*H57</f>
        <v>0</v>
      </c>
      <c r="BK57" s="390" t="s">
        <v>484</v>
      </c>
      <c r="BL57" s="318">
        <v>728</v>
      </c>
    </row>
    <row r="58" spans="1:64">
      <c r="A58" s="314" t="s">
        <v>794</v>
      </c>
      <c r="B58" s="315"/>
      <c r="C58" s="315" t="s">
        <v>4908</v>
      </c>
      <c r="D58" s="443" t="s">
        <v>4909</v>
      </c>
      <c r="E58" s="444"/>
      <c r="F58" s="315" t="s">
        <v>476</v>
      </c>
      <c r="G58" s="316">
        <v>11</v>
      </c>
      <c r="H58" s="316"/>
      <c r="I58" s="316">
        <f t="shared" si="48"/>
        <v>0</v>
      </c>
      <c r="J58" s="316">
        <f t="shared" si="49"/>
        <v>0</v>
      </c>
      <c r="K58" s="316">
        <f t="shared" si="50"/>
        <v>0</v>
      </c>
      <c r="L58" s="316">
        <v>0</v>
      </c>
      <c r="M58" s="316">
        <f t="shared" si="51"/>
        <v>0</v>
      </c>
      <c r="N58" s="317" t="s">
        <v>4548</v>
      </c>
      <c r="O58" s="291"/>
      <c r="Z58" s="318">
        <f t="shared" si="52"/>
        <v>0</v>
      </c>
      <c r="AB58" s="318">
        <f t="shared" si="53"/>
        <v>0</v>
      </c>
      <c r="AC58" s="318">
        <f t="shared" si="54"/>
        <v>0</v>
      </c>
      <c r="AD58" s="318">
        <f t="shared" si="55"/>
        <v>0</v>
      </c>
      <c r="AE58" s="318">
        <f t="shared" si="56"/>
        <v>0</v>
      </c>
      <c r="AF58" s="318">
        <f t="shared" si="57"/>
        <v>0</v>
      </c>
      <c r="AG58" s="318">
        <f t="shared" si="58"/>
        <v>0</v>
      </c>
      <c r="AH58" s="318">
        <f t="shared" si="59"/>
        <v>0</v>
      </c>
      <c r="AI58" s="298"/>
      <c r="AJ58" s="316">
        <f t="shared" si="60"/>
        <v>0</v>
      </c>
      <c r="AK58" s="316">
        <f t="shared" si="61"/>
        <v>0</v>
      </c>
      <c r="AL58" s="316">
        <f t="shared" si="62"/>
        <v>0</v>
      </c>
      <c r="AN58" s="318">
        <v>21</v>
      </c>
      <c r="AO58" s="318">
        <f>H58*0</f>
        <v>0</v>
      </c>
      <c r="AP58" s="318">
        <f>H58*(1-0)</f>
        <v>0</v>
      </c>
      <c r="AQ58" s="319" t="s">
        <v>241</v>
      </c>
      <c r="AV58" s="318">
        <f t="shared" si="63"/>
        <v>0</v>
      </c>
      <c r="AW58" s="318">
        <f t="shared" si="64"/>
        <v>0</v>
      </c>
      <c r="AX58" s="318">
        <f t="shared" si="65"/>
        <v>0</v>
      </c>
      <c r="AY58" s="320" t="s">
        <v>4841</v>
      </c>
      <c r="AZ58" s="320" t="s">
        <v>4550</v>
      </c>
      <c r="BA58" s="298" t="s">
        <v>4551</v>
      </c>
      <c r="BC58" s="318">
        <f t="shared" si="66"/>
        <v>0</v>
      </c>
      <c r="BD58" s="318">
        <f t="shared" si="67"/>
        <v>0</v>
      </c>
      <c r="BE58" s="318">
        <v>0</v>
      </c>
      <c r="BF58" s="318">
        <f t="shared" si="68"/>
        <v>0</v>
      </c>
      <c r="BH58" s="316">
        <f t="shared" si="69"/>
        <v>0</v>
      </c>
      <c r="BI58" s="316">
        <f t="shared" si="70"/>
        <v>0</v>
      </c>
      <c r="BJ58" s="316">
        <f t="shared" si="71"/>
        <v>0</v>
      </c>
      <c r="BK58" s="316" t="s">
        <v>815</v>
      </c>
      <c r="BL58" s="318">
        <v>728</v>
      </c>
    </row>
    <row r="59" spans="1:64">
      <c r="A59" s="388" t="s">
        <v>800</v>
      </c>
      <c r="B59" s="389"/>
      <c r="C59" s="389" t="s">
        <v>4910</v>
      </c>
      <c r="D59" s="480" t="s">
        <v>4911</v>
      </c>
      <c r="E59" s="481"/>
      <c r="F59" s="389" t="s">
        <v>476</v>
      </c>
      <c r="G59" s="390">
        <v>11</v>
      </c>
      <c r="H59" s="390"/>
      <c r="I59" s="390">
        <f t="shared" si="48"/>
        <v>0</v>
      </c>
      <c r="J59" s="390">
        <f t="shared" si="49"/>
        <v>0</v>
      </c>
      <c r="K59" s="390">
        <f t="shared" si="50"/>
        <v>0</v>
      </c>
      <c r="L59" s="390">
        <v>1.2700000000000001E-3</v>
      </c>
      <c r="M59" s="390">
        <f t="shared" si="51"/>
        <v>1.3970000000000002E-2</v>
      </c>
      <c r="N59" s="391" t="s">
        <v>4548</v>
      </c>
      <c r="O59" s="291"/>
      <c r="Z59" s="318">
        <f t="shared" si="52"/>
        <v>0</v>
      </c>
      <c r="AB59" s="318">
        <f t="shared" si="53"/>
        <v>0</v>
      </c>
      <c r="AC59" s="318">
        <f t="shared" si="54"/>
        <v>0</v>
      </c>
      <c r="AD59" s="318">
        <f t="shared" si="55"/>
        <v>0</v>
      </c>
      <c r="AE59" s="318">
        <f t="shared" si="56"/>
        <v>0</v>
      </c>
      <c r="AF59" s="318">
        <f t="shared" si="57"/>
        <v>0</v>
      </c>
      <c r="AG59" s="318">
        <f t="shared" si="58"/>
        <v>0</v>
      </c>
      <c r="AH59" s="318">
        <f t="shared" si="59"/>
        <v>0</v>
      </c>
      <c r="AI59" s="298"/>
      <c r="AJ59" s="390">
        <f t="shared" si="60"/>
        <v>0</v>
      </c>
      <c r="AK59" s="390">
        <f t="shared" si="61"/>
        <v>0</v>
      </c>
      <c r="AL59" s="390">
        <f t="shared" si="62"/>
        <v>0</v>
      </c>
      <c r="AN59" s="318">
        <v>21</v>
      </c>
      <c r="AO59" s="318">
        <f>H59*1</f>
        <v>0</v>
      </c>
      <c r="AP59" s="318">
        <f>H59*(1-1)</f>
        <v>0</v>
      </c>
      <c r="AQ59" s="392" t="s">
        <v>241</v>
      </c>
      <c r="AV59" s="318">
        <f t="shared" si="63"/>
        <v>0</v>
      </c>
      <c r="AW59" s="318">
        <f t="shared" si="64"/>
        <v>0</v>
      </c>
      <c r="AX59" s="318">
        <f t="shared" si="65"/>
        <v>0</v>
      </c>
      <c r="AY59" s="320" t="s">
        <v>4841</v>
      </c>
      <c r="AZ59" s="320" t="s">
        <v>4550</v>
      </c>
      <c r="BA59" s="298" t="s">
        <v>4551</v>
      </c>
      <c r="BC59" s="318">
        <f t="shared" si="66"/>
        <v>0</v>
      </c>
      <c r="BD59" s="318">
        <f t="shared" si="67"/>
        <v>0</v>
      </c>
      <c r="BE59" s="318">
        <v>0</v>
      </c>
      <c r="BF59" s="318">
        <f t="shared" si="68"/>
        <v>1.3970000000000002E-2</v>
      </c>
      <c r="BH59" s="390">
        <f t="shared" si="69"/>
        <v>0</v>
      </c>
      <c r="BI59" s="390">
        <f t="shared" si="70"/>
        <v>0</v>
      </c>
      <c r="BJ59" s="390">
        <f t="shared" si="71"/>
        <v>0</v>
      </c>
      <c r="BK59" s="390" t="s">
        <v>484</v>
      </c>
      <c r="BL59" s="318">
        <v>728</v>
      </c>
    </row>
    <row r="60" spans="1:64">
      <c r="A60" s="314" t="s">
        <v>1117</v>
      </c>
      <c r="B60" s="315"/>
      <c r="C60" s="315" t="s">
        <v>4912</v>
      </c>
      <c r="D60" s="443" t="s">
        <v>4913</v>
      </c>
      <c r="E60" s="444"/>
      <c r="F60" s="315" t="s">
        <v>476</v>
      </c>
      <c r="G60" s="316">
        <v>70</v>
      </c>
      <c r="H60" s="316"/>
      <c r="I60" s="316">
        <f t="shared" si="48"/>
        <v>0</v>
      </c>
      <c r="J60" s="316">
        <f t="shared" si="49"/>
        <v>0</v>
      </c>
      <c r="K60" s="316">
        <f t="shared" si="50"/>
        <v>0</v>
      </c>
      <c r="L60" s="316">
        <v>0</v>
      </c>
      <c r="M60" s="316">
        <f t="shared" si="51"/>
        <v>0</v>
      </c>
      <c r="N60" s="317" t="s">
        <v>4548</v>
      </c>
      <c r="O60" s="291"/>
      <c r="Z60" s="318">
        <f t="shared" si="52"/>
        <v>0</v>
      </c>
      <c r="AB60" s="318">
        <f t="shared" si="53"/>
        <v>0</v>
      </c>
      <c r="AC60" s="318">
        <f t="shared" si="54"/>
        <v>0</v>
      </c>
      <c r="AD60" s="318">
        <f t="shared" si="55"/>
        <v>0</v>
      </c>
      <c r="AE60" s="318">
        <f t="shared" si="56"/>
        <v>0</v>
      </c>
      <c r="AF60" s="318">
        <f t="shared" si="57"/>
        <v>0</v>
      </c>
      <c r="AG60" s="318">
        <f t="shared" si="58"/>
        <v>0</v>
      </c>
      <c r="AH60" s="318">
        <f t="shared" si="59"/>
        <v>0</v>
      </c>
      <c r="AI60" s="298"/>
      <c r="AJ60" s="316">
        <f t="shared" si="60"/>
        <v>0</v>
      </c>
      <c r="AK60" s="316">
        <f t="shared" si="61"/>
        <v>0</v>
      </c>
      <c r="AL60" s="316">
        <f t="shared" si="62"/>
        <v>0</v>
      </c>
      <c r="AN60" s="318">
        <v>21</v>
      </c>
      <c r="AO60" s="318">
        <f>H60*0</f>
        <v>0</v>
      </c>
      <c r="AP60" s="318">
        <f>H60*(1-0)</f>
        <v>0</v>
      </c>
      <c r="AQ60" s="319" t="s">
        <v>241</v>
      </c>
      <c r="AV60" s="318">
        <f t="shared" si="63"/>
        <v>0</v>
      </c>
      <c r="AW60" s="318">
        <f t="shared" si="64"/>
        <v>0</v>
      </c>
      <c r="AX60" s="318">
        <f t="shared" si="65"/>
        <v>0</v>
      </c>
      <c r="AY60" s="320" t="s">
        <v>4841</v>
      </c>
      <c r="AZ60" s="320" t="s">
        <v>4550</v>
      </c>
      <c r="BA60" s="298" t="s">
        <v>4551</v>
      </c>
      <c r="BC60" s="318">
        <f t="shared" si="66"/>
        <v>0</v>
      </c>
      <c r="BD60" s="318">
        <f t="shared" si="67"/>
        <v>0</v>
      </c>
      <c r="BE60" s="318">
        <v>0</v>
      </c>
      <c r="BF60" s="318">
        <f t="shared" si="68"/>
        <v>0</v>
      </c>
      <c r="BH60" s="316">
        <f t="shared" si="69"/>
        <v>0</v>
      </c>
      <c r="BI60" s="316">
        <f t="shared" si="70"/>
        <v>0</v>
      </c>
      <c r="BJ60" s="316">
        <f t="shared" si="71"/>
        <v>0</v>
      </c>
      <c r="BK60" s="316" t="s">
        <v>815</v>
      </c>
      <c r="BL60" s="318">
        <v>728</v>
      </c>
    </row>
    <row r="61" spans="1:64">
      <c r="A61" s="388" t="s">
        <v>1119</v>
      </c>
      <c r="B61" s="389"/>
      <c r="C61" s="389" t="s">
        <v>4914</v>
      </c>
      <c r="D61" s="480" t="s">
        <v>4915</v>
      </c>
      <c r="E61" s="481"/>
      <c r="F61" s="389" t="s">
        <v>476</v>
      </c>
      <c r="G61" s="390">
        <v>50</v>
      </c>
      <c r="H61" s="390"/>
      <c r="I61" s="390">
        <f t="shared" si="48"/>
        <v>0</v>
      </c>
      <c r="J61" s="390">
        <f t="shared" si="49"/>
        <v>0</v>
      </c>
      <c r="K61" s="390">
        <f t="shared" si="50"/>
        <v>0</v>
      </c>
      <c r="L61" s="390">
        <v>1.8E-3</v>
      </c>
      <c r="M61" s="390">
        <f t="shared" si="51"/>
        <v>0.09</v>
      </c>
      <c r="N61" s="391" t="s">
        <v>4548</v>
      </c>
      <c r="O61" s="291"/>
      <c r="Z61" s="318">
        <f t="shared" si="52"/>
        <v>0</v>
      </c>
      <c r="AB61" s="318">
        <f t="shared" si="53"/>
        <v>0</v>
      </c>
      <c r="AC61" s="318">
        <f t="shared" si="54"/>
        <v>0</v>
      </c>
      <c r="AD61" s="318">
        <f t="shared" si="55"/>
        <v>0</v>
      </c>
      <c r="AE61" s="318">
        <f t="shared" si="56"/>
        <v>0</v>
      </c>
      <c r="AF61" s="318">
        <f t="shared" si="57"/>
        <v>0</v>
      </c>
      <c r="AG61" s="318">
        <f t="shared" si="58"/>
        <v>0</v>
      </c>
      <c r="AH61" s="318">
        <f t="shared" si="59"/>
        <v>0</v>
      </c>
      <c r="AI61" s="298"/>
      <c r="AJ61" s="390">
        <f t="shared" si="60"/>
        <v>0</v>
      </c>
      <c r="AK61" s="390">
        <f t="shared" si="61"/>
        <v>0</v>
      </c>
      <c r="AL61" s="390">
        <f t="shared" si="62"/>
        <v>0</v>
      </c>
      <c r="AN61" s="318">
        <v>21</v>
      </c>
      <c r="AO61" s="318">
        <f>H61*1</f>
        <v>0</v>
      </c>
      <c r="AP61" s="318">
        <f>H61*(1-1)</f>
        <v>0</v>
      </c>
      <c r="AQ61" s="392" t="s">
        <v>241</v>
      </c>
      <c r="AV61" s="318">
        <f t="shared" si="63"/>
        <v>0</v>
      </c>
      <c r="AW61" s="318">
        <f t="shared" si="64"/>
        <v>0</v>
      </c>
      <c r="AX61" s="318">
        <f t="shared" si="65"/>
        <v>0</v>
      </c>
      <c r="AY61" s="320" t="s">
        <v>4841</v>
      </c>
      <c r="AZ61" s="320" t="s">
        <v>4550</v>
      </c>
      <c r="BA61" s="298" t="s">
        <v>4551</v>
      </c>
      <c r="BC61" s="318">
        <f t="shared" si="66"/>
        <v>0</v>
      </c>
      <c r="BD61" s="318">
        <f t="shared" si="67"/>
        <v>0</v>
      </c>
      <c r="BE61" s="318">
        <v>0</v>
      </c>
      <c r="BF61" s="318">
        <f t="shared" si="68"/>
        <v>0.09</v>
      </c>
      <c r="BH61" s="390">
        <f t="shared" si="69"/>
        <v>0</v>
      </c>
      <c r="BI61" s="390">
        <f t="shared" si="70"/>
        <v>0</v>
      </c>
      <c r="BJ61" s="390">
        <f t="shared" si="71"/>
        <v>0</v>
      </c>
      <c r="BK61" s="390" t="s">
        <v>484</v>
      </c>
      <c r="BL61" s="318">
        <v>728</v>
      </c>
    </row>
    <row r="62" spans="1:64">
      <c r="A62" s="388" t="s">
        <v>1126</v>
      </c>
      <c r="B62" s="389"/>
      <c r="C62" s="389" t="s">
        <v>4916</v>
      </c>
      <c r="D62" s="480" t="s">
        <v>4917</v>
      </c>
      <c r="E62" s="481"/>
      <c r="F62" s="389" t="s">
        <v>476</v>
      </c>
      <c r="G62" s="390">
        <v>20</v>
      </c>
      <c r="H62" s="390"/>
      <c r="I62" s="390">
        <f t="shared" si="48"/>
        <v>0</v>
      </c>
      <c r="J62" s="390">
        <f t="shared" si="49"/>
        <v>0</v>
      </c>
      <c r="K62" s="390">
        <f t="shared" si="50"/>
        <v>0</v>
      </c>
      <c r="L62" s="390">
        <v>2.0300000000000001E-3</v>
      </c>
      <c r="M62" s="390">
        <f t="shared" si="51"/>
        <v>4.0600000000000004E-2</v>
      </c>
      <c r="N62" s="391" t="s">
        <v>4548</v>
      </c>
      <c r="O62" s="291"/>
      <c r="Z62" s="318">
        <f t="shared" si="52"/>
        <v>0</v>
      </c>
      <c r="AB62" s="318">
        <f t="shared" si="53"/>
        <v>0</v>
      </c>
      <c r="AC62" s="318">
        <f t="shared" si="54"/>
        <v>0</v>
      </c>
      <c r="AD62" s="318">
        <f t="shared" si="55"/>
        <v>0</v>
      </c>
      <c r="AE62" s="318">
        <f t="shared" si="56"/>
        <v>0</v>
      </c>
      <c r="AF62" s="318">
        <f t="shared" si="57"/>
        <v>0</v>
      </c>
      <c r="AG62" s="318">
        <f t="shared" si="58"/>
        <v>0</v>
      </c>
      <c r="AH62" s="318">
        <f t="shared" si="59"/>
        <v>0</v>
      </c>
      <c r="AI62" s="298"/>
      <c r="AJ62" s="390">
        <f t="shared" si="60"/>
        <v>0</v>
      </c>
      <c r="AK62" s="390">
        <f t="shared" si="61"/>
        <v>0</v>
      </c>
      <c r="AL62" s="390">
        <f t="shared" si="62"/>
        <v>0</v>
      </c>
      <c r="AN62" s="318">
        <v>21</v>
      </c>
      <c r="AO62" s="318">
        <f>H62*1</f>
        <v>0</v>
      </c>
      <c r="AP62" s="318">
        <f>H62*(1-1)</f>
        <v>0</v>
      </c>
      <c r="AQ62" s="392" t="s">
        <v>241</v>
      </c>
      <c r="AV62" s="318">
        <f t="shared" si="63"/>
        <v>0</v>
      </c>
      <c r="AW62" s="318">
        <f t="shared" si="64"/>
        <v>0</v>
      </c>
      <c r="AX62" s="318">
        <f t="shared" si="65"/>
        <v>0</v>
      </c>
      <c r="AY62" s="320" t="s">
        <v>4841</v>
      </c>
      <c r="AZ62" s="320" t="s">
        <v>4550</v>
      </c>
      <c r="BA62" s="298" t="s">
        <v>4551</v>
      </c>
      <c r="BC62" s="318">
        <f t="shared" si="66"/>
        <v>0</v>
      </c>
      <c r="BD62" s="318">
        <f t="shared" si="67"/>
        <v>0</v>
      </c>
      <c r="BE62" s="318">
        <v>0</v>
      </c>
      <c r="BF62" s="318">
        <f t="shared" si="68"/>
        <v>4.0600000000000004E-2</v>
      </c>
      <c r="BH62" s="390">
        <f t="shared" si="69"/>
        <v>0</v>
      </c>
      <c r="BI62" s="390">
        <f t="shared" si="70"/>
        <v>0</v>
      </c>
      <c r="BJ62" s="390">
        <f t="shared" si="71"/>
        <v>0</v>
      </c>
      <c r="BK62" s="390" t="s">
        <v>484</v>
      </c>
      <c r="BL62" s="318">
        <v>728</v>
      </c>
    </row>
    <row r="63" spans="1:64">
      <c r="A63" s="314" t="s">
        <v>1132</v>
      </c>
      <c r="B63" s="315"/>
      <c r="C63" s="315" t="s">
        <v>4903</v>
      </c>
      <c r="D63" s="443" t="s">
        <v>4918</v>
      </c>
      <c r="E63" s="444"/>
      <c r="F63" s="315" t="s">
        <v>236</v>
      </c>
      <c r="G63" s="316">
        <v>13</v>
      </c>
      <c r="H63" s="316"/>
      <c r="I63" s="316">
        <f t="shared" si="48"/>
        <v>0</v>
      </c>
      <c r="J63" s="316">
        <f t="shared" si="49"/>
        <v>0</v>
      </c>
      <c r="K63" s="316">
        <f t="shared" si="50"/>
        <v>0</v>
      </c>
      <c r="L63" s="316">
        <v>0</v>
      </c>
      <c r="M63" s="316">
        <f t="shared" si="51"/>
        <v>0</v>
      </c>
      <c r="N63" s="317" t="s">
        <v>4548</v>
      </c>
      <c r="O63" s="291"/>
      <c r="Z63" s="318">
        <f t="shared" si="52"/>
        <v>0</v>
      </c>
      <c r="AB63" s="318">
        <f t="shared" si="53"/>
        <v>0</v>
      </c>
      <c r="AC63" s="318">
        <f t="shared" si="54"/>
        <v>0</v>
      </c>
      <c r="AD63" s="318">
        <f t="shared" si="55"/>
        <v>0</v>
      </c>
      <c r="AE63" s="318">
        <f t="shared" si="56"/>
        <v>0</v>
      </c>
      <c r="AF63" s="318">
        <f t="shared" si="57"/>
        <v>0</v>
      </c>
      <c r="AG63" s="318">
        <f t="shared" si="58"/>
        <v>0</v>
      </c>
      <c r="AH63" s="318">
        <f t="shared" si="59"/>
        <v>0</v>
      </c>
      <c r="AI63" s="298"/>
      <c r="AJ63" s="316">
        <f t="shared" si="60"/>
        <v>0</v>
      </c>
      <c r="AK63" s="316">
        <f t="shared" si="61"/>
        <v>0</v>
      </c>
      <c r="AL63" s="316">
        <f t="shared" si="62"/>
        <v>0</v>
      </c>
      <c r="AN63" s="318">
        <v>21</v>
      </c>
      <c r="AO63" s="318">
        <f>H63*0</f>
        <v>0</v>
      </c>
      <c r="AP63" s="318">
        <f>H63*(1-0)</f>
        <v>0</v>
      </c>
      <c r="AQ63" s="319" t="s">
        <v>241</v>
      </c>
      <c r="AV63" s="318">
        <f t="shared" si="63"/>
        <v>0</v>
      </c>
      <c r="AW63" s="318">
        <f t="shared" si="64"/>
        <v>0</v>
      </c>
      <c r="AX63" s="318">
        <f t="shared" si="65"/>
        <v>0</v>
      </c>
      <c r="AY63" s="320" t="s">
        <v>4841</v>
      </c>
      <c r="AZ63" s="320" t="s">
        <v>4550</v>
      </c>
      <c r="BA63" s="298" t="s">
        <v>4551</v>
      </c>
      <c r="BC63" s="318">
        <f t="shared" si="66"/>
        <v>0</v>
      </c>
      <c r="BD63" s="318">
        <f t="shared" si="67"/>
        <v>0</v>
      </c>
      <c r="BE63" s="318">
        <v>0</v>
      </c>
      <c r="BF63" s="318">
        <f t="shared" si="68"/>
        <v>0</v>
      </c>
      <c r="BH63" s="316">
        <f t="shared" si="69"/>
        <v>0</v>
      </c>
      <c r="BI63" s="316">
        <f t="shared" si="70"/>
        <v>0</v>
      </c>
      <c r="BJ63" s="316">
        <f t="shared" si="71"/>
        <v>0</v>
      </c>
      <c r="BK63" s="316" t="s">
        <v>815</v>
      </c>
      <c r="BL63" s="318">
        <v>728</v>
      </c>
    </row>
    <row r="64" spans="1:64">
      <c r="A64" s="388" t="s">
        <v>1134</v>
      </c>
      <c r="B64" s="389"/>
      <c r="C64" s="389" t="s">
        <v>4919</v>
      </c>
      <c r="D64" s="480" t="s">
        <v>4920</v>
      </c>
      <c r="E64" s="481"/>
      <c r="F64" s="389" t="s">
        <v>236</v>
      </c>
      <c r="G64" s="390">
        <v>13</v>
      </c>
      <c r="H64" s="390"/>
      <c r="I64" s="390">
        <f t="shared" si="48"/>
        <v>0</v>
      </c>
      <c r="J64" s="390">
        <f t="shared" si="49"/>
        <v>0</v>
      </c>
      <c r="K64" s="390">
        <f t="shared" si="50"/>
        <v>0</v>
      </c>
      <c r="L64" s="390">
        <v>5.0000000000000001E-4</v>
      </c>
      <c r="M64" s="390">
        <f t="shared" si="51"/>
        <v>6.5000000000000006E-3</v>
      </c>
      <c r="N64" s="391" t="s">
        <v>4548</v>
      </c>
      <c r="O64" s="291"/>
      <c r="Z64" s="318">
        <f t="shared" si="52"/>
        <v>0</v>
      </c>
      <c r="AB64" s="318">
        <f t="shared" si="53"/>
        <v>0</v>
      </c>
      <c r="AC64" s="318">
        <f t="shared" si="54"/>
        <v>0</v>
      </c>
      <c r="AD64" s="318">
        <f t="shared" si="55"/>
        <v>0</v>
      </c>
      <c r="AE64" s="318">
        <f t="shared" si="56"/>
        <v>0</v>
      </c>
      <c r="AF64" s="318">
        <f t="shared" si="57"/>
        <v>0</v>
      </c>
      <c r="AG64" s="318">
        <f t="shared" si="58"/>
        <v>0</v>
      </c>
      <c r="AH64" s="318">
        <f t="shared" si="59"/>
        <v>0</v>
      </c>
      <c r="AI64" s="298"/>
      <c r="AJ64" s="390">
        <f t="shared" si="60"/>
        <v>0</v>
      </c>
      <c r="AK64" s="390">
        <f t="shared" si="61"/>
        <v>0</v>
      </c>
      <c r="AL64" s="390">
        <f t="shared" si="62"/>
        <v>0</v>
      </c>
      <c r="AN64" s="318">
        <v>21</v>
      </c>
      <c r="AO64" s="318">
        <f>H64*1</f>
        <v>0</v>
      </c>
      <c r="AP64" s="318">
        <f>H64*(1-1)</f>
        <v>0</v>
      </c>
      <c r="AQ64" s="392" t="s">
        <v>241</v>
      </c>
      <c r="AV64" s="318">
        <f t="shared" si="63"/>
        <v>0</v>
      </c>
      <c r="AW64" s="318">
        <f t="shared" si="64"/>
        <v>0</v>
      </c>
      <c r="AX64" s="318">
        <f t="shared" si="65"/>
        <v>0</v>
      </c>
      <c r="AY64" s="320" t="s">
        <v>4841</v>
      </c>
      <c r="AZ64" s="320" t="s">
        <v>4550</v>
      </c>
      <c r="BA64" s="298" t="s">
        <v>4551</v>
      </c>
      <c r="BC64" s="318">
        <f t="shared" si="66"/>
        <v>0</v>
      </c>
      <c r="BD64" s="318">
        <f t="shared" si="67"/>
        <v>0</v>
      </c>
      <c r="BE64" s="318">
        <v>0</v>
      </c>
      <c r="BF64" s="318">
        <f t="shared" si="68"/>
        <v>6.5000000000000006E-3</v>
      </c>
      <c r="BH64" s="390">
        <f t="shared" si="69"/>
        <v>0</v>
      </c>
      <c r="BI64" s="390">
        <f t="shared" si="70"/>
        <v>0</v>
      </c>
      <c r="BJ64" s="390">
        <f t="shared" si="71"/>
        <v>0</v>
      </c>
      <c r="BK64" s="390" t="s">
        <v>484</v>
      </c>
      <c r="BL64" s="318">
        <v>728</v>
      </c>
    </row>
    <row r="65" spans="1:64">
      <c r="A65" s="314" t="s">
        <v>1136</v>
      </c>
      <c r="B65" s="315"/>
      <c r="C65" s="315" t="s">
        <v>4921</v>
      </c>
      <c r="D65" s="443" t="s">
        <v>4922</v>
      </c>
      <c r="E65" s="444"/>
      <c r="F65" s="315" t="s">
        <v>236</v>
      </c>
      <c r="G65" s="316">
        <v>1</v>
      </c>
      <c r="H65" s="316"/>
      <c r="I65" s="316">
        <f t="shared" si="48"/>
        <v>0</v>
      </c>
      <c r="J65" s="316">
        <f t="shared" si="49"/>
        <v>0</v>
      </c>
      <c r="K65" s="316">
        <f t="shared" si="50"/>
        <v>0</v>
      </c>
      <c r="L65" s="316">
        <v>0</v>
      </c>
      <c r="M65" s="316">
        <f t="shared" si="51"/>
        <v>0</v>
      </c>
      <c r="N65" s="317" t="s">
        <v>4548</v>
      </c>
      <c r="O65" s="291"/>
      <c r="Z65" s="318">
        <f t="shared" si="52"/>
        <v>0</v>
      </c>
      <c r="AB65" s="318">
        <f t="shared" si="53"/>
        <v>0</v>
      </c>
      <c r="AC65" s="318">
        <f t="shared" si="54"/>
        <v>0</v>
      </c>
      <c r="AD65" s="318">
        <f t="shared" si="55"/>
        <v>0</v>
      </c>
      <c r="AE65" s="318">
        <f t="shared" si="56"/>
        <v>0</v>
      </c>
      <c r="AF65" s="318">
        <f t="shared" si="57"/>
        <v>0</v>
      </c>
      <c r="AG65" s="318">
        <f t="shared" si="58"/>
        <v>0</v>
      </c>
      <c r="AH65" s="318">
        <f t="shared" si="59"/>
        <v>0</v>
      </c>
      <c r="AI65" s="298"/>
      <c r="AJ65" s="316">
        <f t="shared" si="60"/>
        <v>0</v>
      </c>
      <c r="AK65" s="316">
        <f t="shared" si="61"/>
        <v>0</v>
      </c>
      <c r="AL65" s="316">
        <f t="shared" si="62"/>
        <v>0</v>
      </c>
      <c r="AN65" s="318">
        <v>21</v>
      </c>
      <c r="AO65" s="318">
        <f>H65*0</f>
        <v>0</v>
      </c>
      <c r="AP65" s="318">
        <f>H65*(1-0)</f>
        <v>0</v>
      </c>
      <c r="AQ65" s="319" t="s">
        <v>241</v>
      </c>
      <c r="AV65" s="318">
        <f t="shared" si="63"/>
        <v>0</v>
      </c>
      <c r="AW65" s="318">
        <f t="shared" si="64"/>
        <v>0</v>
      </c>
      <c r="AX65" s="318">
        <f t="shared" si="65"/>
        <v>0</v>
      </c>
      <c r="AY65" s="320" t="s">
        <v>4841</v>
      </c>
      <c r="AZ65" s="320" t="s">
        <v>4550</v>
      </c>
      <c r="BA65" s="298" t="s">
        <v>4551</v>
      </c>
      <c r="BC65" s="318">
        <f t="shared" si="66"/>
        <v>0</v>
      </c>
      <c r="BD65" s="318">
        <f t="shared" si="67"/>
        <v>0</v>
      </c>
      <c r="BE65" s="318">
        <v>0</v>
      </c>
      <c r="BF65" s="318">
        <f t="shared" si="68"/>
        <v>0</v>
      </c>
      <c r="BH65" s="316">
        <f t="shared" si="69"/>
        <v>0</v>
      </c>
      <c r="BI65" s="316">
        <f t="shared" si="70"/>
        <v>0</v>
      </c>
      <c r="BJ65" s="316">
        <f t="shared" si="71"/>
        <v>0</v>
      </c>
      <c r="BK65" s="316" t="s">
        <v>815</v>
      </c>
      <c r="BL65" s="318">
        <v>728</v>
      </c>
    </row>
    <row r="66" spans="1:64">
      <c r="A66" s="291"/>
      <c r="C66" s="321" t="s">
        <v>4552</v>
      </c>
      <c r="D66" s="445" t="s">
        <v>4923</v>
      </c>
      <c r="E66" s="446"/>
      <c r="F66" s="446"/>
      <c r="G66" s="446"/>
      <c r="H66" s="446"/>
      <c r="I66" s="446"/>
      <c r="J66" s="446"/>
      <c r="K66" s="446"/>
      <c r="L66" s="446"/>
      <c r="M66" s="446"/>
      <c r="N66" s="447"/>
      <c r="O66" s="291"/>
    </row>
    <row r="67" spans="1:64">
      <c r="A67" s="388" t="s">
        <v>1142</v>
      </c>
      <c r="B67" s="389"/>
      <c r="C67" s="389" t="s">
        <v>4924</v>
      </c>
      <c r="D67" s="480" t="s">
        <v>4925</v>
      </c>
      <c r="E67" s="481"/>
      <c r="F67" s="389" t="s">
        <v>236</v>
      </c>
      <c r="G67" s="390">
        <v>1</v>
      </c>
      <c r="H67" s="390"/>
      <c r="I67" s="390">
        <f>G67*AO67</f>
        <v>0</v>
      </c>
      <c r="J67" s="390">
        <f>G67*AP67</f>
        <v>0</v>
      </c>
      <c r="K67" s="390">
        <f>G67*H67</f>
        <v>0</v>
      </c>
      <c r="L67" s="390">
        <v>6.3E-2</v>
      </c>
      <c r="M67" s="390">
        <f>G67*L67</f>
        <v>6.3E-2</v>
      </c>
      <c r="N67" s="391" t="s">
        <v>4548</v>
      </c>
      <c r="O67" s="291"/>
      <c r="Z67" s="318">
        <f>IF(AQ67="5",BJ67,0)</f>
        <v>0</v>
      </c>
      <c r="AB67" s="318">
        <f>IF(AQ67="1",BH67,0)</f>
        <v>0</v>
      </c>
      <c r="AC67" s="318">
        <f>IF(AQ67="1",BI67,0)</f>
        <v>0</v>
      </c>
      <c r="AD67" s="318">
        <f>IF(AQ67="7",BH67,0)</f>
        <v>0</v>
      </c>
      <c r="AE67" s="318">
        <f>IF(AQ67="7",BI67,0)</f>
        <v>0</v>
      </c>
      <c r="AF67" s="318">
        <f>IF(AQ67="2",BH67,0)</f>
        <v>0</v>
      </c>
      <c r="AG67" s="318">
        <f>IF(AQ67="2",BI67,0)</f>
        <v>0</v>
      </c>
      <c r="AH67" s="318">
        <f>IF(AQ67="0",BJ67,0)</f>
        <v>0</v>
      </c>
      <c r="AI67" s="298"/>
      <c r="AJ67" s="390">
        <f>IF(AN67=0,K67,0)</f>
        <v>0</v>
      </c>
      <c r="AK67" s="390">
        <f>IF(AN67=15,K67,0)</f>
        <v>0</v>
      </c>
      <c r="AL67" s="390">
        <f>IF(AN67=21,K67,0)</f>
        <v>0</v>
      </c>
      <c r="AN67" s="318">
        <v>21</v>
      </c>
      <c r="AO67" s="318">
        <f>H67*1</f>
        <v>0</v>
      </c>
      <c r="AP67" s="318">
        <f>H67*(1-1)</f>
        <v>0</v>
      </c>
      <c r="AQ67" s="392" t="s">
        <v>241</v>
      </c>
      <c r="AV67" s="318">
        <f>AW67+AX67</f>
        <v>0</v>
      </c>
      <c r="AW67" s="318">
        <f>G67*AO67</f>
        <v>0</v>
      </c>
      <c r="AX67" s="318">
        <f>G67*AP67</f>
        <v>0</v>
      </c>
      <c r="AY67" s="320" t="s">
        <v>4841</v>
      </c>
      <c r="AZ67" s="320" t="s">
        <v>4550</v>
      </c>
      <c r="BA67" s="298" t="s">
        <v>4551</v>
      </c>
      <c r="BC67" s="318">
        <f>AW67+AX67</f>
        <v>0</v>
      </c>
      <c r="BD67" s="318">
        <f>H67/(100-BE67)*100</f>
        <v>0</v>
      </c>
      <c r="BE67" s="318">
        <v>0</v>
      </c>
      <c r="BF67" s="318">
        <f>M67</f>
        <v>6.3E-2</v>
      </c>
      <c r="BH67" s="390">
        <f>G67*AO67</f>
        <v>0</v>
      </c>
      <c r="BI67" s="390">
        <f>G67*AP67</f>
        <v>0</v>
      </c>
      <c r="BJ67" s="390">
        <f>G67*H67</f>
        <v>0</v>
      </c>
      <c r="BK67" s="390" t="s">
        <v>484</v>
      </c>
      <c r="BL67" s="318">
        <v>728</v>
      </c>
    </row>
    <row r="68" spans="1:64">
      <c r="A68" s="314" t="s">
        <v>1146</v>
      </c>
      <c r="B68" s="315"/>
      <c r="C68" s="315" t="s">
        <v>4926</v>
      </c>
      <c r="D68" s="443" t="s">
        <v>4927</v>
      </c>
      <c r="E68" s="444"/>
      <c r="F68" s="315" t="s">
        <v>236</v>
      </c>
      <c r="G68" s="316">
        <v>4</v>
      </c>
      <c r="H68" s="316"/>
      <c r="I68" s="316">
        <f>G68*AO68</f>
        <v>0</v>
      </c>
      <c r="J68" s="316">
        <f>G68*AP68</f>
        <v>0</v>
      </c>
      <c r="K68" s="316">
        <f>G68*H68</f>
        <v>0</v>
      </c>
      <c r="L68" s="316">
        <v>0</v>
      </c>
      <c r="M68" s="316">
        <f>G68*L68</f>
        <v>0</v>
      </c>
      <c r="N68" s="317" t="s">
        <v>4548</v>
      </c>
      <c r="O68" s="291"/>
      <c r="Z68" s="318">
        <f>IF(AQ68="5",BJ68,0)</f>
        <v>0</v>
      </c>
      <c r="AB68" s="318">
        <f>IF(AQ68="1",BH68,0)</f>
        <v>0</v>
      </c>
      <c r="AC68" s="318">
        <f>IF(AQ68="1",BI68,0)</f>
        <v>0</v>
      </c>
      <c r="AD68" s="318">
        <f>IF(AQ68="7",BH68,0)</f>
        <v>0</v>
      </c>
      <c r="AE68" s="318">
        <f>IF(AQ68="7",BI68,0)</f>
        <v>0</v>
      </c>
      <c r="AF68" s="318">
        <f>IF(AQ68="2",BH68,0)</f>
        <v>0</v>
      </c>
      <c r="AG68" s="318">
        <f>IF(AQ68="2",BI68,0)</f>
        <v>0</v>
      </c>
      <c r="AH68" s="318">
        <f>IF(AQ68="0",BJ68,0)</f>
        <v>0</v>
      </c>
      <c r="AI68" s="298"/>
      <c r="AJ68" s="316">
        <f>IF(AN68=0,K68,0)</f>
        <v>0</v>
      </c>
      <c r="AK68" s="316">
        <f>IF(AN68=15,K68,0)</f>
        <v>0</v>
      </c>
      <c r="AL68" s="316">
        <f>IF(AN68=21,K68,0)</f>
        <v>0</v>
      </c>
      <c r="AN68" s="318">
        <v>21</v>
      </c>
      <c r="AO68" s="318">
        <f>H68*0</f>
        <v>0</v>
      </c>
      <c r="AP68" s="318">
        <f>H68*(1-0)</f>
        <v>0</v>
      </c>
      <c r="AQ68" s="319" t="s">
        <v>241</v>
      </c>
      <c r="AV68" s="318">
        <f>AW68+AX68</f>
        <v>0</v>
      </c>
      <c r="AW68" s="318">
        <f>G68*AO68</f>
        <v>0</v>
      </c>
      <c r="AX68" s="318">
        <f>G68*AP68</f>
        <v>0</v>
      </c>
      <c r="AY68" s="320" t="s">
        <v>4841</v>
      </c>
      <c r="AZ68" s="320" t="s">
        <v>4550</v>
      </c>
      <c r="BA68" s="298" t="s">
        <v>4551</v>
      </c>
      <c r="BC68" s="318">
        <f>AW68+AX68</f>
        <v>0</v>
      </c>
      <c r="BD68" s="318">
        <f>H68/(100-BE68)*100</f>
        <v>0</v>
      </c>
      <c r="BE68" s="318">
        <v>0</v>
      </c>
      <c r="BF68" s="318">
        <f>M68</f>
        <v>0</v>
      </c>
      <c r="BH68" s="316">
        <f>G68*AO68</f>
        <v>0</v>
      </c>
      <c r="BI68" s="316">
        <f>G68*AP68</f>
        <v>0</v>
      </c>
      <c r="BJ68" s="316">
        <f>G68*H68</f>
        <v>0</v>
      </c>
      <c r="BK68" s="316" t="s">
        <v>815</v>
      </c>
      <c r="BL68" s="318">
        <v>728</v>
      </c>
    </row>
    <row r="69" spans="1:64">
      <c r="A69" s="291"/>
      <c r="C69" s="321" t="s">
        <v>4552</v>
      </c>
      <c r="D69" s="445" t="s">
        <v>4928</v>
      </c>
      <c r="E69" s="446"/>
      <c r="F69" s="446"/>
      <c r="G69" s="446"/>
      <c r="H69" s="446"/>
      <c r="I69" s="446"/>
      <c r="J69" s="446"/>
      <c r="K69" s="446"/>
      <c r="L69" s="446"/>
      <c r="M69" s="446"/>
      <c r="N69" s="447"/>
      <c r="O69" s="291"/>
    </row>
    <row r="70" spans="1:64">
      <c r="A70" s="388" t="s">
        <v>1150</v>
      </c>
      <c r="B70" s="389"/>
      <c r="C70" s="389" t="s">
        <v>4929</v>
      </c>
      <c r="D70" s="480" t="s">
        <v>4930</v>
      </c>
      <c r="E70" s="481"/>
      <c r="F70" s="389" t="s">
        <v>236</v>
      </c>
      <c r="G70" s="390">
        <v>4</v>
      </c>
      <c r="H70" s="390"/>
      <c r="I70" s="390">
        <f>G70*AO70</f>
        <v>0</v>
      </c>
      <c r="J70" s="390">
        <f>G70*AP70</f>
        <v>0</v>
      </c>
      <c r="K70" s="390">
        <f>G70*H70</f>
        <v>0</v>
      </c>
      <c r="L70" s="390">
        <v>6.0000000000000001E-3</v>
      </c>
      <c r="M70" s="390">
        <f>G70*L70</f>
        <v>2.4E-2</v>
      </c>
      <c r="N70" s="391" t="s">
        <v>4548</v>
      </c>
      <c r="O70" s="291"/>
      <c r="Z70" s="318">
        <f>IF(AQ70="5",BJ70,0)</f>
        <v>0</v>
      </c>
      <c r="AB70" s="318">
        <f>IF(AQ70="1",BH70,0)</f>
        <v>0</v>
      </c>
      <c r="AC70" s="318">
        <f>IF(AQ70="1",BI70,0)</f>
        <v>0</v>
      </c>
      <c r="AD70" s="318">
        <f>IF(AQ70="7",BH70,0)</f>
        <v>0</v>
      </c>
      <c r="AE70" s="318">
        <f>IF(AQ70="7",BI70,0)</f>
        <v>0</v>
      </c>
      <c r="AF70" s="318">
        <f>IF(AQ70="2",BH70,0)</f>
        <v>0</v>
      </c>
      <c r="AG70" s="318">
        <f>IF(AQ70="2",BI70,0)</f>
        <v>0</v>
      </c>
      <c r="AH70" s="318">
        <f>IF(AQ70="0",BJ70,0)</f>
        <v>0</v>
      </c>
      <c r="AI70" s="298"/>
      <c r="AJ70" s="390">
        <f>IF(AN70=0,K70,0)</f>
        <v>0</v>
      </c>
      <c r="AK70" s="390">
        <f>IF(AN70=15,K70,0)</f>
        <v>0</v>
      </c>
      <c r="AL70" s="390">
        <f>IF(AN70=21,K70,0)</f>
        <v>0</v>
      </c>
      <c r="AN70" s="318">
        <v>21</v>
      </c>
      <c r="AO70" s="318">
        <f>H70*1</f>
        <v>0</v>
      </c>
      <c r="AP70" s="318">
        <f>H70*(1-1)</f>
        <v>0</v>
      </c>
      <c r="AQ70" s="392" t="s">
        <v>241</v>
      </c>
      <c r="AV70" s="318">
        <f>AW70+AX70</f>
        <v>0</v>
      </c>
      <c r="AW70" s="318">
        <f>G70*AO70</f>
        <v>0</v>
      </c>
      <c r="AX70" s="318">
        <f>G70*AP70</f>
        <v>0</v>
      </c>
      <c r="AY70" s="320" t="s">
        <v>4841</v>
      </c>
      <c r="AZ70" s="320" t="s">
        <v>4550</v>
      </c>
      <c r="BA70" s="298" t="s">
        <v>4551</v>
      </c>
      <c r="BC70" s="318">
        <f>AW70+AX70</f>
        <v>0</v>
      </c>
      <c r="BD70" s="318">
        <f>H70/(100-BE70)*100</f>
        <v>0</v>
      </c>
      <c r="BE70" s="318">
        <v>0</v>
      </c>
      <c r="BF70" s="318">
        <f>M70</f>
        <v>2.4E-2</v>
      </c>
      <c r="BH70" s="390">
        <f>G70*AO70</f>
        <v>0</v>
      </c>
      <c r="BI70" s="390">
        <f>G70*AP70</f>
        <v>0</v>
      </c>
      <c r="BJ70" s="390">
        <f>G70*H70</f>
        <v>0</v>
      </c>
      <c r="BK70" s="390" t="s">
        <v>484</v>
      </c>
      <c r="BL70" s="318">
        <v>728</v>
      </c>
    </row>
    <row r="71" spans="1:64">
      <c r="A71" s="314" t="s">
        <v>1158</v>
      </c>
      <c r="B71" s="315"/>
      <c r="C71" s="315" t="s">
        <v>4898</v>
      </c>
      <c r="D71" s="443" t="s">
        <v>4899</v>
      </c>
      <c r="E71" s="444"/>
      <c r="F71" s="315" t="s">
        <v>236</v>
      </c>
      <c r="G71" s="316">
        <v>4</v>
      </c>
      <c r="H71" s="316"/>
      <c r="I71" s="316">
        <f>G71*AO71</f>
        <v>0</v>
      </c>
      <c r="J71" s="316">
        <f>G71*AP71</f>
        <v>0</v>
      </c>
      <c r="K71" s="316">
        <f>G71*H71</f>
        <v>0</v>
      </c>
      <c r="L71" s="316">
        <v>0</v>
      </c>
      <c r="M71" s="316">
        <f>G71*L71</f>
        <v>0</v>
      </c>
      <c r="N71" s="317" t="s">
        <v>4548</v>
      </c>
      <c r="O71" s="291"/>
      <c r="Z71" s="318">
        <f>IF(AQ71="5",BJ71,0)</f>
        <v>0</v>
      </c>
      <c r="AB71" s="318">
        <f>IF(AQ71="1",BH71,0)</f>
        <v>0</v>
      </c>
      <c r="AC71" s="318">
        <f>IF(AQ71="1",BI71,0)</f>
        <v>0</v>
      </c>
      <c r="AD71" s="318">
        <f>IF(AQ71="7",BH71,0)</f>
        <v>0</v>
      </c>
      <c r="AE71" s="318">
        <f>IF(AQ71="7",BI71,0)</f>
        <v>0</v>
      </c>
      <c r="AF71" s="318">
        <f>IF(AQ71="2",BH71,0)</f>
        <v>0</v>
      </c>
      <c r="AG71" s="318">
        <f>IF(AQ71="2",BI71,0)</f>
        <v>0</v>
      </c>
      <c r="AH71" s="318">
        <f>IF(AQ71="0",BJ71,0)</f>
        <v>0</v>
      </c>
      <c r="AI71" s="298"/>
      <c r="AJ71" s="316">
        <f>IF(AN71=0,K71,0)</f>
        <v>0</v>
      </c>
      <c r="AK71" s="316">
        <f>IF(AN71=15,K71,0)</f>
        <v>0</v>
      </c>
      <c r="AL71" s="316">
        <f>IF(AN71=21,K71,0)</f>
        <v>0</v>
      </c>
      <c r="AN71" s="318">
        <v>21</v>
      </c>
      <c r="AO71" s="318">
        <f>H71*0</f>
        <v>0</v>
      </c>
      <c r="AP71" s="318">
        <f>H71*(1-0)</f>
        <v>0</v>
      </c>
      <c r="AQ71" s="319" t="s">
        <v>241</v>
      </c>
      <c r="AV71" s="318">
        <f>AW71+AX71</f>
        <v>0</v>
      </c>
      <c r="AW71" s="318">
        <f>G71*AO71</f>
        <v>0</v>
      </c>
      <c r="AX71" s="318">
        <f>G71*AP71</f>
        <v>0</v>
      </c>
      <c r="AY71" s="320" t="s">
        <v>4841</v>
      </c>
      <c r="AZ71" s="320" t="s">
        <v>4550</v>
      </c>
      <c r="BA71" s="298" t="s">
        <v>4551</v>
      </c>
      <c r="BC71" s="318">
        <f>AW71+AX71</f>
        <v>0</v>
      </c>
      <c r="BD71" s="318">
        <f>H71/(100-BE71)*100</f>
        <v>0</v>
      </c>
      <c r="BE71" s="318">
        <v>0</v>
      </c>
      <c r="BF71" s="318">
        <f>M71</f>
        <v>0</v>
      </c>
      <c r="BH71" s="316">
        <f>G71*AO71</f>
        <v>0</v>
      </c>
      <c r="BI71" s="316">
        <f>G71*AP71</f>
        <v>0</v>
      </c>
      <c r="BJ71" s="316">
        <f>G71*H71</f>
        <v>0</v>
      </c>
      <c r="BK71" s="316" t="s">
        <v>815</v>
      </c>
      <c r="BL71" s="318">
        <v>728</v>
      </c>
    </row>
    <row r="72" spans="1:64">
      <c r="A72" s="291"/>
      <c r="C72" s="321" t="s">
        <v>4552</v>
      </c>
      <c r="D72" s="445" t="s">
        <v>4931</v>
      </c>
      <c r="E72" s="446"/>
      <c r="F72" s="446"/>
      <c r="G72" s="446"/>
      <c r="H72" s="446"/>
      <c r="I72" s="446"/>
      <c r="J72" s="446"/>
      <c r="K72" s="446"/>
      <c r="L72" s="446"/>
      <c r="M72" s="446"/>
      <c r="N72" s="447"/>
      <c r="O72" s="291"/>
    </row>
    <row r="73" spans="1:64">
      <c r="A73" s="388" t="s">
        <v>1166</v>
      </c>
      <c r="B73" s="389"/>
      <c r="C73" s="389" t="s">
        <v>4932</v>
      </c>
      <c r="D73" s="480" t="s">
        <v>4933</v>
      </c>
      <c r="E73" s="481"/>
      <c r="F73" s="389" t="s">
        <v>236</v>
      </c>
      <c r="G73" s="390">
        <v>2</v>
      </c>
      <c r="H73" s="390"/>
      <c r="I73" s="390">
        <f>G73*AO73</f>
        <v>0</v>
      </c>
      <c r="J73" s="390">
        <f>G73*AP73</f>
        <v>0</v>
      </c>
      <c r="K73" s="390">
        <f>G73*H73</f>
        <v>0</v>
      </c>
      <c r="L73" s="390">
        <v>2.0000000000000001E-4</v>
      </c>
      <c r="M73" s="390">
        <f>G73*L73</f>
        <v>4.0000000000000002E-4</v>
      </c>
      <c r="N73" s="391" t="s">
        <v>4548</v>
      </c>
      <c r="O73" s="291"/>
      <c r="Z73" s="318">
        <f>IF(AQ73="5",BJ73,0)</f>
        <v>0</v>
      </c>
      <c r="AB73" s="318">
        <f>IF(AQ73="1",BH73,0)</f>
        <v>0</v>
      </c>
      <c r="AC73" s="318">
        <f>IF(AQ73="1",BI73,0)</f>
        <v>0</v>
      </c>
      <c r="AD73" s="318">
        <f>IF(AQ73="7",BH73,0)</f>
        <v>0</v>
      </c>
      <c r="AE73" s="318">
        <f>IF(AQ73="7",BI73,0)</f>
        <v>0</v>
      </c>
      <c r="AF73" s="318">
        <f>IF(AQ73="2",BH73,0)</f>
        <v>0</v>
      </c>
      <c r="AG73" s="318">
        <f>IF(AQ73="2",BI73,0)</f>
        <v>0</v>
      </c>
      <c r="AH73" s="318">
        <f>IF(AQ73="0",BJ73,0)</f>
        <v>0</v>
      </c>
      <c r="AI73" s="298"/>
      <c r="AJ73" s="390">
        <f>IF(AN73=0,K73,0)</f>
        <v>0</v>
      </c>
      <c r="AK73" s="390">
        <f>IF(AN73=15,K73,0)</f>
        <v>0</v>
      </c>
      <c r="AL73" s="390">
        <f>IF(AN73=21,K73,0)</f>
        <v>0</v>
      </c>
      <c r="AN73" s="318">
        <v>21</v>
      </c>
      <c r="AO73" s="318">
        <f>H73*1</f>
        <v>0</v>
      </c>
      <c r="AP73" s="318">
        <f>H73*(1-1)</f>
        <v>0</v>
      </c>
      <c r="AQ73" s="392" t="s">
        <v>241</v>
      </c>
      <c r="AV73" s="318">
        <f>AW73+AX73</f>
        <v>0</v>
      </c>
      <c r="AW73" s="318">
        <f>G73*AO73</f>
        <v>0</v>
      </c>
      <c r="AX73" s="318">
        <f>G73*AP73</f>
        <v>0</v>
      </c>
      <c r="AY73" s="320" t="s">
        <v>4841</v>
      </c>
      <c r="AZ73" s="320" t="s">
        <v>4550</v>
      </c>
      <c r="BA73" s="298" t="s">
        <v>4551</v>
      </c>
      <c r="BC73" s="318">
        <f>AW73+AX73</f>
        <v>0</v>
      </c>
      <c r="BD73" s="318">
        <f>H73/(100-BE73)*100</f>
        <v>0</v>
      </c>
      <c r="BE73" s="318">
        <v>0</v>
      </c>
      <c r="BF73" s="318">
        <f>M73</f>
        <v>4.0000000000000002E-4</v>
      </c>
      <c r="BH73" s="390">
        <f>G73*AO73</f>
        <v>0</v>
      </c>
      <c r="BI73" s="390">
        <f>G73*AP73</f>
        <v>0</v>
      </c>
      <c r="BJ73" s="390">
        <f>G73*H73</f>
        <v>0</v>
      </c>
      <c r="BK73" s="390" t="s">
        <v>484</v>
      </c>
      <c r="BL73" s="318">
        <v>728</v>
      </c>
    </row>
    <row r="74" spans="1:64">
      <c r="A74" s="388" t="s">
        <v>1169</v>
      </c>
      <c r="B74" s="389"/>
      <c r="C74" s="389" t="s">
        <v>4934</v>
      </c>
      <c r="D74" s="480" t="s">
        <v>4935</v>
      </c>
      <c r="E74" s="481"/>
      <c r="F74" s="389" t="s">
        <v>236</v>
      </c>
      <c r="G74" s="390">
        <v>2</v>
      </c>
      <c r="H74" s="390"/>
      <c r="I74" s="390">
        <f>G74*AO74</f>
        <v>0</v>
      </c>
      <c r="J74" s="390">
        <f>G74*AP74</f>
        <v>0</v>
      </c>
      <c r="K74" s="390">
        <f>G74*H74</f>
        <v>0</v>
      </c>
      <c r="L74" s="390">
        <v>2.0000000000000001E-4</v>
      </c>
      <c r="M74" s="390">
        <f>G74*L74</f>
        <v>4.0000000000000002E-4</v>
      </c>
      <c r="N74" s="391" t="s">
        <v>4548</v>
      </c>
      <c r="O74" s="291"/>
      <c r="Z74" s="318">
        <f>IF(AQ74="5",BJ74,0)</f>
        <v>0</v>
      </c>
      <c r="AB74" s="318">
        <f>IF(AQ74="1",BH74,0)</f>
        <v>0</v>
      </c>
      <c r="AC74" s="318">
        <f>IF(AQ74="1",BI74,0)</f>
        <v>0</v>
      </c>
      <c r="AD74" s="318">
        <f>IF(AQ74="7",BH74,0)</f>
        <v>0</v>
      </c>
      <c r="AE74" s="318">
        <f>IF(AQ74="7",BI74,0)</f>
        <v>0</v>
      </c>
      <c r="AF74" s="318">
        <f>IF(AQ74="2",BH74,0)</f>
        <v>0</v>
      </c>
      <c r="AG74" s="318">
        <f>IF(AQ74="2",BI74,0)</f>
        <v>0</v>
      </c>
      <c r="AH74" s="318">
        <f>IF(AQ74="0",BJ74,0)</f>
        <v>0</v>
      </c>
      <c r="AI74" s="298"/>
      <c r="AJ74" s="390">
        <f>IF(AN74=0,K74,0)</f>
        <v>0</v>
      </c>
      <c r="AK74" s="390">
        <f>IF(AN74=15,K74,0)</f>
        <v>0</v>
      </c>
      <c r="AL74" s="390">
        <f>IF(AN74=21,K74,0)</f>
        <v>0</v>
      </c>
      <c r="AN74" s="318">
        <v>21</v>
      </c>
      <c r="AO74" s="318">
        <f>H74*1</f>
        <v>0</v>
      </c>
      <c r="AP74" s="318">
        <f>H74*(1-1)</f>
        <v>0</v>
      </c>
      <c r="AQ74" s="392" t="s">
        <v>241</v>
      </c>
      <c r="AV74" s="318">
        <f>AW74+AX74</f>
        <v>0</v>
      </c>
      <c r="AW74" s="318">
        <f>G74*AO74</f>
        <v>0</v>
      </c>
      <c r="AX74" s="318">
        <f>G74*AP74</f>
        <v>0</v>
      </c>
      <c r="AY74" s="320" t="s">
        <v>4841</v>
      </c>
      <c r="AZ74" s="320" t="s">
        <v>4550</v>
      </c>
      <c r="BA74" s="298" t="s">
        <v>4551</v>
      </c>
      <c r="BC74" s="318">
        <f>AW74+AX74</f>
        <v>0</v>
      </c>
      <c r="BD74" s="318">
        <f>H74/(100-BE74)*100</f>
        <v>0</v>
      </c>
      <c r="BE74" s="318">
        <v>0</v>
      </c>
      <c r="BF74" s="318">
        <f>M74</f>
        <v>4.0000000000000002E-4</v>
      </c>
      <c r="BH74" s="390">
        <f>G74*AO74</f>
        <v>0</v>
      </c>
      <c r="BI74" s="390">
        <f>G74*AP74</f>
        <v>0</v>
      </c>
      <c r="BJ74" s="390">
        <f>G74*H74</f>
        <v>0</v>
      </c>
      <c r="BK74" s="390" t="s">
        <v>484</v>
      </c>
      <c r="BL74" s="318">
        <v>728</v>
      </c>
    </row>
    <row r="75" spans="1:64">
      <c r="A75" s="314" t="s">
        <v>1175</v>
      </c>
      <c r="B75" s="315"/>
      <c r="C75" s="315" t="s">
        <v>4873</v>
      </c>
      <c r="D75" s="443" t="s">
        <v>4936</v>
      </c>
      <c r="E75" s="444"/>
      <c r="F75" s="315" t="s">
        <v>236</v>
      </c>
      <c r="G75" s="316">
        <v>1</v>
      </c>
      <c r="H75" s="316"/>
      <c r="I75" s="316">
        <f>G75*AO75</f>
        <v>0</v>
      </c>
      <c r="J75" s="316">
        <f>G75*AP75</f>
        <v>0</v>
      </c>
      <c r="K75" s="316">
        <f>G75*H75</f>
        <v>0</v>
      </c>
      <c r="L75" s="316">
        <v>0</v>
      </c>
      <c r="M75" s="316">
        <f>G75*L75</f>
        <v>0</v>
      </c>
      <c r="N75" s="317" t="s">
        <v>4548</v>
      </c>
      <c r="O75" s="291"/>
      <c r="Z75" s="318">
        <f>IF(AQ75="5",BJ75,0)</f>
        <v>0</v>
      </c>
      <c r="AB75" s="318">
        <f>IF(AQ75="1",BH75,0)</f>
        <v>0</v>
      </c>
      <c r="AC75" s="318">
        <f>IF(AQ75="1",BI75,0)</f>
        <v>0</v>
      </c>
      <c r="AD75" s="318">
        <f>IF(AQ75="7",BH75,0)</f>
        <v>0</v>
      </c>
      <c r="AE75" s="318">
        <f>IF(AQ75="7",BI75,0)</f>
        <v>0</v>
      </c>
      <c r="AF75" s="318">
        <f>IF(AQ75="2",BH75,0)</f>
        <v>0</v>
      </c>
      <c r="AG75" s="318">
        <f>IF(AQ75="2",BI75,0)</f>
        <v>0</v>
      </c>
      <c r="AH75" s="318">
        <f>IF(AQ75="0",BJ75,0)</f>
        <v>0</v>
      </c>
      <c r="AI75" s="298"/>
      <c r="AJ75" s="316">
        <f>IF(AN75=0,K75,0)</f>
        <v>0</v>
      </c>
      <c r="AK75" s="316">
        <f>IF(AN75=15,K75,0)</f>
        <v>0</v>
      </c>
      <c r="AL75" s="316">
        <f>IF(AN75=21,K75,0)</f>
        <v>0</v>
      </c>
      <c r="AN75" s="318">
        <v>21</v>
      </c>
      <c r="AO75" s="318">
        <f>H75*0</f>
        <v>0</v>
      </c>
      <c r="AP75" s="318">
        <f>H75*(1-0)</f>
        <v>0</v>
      </c>
      <c r="AQ75" s="319" t="s">
        <v>241</v>
      </c>
      <c r="AV75" s="318">
        <f>AW75+AX75</f>
        <v>0</v>
      </c>
      <c r="AW75" s="318">
        <f>G75*AO75</f>
        <v>0</v>
      </c>
      <c r="AX75" s="318">
        <f>G75*AP75</f>
        <v>0</v>
      </c>
      <c r="AY75" s="320" t="s">
        <v>4841</v>
      </c>
      <c r="AZ75" s="320" t="s">
        <v>4550</v>
      </c>
      <c r="BA75" s="298" t="s">
        <v>4551</v>
      </c>
      <c r="BC75" s="318">
        <f>AW75+AX75</f>
        <v>0</v>
      </c>
      <c r="BD75" s="318">
        <f>H75/(100-BE75)*100</f>
        <v>0</v>
      </c>
      <c r="BE75" s="318">
        <v>0</v>
      </c>
      <c r="BF75" s="318">
        <f>M75</f>
        <v>0</v>
      </c>
      <c r="BH75" s="316">
        <f>G75*AO75</f>
        <v>0</v>
      </c>
      <c r="BI75" s="316">
        <f>G75*AP75</f>
        <v>0</v>
      </c>
      <c r="BJ75" s="316">
        <f>G75*H75</f>
        <v>0</v>
      </c>
      <c r="BK75" s="316" t="s">
        <v>815</v>
      </c>
      <c r="BL75" s="318">
        <v>728</v>
      </c>
    </row>
    <row r="76" spans="1:64">
      <c r="A76" s="291"/>
      <c r="C76" s="321" t="s">
        <v>4552</v>
      </c>
      <c r="D76" s="445" t="s">
        <v>4937</v>
      </c>
      <c r="E76" s="446"/>
      <c r="F76" s="446"/>
      <c r="G76" s="446"/>
      <c r="H76" s="446"/>
      <c r="I76" s="446"/>
      <c r="J76" s="446"/>
      <c r="K76" s="446"/>
      <c r="L76" s="446"/>
      <c r="M76" s="446"/>
      <c r="N76" s="447"/>
      <c r="O76" s="291"/>
    </row>
    <row r="77" spans="1:64">
      <c r="A77" s="388" t="s">
        <v>1179</v>
      </c>
      <c r="B77" s="389"/>
      <c r="C77" s="389" t="s">
        <v>4938</v>
      </c>
      <c r="D77" s="480" t="s">
        <v>4939</v>
      </c>
      <c r="E77" s="481"/>
      <c r="F77" s="389" t="s">
        <v>236</v>
      </c>
      <c r="G77" s="390">
        <v>1</v>
      </c>
      <c r="H77" s="390"/>
      <c r="I77" s="390">
        <f>G77*AO77</f>
        <v>0</v>
      </c>
      <c r="J77" s="390">
        <f>G77*AP77</f>
        <v>0</v>
      </c>
      <c r="K77" s="390">
        <f>G77*H77</f>
        <v>0</v>
      </c>
      <c r="L77" s="390">
        <v>0</v>
      </c>
      <c r="M77" s="390">
        <f>G77*L77</f>
        <v>0</v>
      </c>
      <c r="N77" s="391" t="s">
        <v>4548</v>
      </c>
      <c r="O77" s="291"/>
      <c r="Z77" s="318">
        <f>IF(AQ77="5",BJ77,0)</f>
        <v>0</v>
      </c>
      <c r="AB77" s="318">
        <f>IF(AQ77="1",BH77,0)</f>
        <v>0</v>
      </c>
      <c r="AC77" s="318">
        <f>IF(AQ77="1",BI77,0)</f>
        <v>0</v>
      </c>
      <c r="AD77" s="318">
        <f>IF(AQ77="7",BH77,0)</f>
        <v>0</v>
      </c>
      <c r="AE77" s="318">
        <f>IF(AQ77="7",BI77,0)</f>
        <v>0</v>
      </c>
      <c r="AF77" s="318">
        <f>IF(AQ77="2",BH77,0)</f>
        <v>0</v>
      </c>
      <c r="AG77" s="318">
        <f>IF(AQ77="2",BI77,0)</f>
        <v>0</v>
      </c>
      <c r="AH77" s="318">
        <f>IF(AQ77="0",BJ77,0)</f>
        <v>0</v>
      </c>
      <c r="AI77" s="298"/>
      <c r="AJ77" s="390">
        <f>IF(AN77=0,K77,0)</f>
        <v>0</v>
      </c>
      <c r="AK77" s="390">
        <f>IF(AN77=15,K77,0)</f>
        <v>0</v>
      </c>
      <c r="AL77" s="390">
        <f>IF(AN77=21,K77,0)</f>
        <v>0</v>
      </c>
      <c r="AN77" s="318">
        <v>21</v>
      </c>
      <c r="AO77" s="318">
        <f>H77*1</f>
        <v>0</v>
      </c>
      <c r="AP77" s="318">
        <f>H77*(1-1)</f>
        <v>0</v>
      </c>
      <c r="AQ77" s="392" t="s">
        <v>241</v>
      </c>
      <c r="AV77" s="318">
        <f>AW77+AX77</f>
        <v>0</v>
      </c>
      <c r="AW77" s="318">
        <f>G77*AO77</f>
        <v>0</v>
      </c>
      <c r="AX77" s="318">
        <f>G77*AP77</f>
        <v>0</v>
      </c>
      <c r="AY77" s="320" t="s">
        <v>4841</v>
      </c>
      <c r="AZ77" s="320" t="s">
        <v>4550</v>
      </c>
      <c r="BA77" s="298" t="s">
        <v>4551</v>
      </c>
      <c r="BC77" s="318">
        <f>AW77+AX77</f>
        <v>0</v>
      </c>
      <c r="BD77" s="318">
        <f>H77/(100-BE77)*100</f>
        <v>0</v>
      </c>
      <c r="BE77" s="318">
        <v>0</v>
      </c>
      <c r="BF77" s="318">
        <f>M77</f>
        <v>0</v>
      </c>
      <c r="BH77" s="390">
        <f>G77*AO77</f>
        <v>0</v>
      </c>
      <c r="BI77" s="390">
        <f>G77*AP77</f>
        <v>0</v>
      </c>
      <c r="BJ77" s="390">
        <f>G77*H77</f>
        <v>0</v>
      </c>
      <c r="BK77" s="390" t="s">
        <v>484</v>
      </c>
      <c r="BL77" s="318">
        <v>728</v>
      </c>
    </row>
    <row r="78" spans="1:64">
      <c r="A78" s="314" t="s">
        <v>1182</v>
      </c>
      <c r="B78" s="315"/>
      <c r="C78" s="315" t="s">
        <v>4873</v>
      </c>
      <c r="D78" s="443" t="s">
        <v>4940</v>
      </c>
      <c r="E78" s="444"/>
      <c r="F78" s="315" t="s">
        <v>236</v>
      </c>
      <c r="G78" s="316">
        <v>1</v>
      </c>
      <c r="H78" s="316"/>
      <c r="I78" s="316">
        <f>G78*AO78</f>
        <v>0</v>
      </c>
      <c r="J78" s="316">
        <f>G78*AP78</f>
        <v>0</v>
      </c>
      <c r="K78" s="316">
        <f>G78*H78</f>
        <v>0</v>
      </c>
      <c r="L78" s="316">
        <v>0</v>
      </c>
      <c r="M78" s="316">
        <f>G78*L78</f>
        <v>0</v>
      </c>
      <c r="N78" s="317" t="s">
        <v>4548</v>
      </c>
      <c r="O78" s="291"/>
      <c r="Z78" s="318">
        <f>IF(AQ78="5",BJ78,0)</f>
        <v>0</v>
      </c>
      <c r="AB78" s="318">
        <f>IF(AQ78="1",BH78,0)</f>
        <v>0</v>
      </c>
      <c r="AC78" s="318">
        <f>IF(AQ78="1",BI78,0)</f>
        <v>0</v>
      </c>
      <c r="AD78" s="318">
        <f>IF(AQ78="7",BH78,0)</f>
        <v>0</v>
      </c>
      <c r="AE78" s="318">
        <f>IF(AQ78="7",BI78,0)</f>
        <v>0</v>
      </c>
      <c r="AF78" s="318">
        <f>IF(AQ78="2",BH78,0)</f>
        <v>0</v>
      </c>
      <c r="AG78" s="318">
        <f>IF(AQ78="2",BI78,0)</f>
        <v>0</v>
      </c>
      <c r="AH78" s="318">
        <f>IF(AQ78="0",BJ78,0)</f>
        <v>0</v>
      </c>
      <c r="AI78" s="298"/>
      <c r="AJ78" s="316">
        <f>IF(AN78=0,K78,0)</f>
        <v>0</v>
      </c>
      <c r="AK78" s="316">
        <f>IF(AN78=15,K78,0)</f>
        <v>0</v>
      </c>
      <c r="AL78" s="316">
        <f>IF(AN78=21,K78,0)</f>
        <v>0</v>
      </c>
      <c r="AN78" s="318">
        <v>21</v>
      </c>
      <c r="AO78" s="318">
        <f>H78*0</f>
        <v>0</v>
      </c>
      <c r="AP78" s="318">
        <f>H78*(1-0)</f>
        <v>0</v>
      </c>
      <c r="AQ78" s="319" t="s">
        <v>241</v>
      </c>
      <c r="AV78" s="318">
        <f>AW78+AX78</f>
        <v>0</v>
      </c>
      <c r="AW78" s="318">
        <f>G78*AO78</f>
        <v>0</v>
      </c>
      <c r="AX78" s="318">
        <f>G78*AP78</f>
        <v>0</v>
      </c>
      <c r="AY78" s="320" t="s">
        <v>4841</v>
      </c>
      <c r="AZ78" s="320" t="s">
        <v>4550</v>
      </c>
      <c r="BA78" s="298" t="s">
        <v>4551</v>
      </c>
      <c r="BC78" s="318">
        <f>AW78+AX78</f>
        <v>0</v>
      </c>
      <c r="BD78" s="318">
        <f>H78/(100-BE78)*100</f>
        <v>0</v>
      </c>
      <c r="BE78" s="318">
        <v>0</v>
      </c>
      <c r="BF78" s="318">
        <f>M78</f>
        <v>0</v>
      </c>
      <c r="BH78" s="316">
        <f>G78*AO78</f>
        <v>0</v>
      </c>
      <c r="BI78" s="316">
        <f>G78*AP78</f>
        <v>0</v>
      </c>
      <c r="BJ78" s="316">
        <f>G78*H78</f>
        <v>0</v>
      </c>
      <c r="BK78" s="316" t="s">
        <v>815</v>
      </c>
      <c r="BL78" s="318">
        <v>728</v>
      </c>
    </row>
    <row r="79" spans="1:64">
      <c r="A79" s="291"/>
      <c r="C79" s="321" t="s">
        <v>4552</v>
      </c>
      <c r="D79" s="445" t="s">
        <v>4941</v>
      </c>
      <c r="E79" s="446"/>
      <c r="F79" s="446"/>
      <c r="G79" s="446"/>
      <c r="H79" s="446"/>
      <c r="I79" s="446"/>
      <c r="J79" s="446"/>
      <c r="K79" s="446"/>
      <c r="L79" s="446"/>
      <c r="M79" s="446"/>
      <c r="N79" s="447"/>
      <c r="O79" s="291"/>
    </row>
    <row r="80" spans="1:64">
      <c r="A80" s="388" t="s">
        <v>1185</v>
      </c>
      <c r="B80" s="389"/>
      <c r="C80" s="389" t="s">
        <v>4942</v>
      </c>
      <c r="D80" s="480" t="s">
        <v>4943</v>
      </c>
      <c r="E80" s="481"/>
      <c r="F80" s="389" t="s">
        <v>236</v>
      </c>
      <c r="G80" s="390">
        <v>1</v>
      </c>
      <c r="H80" s="390"/>
      <c r="I80" s="390">
        <f t="shared" ref="I80:I85" si="72">G80*AO80</f>
        <v>0</v>
      </c>
      <c r="J80" s="390">
        <f t="shared" ref="J80:J85" si="73">G80*AP80</f>
        <v>0</v>
      </c>
      <c r="K80" s="390">
        <f t="shared" ref="K80:K85" si="74">G80*H80</f>
        <v>0</v>
      </c>
      <c r="L80" s="390">
        <v>0</v>
      </c>
      <c r="M80" s="390">
        <f t="shared" ref="M80:M85" si="75">G80*L80</f>
        <v>0</v>
      </c>
      <c r="N80" s="391" t="s">
        <v>4548</v>
      </c>
      <c r="O80" s="291"/>
      <c r="Z80" s="318">
        <f t="shared" ref="Z80:Z85" si="76">IF(AQ80="5",BJ80,0)</f>
        <v>0</v>
      </c>
      <c r="AB80" s="318">
        <f t="shared" ref="AB80:AB85" si="77">IF(AQ80="1",BH80,0)</f>
        <v>0</v>
      </c>
      <c r="AC80" s="318">
        <f t="shared" ref="AC80:AC85" si="78">IF(AQ80="1",BI80,0)</f>
        <v>0</v>
      </c>
      <c r="AD80" s="318">
        <f t="shared" ref="AD80:AD85" si="79">IF(AQ80="7",BH80,0)</f>
        <v>0</v>
      </c>
      <c r="AE80" s="318">
        <f t="shared" ref="AE80:AE85" si="80">IF(AQ80="7",BI80,0)</f>
        <v>0</v>
      </c>
      <c r="AF80" s="318">
        <f t="shared" ref="AF80:AF85" si="81">IF(AQ80="2",BH80,0)</f>
        <v>0</v>
      </c>
      <c r="AG80" s="318">
        <f t="shared" ref="AG80:AG85" si="82">IF(AQ80="2",BI80,0)</f>
        <v>0</v>
      </c>
      <c r="AH80" s="318">
        <f t="shared" ref="AH80:AH85" si="83">IF(AQ80="0",BJ80,0)</f>
        <v>0</v>
      </c>
      <c r="AI80" s="298"/>
      <c r="AJ80" s="390">
        <f t="shared" ref="AJ80:AJ85" si="84">IF(AN80=0,K80,0)</f>
        <v>0</v>
      </c>
      <c r="AK80" s="390">
        <f t="shared" ref="AK80:AK85" si="85">IF(AN80=15,K80,0)</f>
        <v>0</v>
      </c>
      <c r="AL80" s="390">
        <f t="shared" ref="AL80:AL85" si="86">IF(AN80=21,K80,0)</f>
        <v>0</v>
      </c>
      <c r="AN80" s="318">
        <v>21</v>
      </c>
      <c r="AO80" s="318">
        <f>H80*1</f>
        <v>0</v>
      </c>
      <c r="AP80" s="318">
        <f>H80*(1-1)</f>
        <v>0</v>
      </c>
      <c r="AQ80" s="392" t="s">
        <v>241</v>
      </c>
      <c r="AV80" s="318">
        <f t="shared" ref="AV80:AV85" si="87">AW80+AX80</f>
        <v>0</v>
      </c>
      <c r="AW80" s="318">
        <f t="shared" ref="AW80:AW85" si="88">G80*AO80</f>
        <v>0</v>
      </c>
      <c r="AX80" s="318">
        <f t="shared" ref="AX80:AX85" si="89">G80*AP80</f>
        <v>0</v>
      </c>
      <c r="AY80" s="320" t="s">
        <v>4841</v>
      </c>
      <c r="AZ80" s="320" t="s">
        <v>4550</v>
      </c>
      <c r="BA80" s="298" t="s">
        <v>4551</v>
      </c>
      <c r="BC80" s="318">
        <f t="shared" ref="BC80:BC85" si="90">AW80+AX80</f>
        <v>0</v>
      </c>
      <c r="BD80" s="318">
        <f t="shared" ref="BD80:BD85" si="91">H80/(100-BE80)*100</f>
        <v>0</v>
      </c>
      <c r="BE80" s="318">
        <v>0</v>
      </c>
      <c r="BF80" s="318">
        <f t="shared" ref="BF80:BF85" si="92">M80</f>
        <v>0</v>
      </c>
      <c r="BH80" s="390">
        <f t="shared" ref="BH80:BH85" si="93">G80*AO80</f>
        <v>0</v>
      </c>
      <c r="BI80" s="390">
        <f t="shared" ref="BI80:BI85" si="94">G80*AP80</f>
        <v>0</v>
      </c>
      <c r="BJ80" s="390">
        <f t="shared" ref="BJ80:BJ85" si="95">G80*H80</f>
        <v>0</v>
      </c>
      <c r="BK80" s="390" t="s">
        <v>484</v>
      </c>
      <c r="BL80" s="318">
        <v>728</v>
      </c>
    </row>
    <row r="81" spans="1:64">
      <c r="A81" s="314" t="s">
        <v>1187</v>
      </c>
      <c r="B81" s="315"/>
      <c r="C81" s="315" t="s">
        <v>4885</v>
      </c>
      <c r="D81" s="443" t="s">
        <v>4944</v>
      </c>
      <c r="E81" s="444"/>
      <c r="F81" s="315" t="s">
        <v>236</v>
      </c>
      <c r="G81" s="316">
        <v>2</v>
      </c>
      <c r="H81" s="316"/>
      <c r="I81" s="316">
        <f t="shared" si="72"/>
        <v>0</v>
      </c>
      <c r="J81" s="316">
        <f t="shared" si="73"/>
        <v>0</v>
      </c>
      <c r="K81" s="316">
        <f t="shared" si="74"/>
        <v>0</v>
      </c>
      <c r="L81" s="316">
        <v>0</v>
      </c>
      <c r="M81" s="316">
        <f t="shared" si="75"/>
        <v>0</v>
      </c>
      <c r="N81" s="317" t="s">
        <v>4548</v>
      </c>
      <c r="O81" s="291"/>
      <c r="Z81" s="318">
        <f t="shared" si="76"/>
        <v>0</v>
      </c>
      <c r="AB81" s="318">
        <f t="shared" si="77"/>
        <v>0</v>
      </c>
      <c r="AC81" s="318">
        <f t="shared" si="78"/>
        <v>0</v>
      </c>
      <c r="AD81" s="318">
        <f t="shared" si="79"/>
        <v>0</v>
      </c>
      <c r="AE81" s="318">
        <f t="shared" si="80"/>
        <v>0</v>
      </c>
      <c r="AF81" s="318">
        <f t="shared" si="81"/>
        <v>0</v>
      </c>
      <c r="AG81" s="318">
        <f t="shared" si="82"/>
        <v>0</v>
      </c>
      <c r="AH81" s="318">
        <f t="shared" si="83"/>
        <v>0</v>
      </c>
      <c r="AI81" s="298"/>
      <c r="AJ81" s="316">
        <f t="shared" si="84"/>
        <v>0</v>
      </c>
      <c r="AK81" s="316">
        <f t="shared" si="85"/>
        <v>0</v>
      </c>
      <c r="AL81" s="316">
        <f t="shared" si="86"/>
        <v>0</v>
      </c>
      <c r="AN81" s="318">
        <v>21</v>
      </c>
      <c r="AO81" s="318">
        <f>H81*0</f>
        <v>0</v>
      </c>
      <c r="AP81" s="318">
        <f>H81*(1-0)</f>
        <v>0</v>
      </c>
      <c r="AQ81" s="319" t="s">
        <v>241</v>
      </c>
      <c r="AV81" s="318">
        <f t="shared" si="87"/>
        <v>0</v>
      </c>
      <c r="AW81" s="318">
        <f t="shared" si="88"/>
        <v>0</v>
      </c>
      <c r="AX81" s="318">
        <f t="shared" si="89"/>
        <v>0</v>
      </c>
      <c r="AY81" s="320" t="s">
        <v>4841</v>
      </c>
      <c r="AZ81" s="320" t="s">
        <v>4550</v>
      </c>
      <c r="BA81" s="298" t="s">
        <v>4551</v>
      </c>
      <c r="BC81" s="318">
        <f t="shared" si="90"/>
        <v>0</v>
      </c>
      <c r="BD81" s="318">
        <f t="shared" si="91"/>
        <v>0</v>
      </c>
      <c r="BE81" s="318">
        <v>0</v>
      </c>
      <c r="BF81" s="318">
        <f t="shared" si="92"/>
        <v>0</v>
      </c>
      <c r="BH81" s="316">
        <f t="shared" si="93"/>
        <v>0</v>
      </c>
      <c r="BI81" s="316">
        <f t="shared" si="94"/>
        <v>0</v>
      </c>
      <c r="BJ81" s="316">
        <f t="shared" si="95"/>
        <v>0</v>
      </c>
      <c r="BK81" s="316" t="s">
        <v>815</v>
      </c>
      <c r="BL81" s="318">
        <v>728</v>
      </c>
    </row>
    <row r="82" spans="1:64">
      <c r="A82" s="388" t="s">
        <v>1190</v>
      </c>
      <c r="B82" s="389"/>
      <c r="C82" s="389" t="s">
        <v>4945</v>
      </c>
      <c r="D82" s="480" t="s">
        <v>4946</v>
      </c>
      <c r="E82" s="481"/>
      <c r="F82" s="389" t="s">
        <v>236</v>
      </c>
      <c r="G82" s="390">
        <v>2</v>
      </c>
      <c r="H82" s="390"/>
      <c r="I82" s="390">
        <f t="shared" si="72"/>
        <v>0</v>
      </c>
      <c r="J82" s="390">
        <f t="shared" si="73"/>
        <v>0</v>
      </c>
      <c r="K82" s="390">
        <f t="shared" si="74"/>
        <v>0</v>
      </c>
      <c r="L82" s="390">
        <v>7.0000000000000001E-3</v>
      </c>
      <c r="M82" s="390">
        <f t="shared" si="75"/>
        <v>1.4E-2</v>
      </c>
      <c r="N82" s="391" t="s">
        <v>4548</v>
      </c>
      <c r="O82" s="291"/>
      <c r="Z82" s="318">
        <f t="shared" si="76"/>
        <v>0</v>
      </c>
      <c r="AB82" s="318">
        <f t="shared" si="77"/>
        <v>0</v>
      </c>
      <c r="AC82" s="318">
        <f t="shared" si="78"/>
        <v>0</v>
      </c>
      <c r="AD82" s="318">
        <f t="shared" si="79"/>
        <v>0</v>
      </c>
      <c r="AE82" s="318">
        <f t="shared" si="80"/>
        <v>0</v>
      </c>
      <c r="AF82" s="318">
        <f t="shared" si="81"/>
        <v>0</v>
      </c>
      <c r="AG82" s="318">
        <f t="shared" si="82"/>
        <v>0</v>
      </c>
      <c r="AH82" s="318">
        <f t="shared" si="83"/>
        <v>0</v>
      </c>
      <c r="AI82" s="298"/>
      <c r="AJ82" s="390">
        <f t="shared" si="84"/>
        <v>0</v>
      </c>
      <c r="AK82" s="390">
        <f t="shared" si="85"/>
        <v>0</v>
      </c>
      <c r="AL82" s="390">
        <f t="shared" si="86"/>
        <v>0</v>
      </c>
      <c r="AN82" s="318">
        <v>21</v>
      </c>
      <c r="AO82" s="318">
        <f>H82*1</f>
        <v>0</v>
      </c>
      <c r="AP82" s="318">
        <f>H82*(1-1)</f>
        <v>0</v>
      </c>
      <c r="AQ82" s="392" t="s">
        <v>241</v>
      </c>
      <c r="AV82" s="318">
        <f t="shared" si="87"/>
        <v>0</v>
      </c>
      <c r="AW82" s="318">
        <f t="shared" si="88"/>
        <v>0</v>
      </c>
      <c r="AX82" s="318">
        <f t="shared" si="89"/>
        <v>0</v>
      </c>
      <c r="AY82" s="320" t="s">
        <v>4841</v>
      </c>
      <c r="AZ82" s="320" t="s">
        <v>4550</v>
      </c>
      <c r="BA82" s="298" t="s">
        <v>4551</v>
      </c>
      <c r="BC82" s="318">
        <f t="shared" si="90"/>
        <v>0</v>
      </c>
      <c r="BD82" s="318">
        <f t="shared" si="91"/>
        <v>0</v>
      </c>
      <c r="BE82" s="318">
        <v>0</v>
      </c>
      <c r="BF82" s="318">
        <f t="shared" si="92"/>
        <v>1.4E-2</v>
      </c>
      <c r="BH82" s="390">
        <f t="shared" si="93"/>
        <v>0</v>
      </c>
      <c r="BI82" s="390">
        <f t="shared" si="94"/>
        <v>0</v>
      </c>
      <c r="BJ82" s="390">
        <f t="shared" si="95"/>
        <v>0</v>
      </c>
      <c r="BK82" s="390" t="s">
        <v>484</v>
      </c>
      <c r="BL82" s="318">
        <v>728</v>
      </c>
    </row>
    <row r="83" spans="1:64">
      <c r="A83" s="314" t="s">
        <v>1192</v>
      </c>
      <c r="B83" s="315"/>
      <c r="C83" s="315" t="s">
        <v>4912</v>
      </c>
      <c r="D83" s="443" t="s">
        <v>4913</v>
      </c>
      <c r="E83" s="444"/>
      <c r="F83" s="315" t="s">
        <v>476</v>
      </c>
      <c r="G83" s="316">
        <v>66</v>
      </c>
      <c r="H83" s="316"/>
      <c r="I83" s="316">
        <f t="shared" si="72"/>
        <v>0</v>
      </c>
      <c r="J83" s="316">
        <f t="shared" si="73"/>
        <v>0</v>
      </c>
      <c r="K83" s="316">
        <f t="shared" si="74"/>
        <v>0</v>
      </c>
      <c r="L83" s="316">
        <v>0</v>
      </c>
      <c r="M83" s="316">
        <f t="shared" si="75"/>
        <v>0</v>
      </c>
      <c r="N83" s="317" t="s">
        <v>4548</v>
      </c>
      <c r="O83" s="291"/>
      <c r="Z83" s="318">
        <f t="shared" si="76"/>
        <v>0</v>
      </c>
      <c r="AB83" s="318">
        <f t="shared" si="77"/>
        <v>0</v>
      </c>
      <c r="AC83" s="318">
        <f t="shared" si="78"/>
        <v>0</v>
      </c>
      <c r="AD83" s="318">
        <f t="shared" si="79"/>
        <v>0</v>
      </c>
      <c r="AE83" s="318">
        <f t="shared" si="80"/>
        <v>0</v>
      </c>
      <c r="AF83" s="318">
        <f t="shared" si="81"/>
        <v>0</v>
      </c>
      <c r="AG83" s="318">
        <f t="shared" si="82"/>
        <v>0</v>
      </c>
      <c r="AH83" s="318">
        <f t="shared" si="83"/>
        <v>0</v>
      </c>
      <c r="AI83" s="298"/>
      <c r="AJ83" s="316">
        <f t="shared" si="84"/>
        <v>0</v>
      </c>
      <c r="AK83" s="316">
        <f t="shared" si="85"/>
        <v>0</v>
      </c>
      <c r="AL83" s="316">
        <f t="shared" si="86"/>
        <v>0</v>
      </c>
      <c r="AN83" s="318">
        <v>21</v>
      </c>
      <c r="AO83" s="318">
        <f>H83*0</f>
        <v>0</v>
      </c>
      <c r="AP83" s="318">
        <f>H83*(1-0)</f>
        <v>0</v>
      </c>
      <c r="AQ83" s="319" t="s">
        <v>241</v>
      </c>
      <c r="AV83" s="318">
        <f t="shared" si="87"/>
        <v>0</v>
      </c>
      <c r="AW83" s="318">
        <f t="shared" si="88"/>
        <v>0</v>
      </c>
      <c r="AX83" s="318">
        <f t="shared" si="89"/>
        <v>0</v>
      </c>
      <c r="AY83" s="320" t="s">
        <v>4841</v>
      </c>
      <c r="AZ83" s="320" t="s">
        <v>4550</v>
      </c>
      <c r="BA83" s="298" t="s">
        <v>4551</v>
      </c>
      <c r="BC83" s="318">
        <f t="shared" si="90"/>
        <v>0</v>
      </c>
      <c r="BD83" s="318">
        <f t="shared" si="91"/>
        <v>0</v>
      </c>
      <c r="BE83" s="318">
        <v>0</v>
      </c>
      <c r="BF83" s="318">
        <f t="shared" si="92"/>
        <v>0</v>
      </c>
      <c r="BH83" s="316">
        <f t="shared" si="93"/>
        <v>0</v>
      </c>
      <c r="BI83" s="316">
        <f t="shared" si="94"/>
        <v>0</v>
      </c>
      <c r="BJ83" s="316">
        <f t="shared" si="95"/>
        <v>0</v>
      </c>
      <c r="BK83" s="316" t="s">
        <v>815</v>
      </c>
      <c r="BL83" s="318">
        <v>728</v>
      </c>
    </row>
    <row r="84" spans="1:64">
      <c r="A84" s="388" t="s">
        <v>1195</v>
      </c>
      <c r="B84" s="389"/>
      <c r="C84" s="389" t="s">
        <v>4916</v>
      </c>
      <c r="D84" s="480" t="s">
        <v>4917</v>
      </c>
      <c r="E84" s="481"/>
      <c r="F84" s="389" t="s">
        <v>476</v>
      </c>
      <c r="G84" s="390">
        <v>66</v>
      </c>
      <c r="H84" s="390"/>
      <c r="I84" s="390">
        <f t="shared" si="72"/>
        <v>0</v>
      </c>
      <c r="J84" s="390">
        <f t="shared" si="73"/>
        <v>0</v>
      </c>
      <c r="K84" s="390">
        <f t="shared" si="74"/>
        <v>0</v>
      </c>
      <c r="L84" s="390">
        <v>2.0300000000000001E-3</v>
      </c>
      <c r="M84" s="390">
        <f t="shared" si="75"/>
        <v>0.13398000000000002</v>
      </c>
      <c r="N84" s="391" t="s">
        <v>4548</v>
      </c>
      <c r="O84" s="291"/>
      <c r="Z84" s="318">
        <f t="shared" si="76"/>
        <v>0</v>
      </c>
      <c r="AB84" s="318">
        <f t="shared" si="77"/>
        <v>0</v>
      </c>
      <c r="AC84" s="318">
        <f t="shared" si="78"/>
        <v>0</v>
      </c>
      <c r="AD84" s="318">
        <f t="shared" si="79"/>
        <v>0</v>
      </c>
      <c r="AE84" s="318">
        <f t="shared" si="80"/>
        <v>0</v>
      </c>
      <c r="AF84" s="318">
        <f t="shared" si="81"/>
        <v>0</v>
      </c>
      <c r="AG84" s="318">
        <f t="shared" si="82"/>
        <v>0</v>
      </c>
      <c r="AH84" s="318">
        <f t="shared" si="83"/>
        <v>0</v>
      </c>
      <c r="AI84" s="298"/>
      <c r="AJ84" s="390">
        <f t="shared" si="84"/>
        <v>0</v>
      </c>
      <c r="AK84" s="390">
        <f t="shared" si="85"/>
        <v>0</v>
      </c>
      <c r="AL84" s="390">
        <f t="shared" si="86"/>
        <v>0</v>
      </c>
      <c r="AN84" s="318">
        <v>21</v>
      </c>
      <c r="AO84" s="318">
        <f>H84*1</f>
        <v>0</v>
      </c>
      <c r="AP84" s="318">
        <f>H84*(1-1)</f>
        <v>0</v>
      </c>
      <c r="AQ84" s="392" t="s">
        <v>241</v>
      </c>
      <c r="AV84" s="318">
        <f t="shared" si="87"/>
        <v>0</v>
      </c>
      <c r="AW84" s="318">
        <f t="shared" si="88"/>
        <v>0</v>
      </c>
      <c r="AX84" s="318">
        <f t="shared" si="89"/>
        <v>0</v>
      </c>
      <c r="AY84" s="320" t="s">
        <v>4841</v>
      </c>
      <c r="AZ84" s="320" t="s">
        <v>4550</v>
      </c>
      <c r="BA84" s="298" t="s">
        <v>4551</v>
      </c>
      <c r="BC84" s="318">
        <f t="shared" si="90"/>
        <v>0</v>
      </c>
      <c r="BD84" s="318">
        <f t="shared" si="91"/>
        <v>0</v>
      </c>
      <c r="BE84" s="318">
        <v>0</v>
      </c>
      <c r="BF84" s="318">
        <f t="shared" si="92"/>
        <v>0.13398000000000002</v>
      </c>
      <c r="BH84" s="390">
        <f t="shared" si="93"/>
        <v>0</v>
      </c>
      <c r="BI84" s="390">
        <f t="shared" si="94"/>
        <v>0</v>
      </c>
      <c r="BJ84" s="390">
        <f t="shared" si="95"/>
        <v>0</v>
      </c>
      <c r="BK84" s="390" t="s">
        <v>484</v>
      </c>
      <c r="BL84" s="318">
        <v>728</v>
      </c>
    </row>
    <row r="85" spans="1:64">
      <c r="A85" s="314" t="s">
        <v>1203</v>
      </c>
      <c r="B85" s="315"/>
      <c r="C85" s="315" t="s">
        <v>4947</v>
      </c>
      <c r="D85" s="443" t="s">
        <v>4948</v>
      </c>
      <c r="E85" s="444"/>
      <c r="F85" s="315" t="s">
        <v>183</v>
      </c>
      <c r="G85" s="316">
        <v>0.51661000000000001</v>
      </c>
      <c r="H85" s="316"/>
      <c r="I85" s="316">
        <f t="shared" si="72"/>
        <v>0</v>
      </c>
      <c r="J85" s="316">
        <f t="shared" si="73"/>
        <v>0</v>
      </c>
      <c r="K85" s="316">
        <f t="shared" si="74"/>
        <v>0</v>
      </c>
      <c r="L85" s="316">
        <v>0</v>
      </c>
      <c r="M85" s="316">
        <f t="shared" si="75"/>
        <v>0</v>
      </c>
      <c r="N85" s="317" t="s">
        <v>4548</v>
      </c>
      <c r="O85" s="291"/>
      <c r="Z85" s="318">
        <f t="shared" si="76"/>
        <v>0</v>
      </c>
      <c r="AB85" s="318">
        <f t="shared" si="77"/>
        <v>0</v>
      </c>
      <c r="AC85" s="318">
        <f t="shared" si="78"/>
        <v>0</v>
      </c>
      <c r="AD85" s="318">
        <f t="shared" si="79"/>
        <v>0</v>
      </c>
      <c r="AE85" s="318">
        <f t="shared" si="80"/>
        <v>0</v>
      </c>
      <c r="AF85" s="318">
        <f t="shared" si="81"/>
        <v>0</v>
      </c>
      <c r="AG85" s="318">
        <f t="shared" si="82"/>
        <v>0</v>
      </c>
      <c r="AH85" s="318">
        <f t="shared" si="83"/>
        <v>0</v>
      </c>
      <c r="AI85" s="298"/>
      <c r="AJ85" s="316">
        <f t="shared" si="84"/>
        <v>0</v>
      </c>
      <c r="AK85" s="316">
        <f t="shared" si="85"/>
        <v>0</v>
      </c>
      <c r="AL85" s="316">
        <f t="shared" si="86"/>
        <v>0</v>
      </c>
      <c r="AN85" s="318">
        <v>21</v>
      </c>
      <c r="AO85" s="318">
        <f>H85*0</f>
        <v>0</v>
      </c>
      <c r="AP85" s="318">
        <f>H85*(1-0)</f>
        <v>0</v>
      </c>
      <c r="AQ85" s="319" t="s">
        <v>200</v>
      </c>
      <c r="AV85" s="318">
        <f t="shared" si="87"/>
        <v>0</v>
      </c>
      <c r="AW85" s="318">
        <f t="shared" si="88"/>
        <v>0</v>
      </c>
      <c r="AX85" s="318">
        <f t="shared" si="89"/>
        <v>0</v>
      </c>
      <c r="AY85" s="320" t="s">
        <v>4841</v>
      </c>
      <c r="AZ85" s="320" t="s">
        <v>4550</v>
      </c>
      <c r="BA85" s="298" t="s">
        <v>4551</v>
      </c>
      <c r="BC85" s="318">
        <f t="shared" si="90"/>
        <v>0</v>
      </c>
      <c r="BD85" s="318">
        <f t="shared" si="91"/>
        <v>0</v>
      </c>
      <c r="BE85" s="318">
        <v>0</v>
      </c>
      <c r="BF85" s="318">
        <f t="shared" si="92"/>
        <v>0</v>
      </c>
      <c r="BH85" s="316">
        <f t="shared" si="93"/>
        <v>0</v>
      </c>
      <c r="BI85" s="316">
        <f t="shared" si="94"/>
        <v>0</v>
      </c>
      <c r="BJ85" s="316">
        <f t="shared" si="95"/>
        <v>0</v>
      </c>
      <c r="BK85" s="316" t="s">
        <v>815</v>
      </c>
      <c r="BL85" s="318">
        <v>728</v>
      </c>
    </row>
    <row r="86" spans="1:64">
      <c r="A86" s="322"/>
      <c r="B86" s="323"/>
      <c r="C86" s="323" t="s">
        <v>2708</v>
      </c>
      <c r="D86" s="441" t="s">
        <v>4681</v>
      </c>
      <c r="E86" s="442"/>
      <c r="F86" s="324" t="s">
        <v>4502</v>
      </c>
      <c r="G86" s="324" t="s">
        <v>4502</v>
      </c>
      <c r="H86" s="324" t="s">
        <v>4502</v>
      </c>
      <c r="I86" s="313">
        <f>SUM(I87:I89)</f>
        <v>0</v>
      </c>
      <c r="J86" s="313">
        <f>SUM(J87:J89)</f>
        <v>0</v>
      </c>
      <c r="K86" s="313">
        <f>SUM(K87:K89)</f>
        <v>0</v>
      </c>
      <c r="L86" s="298"/>
      <c r="M86" s="313">
        <f>SUM(M87:M89)</f>
        <v>0</v>
      </c>
      <c r="N86" s="325"/>
      <c r="O86" s="291"/>
      <c r="AI86" s="298"/>
      <c r="AS86" s="313">
        <f>SUM(AJ87:AJ89)</f>
        <v>0</v>
      </c>
      <c r="AT86" s="313">
        <f>SUM(AK87:AK89)</f>
        <v>0</v>
      </c>
      <c r="AU86" s="313">
        <f>SUM(AL87:AL89)</f>
        <v>0</v>
      </c>
    </row>
    <row r="87" spans="1:64">
      <c r="A87" s="314" t="s">
        <v>1210</v>
      </c>
      <c r="B87" s="315"/>
      <c r="C87" s="315" t="s">
        <v>4949</v>
      </c>
      <c r="D87" s="443" t="s">
        <v>4950</v>
      </c>
      <c r="E87" s="444"/>
      <c r="F87" s="315" t="s">
        <v>4684</v>
      </c>
      <c r="G87" s="316">
        <v>16</v>
      </c>
      <c r="H87" s="316"/>
      <c r="I87" s="316">
        <f>G87*AO87</f>
        <v>0</v>
      </c>
      <c r="J87" s="316">
        <f>G87*AP87</f>
        <v>0</v>
      </c>
      <c r="K87" s="316">
        <f>G87*H87</f>
        <v>0</v>
      </c>
      <c r="L87" s="316">
        <v>0</v>
      </c>
      <c r="M87" s="316">
        <f>G87*L87</f>
        <v>0</v>
      </c>
      <c r="N87" s="317" t="s">
        <v>4548</v>
      </c>
      <c r="O87" s="291"/>
      <c r="Z87" s="318">
        <f>IF(AQ87="5",BJ87,0)</f>
        <v>0</v>
      </c>
      <c r="AB87" s="318">
        <f>IF(AQ87="1",BH87,0)</f>
        <v>0</v>
      </c>
      <c r="AC87" s="318">
        <f>IF(AQ87="1",BI87,0)</f>
        <v>0</v>
      </c>
      <c r="AD87" s="318">
        <f>IF(AQ87="7",BH87,0)</f>
        <v>0</v>
      </c>
      <c r="AE87" s="318">
        <f>IF(AQ87="7",BI87,0)</f>
        <v>0</v>
      </c>
      <c r="AF87" s="318">
        <f>IF(AQ87="2",BH87,0)</f>
        <v>0</v>
      </c>
      <c r="AG87" s="318">
        <f>IF(AQ87="2",BI87,0)</f>
        <v>0</v>
      </c>
      <c r="AH87" s="318">
        <f>IF(AQ87="0",BJ87,0)</f>
        <v>0</v>
      </c>
      <c r="AI87" s="298"/>
      <c r="AJ87" s="316">
        <f>IF(AN87=0,K87,0)</f>
        <v>0</v>
      </c>
      <c r="AK87" s="316">
        <f>IF(AN87=15,K87,0)</f>
        <v>0</v>
      </c>
      <c r="AL87" s="316">
        <f>IF(AN87=21,K87,0)</f>
        <v>0</v>
      </c>
      <c r="AN87" s="318">
        <v>21</v>
      </c>
      <c r="AO87" s="318">
        <f>H87*0</f>
        <v>0</v>
      </c>
      <c r="AP87" s="318">
        <f>H87*(1-0)</f>
        <v>0</v>
      </c>
      <c r="AQ87" s="319" t="s">
        <v>85</v>
      </c>
      <c r="AV87" s="318">
        <f>AW87+AX87</f>
        <v>0</v>
      </c>
      <c r="AW87" s="318">
        <f>G87*AO87</f>
        <v>0</v>
      </c>
      <c r="AX87" s="318">
        <f>G87*AP87</f>
        <v>0</v>
      </c>
      <c r="AY87" s="320" t="s">
        <v>4685</v>
      </c>
      <c r="AZ87" s="320" t="s">
        <v>4686</v>
      </c>
      <c r="BA87" s="298" t="s">
        <v>4551</v>
      </c>
      <c r="BC87" s="318">
        <f>AW87+AX87</f>
        <v>0</v>
      </c>
      <c r="BD87" s="318">
        <f>H87/(100-BE87)*100</f>
        <v>0</v>
      </c>
      <c r="BE87" s="318">
        <v>0</v>
      </c>
      <c r="BF87" s="318">
        <f>M87</f>
        <v>0</v>
      </c>
      <c r="BH87" s="316">
        <f>G87*AO87</f>
        <v>0</v>
      </c>
      <c r="BI87" s="316">
        <f>G87*AP87</f>
        <v>0</v>
      </c>
      <c r="BJ87" s="316">
        <f>G87*H87</f>
        <v>0</v>
      </c>
      <c r="BK87" s="316" t="s">
        <v>815</v>
      </c>
      <c r="BL87" s="318">
        <v>90</v>
      </c>
    </row>
    <row r="88" spans="1:64">
      <c r="A88" s="291"/>
      <c r="C88" s="321" t="s">
        <v>4552</v>
      </c>
      <c r="D88" s="445" t="s">
        <v>4951</v>
      </c>
      <c r="E88" s="446"/>
      <c r="F88" s="446"/>
      <c r="G88" s="446"/>
      <c r="H88" s="446"/>
      <c r="I88" s="446"/>
      <c r="J88" s="446"/>
      <c r="K88" s="446"/>
      <c r="L88" s="446"/>
      <c r="M88" s="446"/>
      <c r="N88" s="447"/>
      <c r="O88" s="291"/>
    </row>
    <row r="89" spans="1:64">
      <c r="A89" s="393" t="s">
        <v>1216</v>
      </c>
      <c r="B89" s="394"/>
      <c r="C89" s="394" t="s">
        <v>4949</v>
      </c>
      <c r="D89" s="478" t="s">
        <v>4952</v>
      </c>
      <c r="E89" s="479"/>
      <c r="F89" s="394" t="s">
        <v>4684</v>
      </c>
      <c r="G89" s="395">
        <v>12</v>
      </c>
      <c r="H89" s="395"/>
      <c r="I89" s="395">
        <f>G89*AO89</f>
        <v>0</v>
      </c>
      <c r="J89" s="395">
        <f>G89*AP89</f>
        <v>0</v>
      </c>
      <c r="K89" s="395">
        <f>G89*H89</f>
        <v>0</v>
      </c>
      <c r="L89" s="395">
        <v>0</v>
      </c>
      <c r="M89" s="395">
        <f>G89*L89</f>
        <v>0</v>
      </c>
      <c r="N89" s="396" t="s">
        <v>4548</v>
      </c>
      <c r="O89" s="291"/>
      <c r="Z89" s="318">
        <f>IF(AQ89="5",BJ89,0)</f>
        <v>0</v>
      </c>
      <c r="AB89" s="318">
        <f>IF(AQ89="1",BH89,0)</f>
        <v>0</v>
      </c>
      <c r="AC89" s="318">
        <f>IF(AQ89="1",BI89,0)</f>
        <v>0</v>
      </c>
      <c r="AD89" s="318">
        <f>IF(AQ89="7",BH89,0)</f>
        <v>0</v>
      </c>
      <c r="AE89" s="318">
        <f>IF(AQ89="7",BI89,0)</f>
        <v>0</v>
      </c>
      <c r="AF89" s="318">
        <f>IF(AQ89="2",BH89,0)</f>
        <v>0</v>
      </c>
      <c r="AG89" s="318">
        <f>IF(AQ89="2",BI89,0)</f>
        <v>0</v>
      </c>
      <c r="AH89" s="318">
        <f>IF(AQ89="0",BJ89,0)</f>
        <v>0</v>
      </c>
      <c r="AI89" s="298"/>
      <c r="AJ89" s="316">
        <f>IF(AN89=0,K89,0)</f>
        <v>0</v>
      </c>
      <c r="AK89" s="316">
        <f>IF(AN89=15,K89,0)</f>
        <v>0</v>
      </c>
      <c r="AL89" s="316">
        <f>IF(AN89=21,K89,0)</f>
        <v>0</v>
      </c>
      <c r="AN89" s="318">
        <v>21</v>
      </c>
      <c r="AO89" s="318">
        <f>H89*0</f>
        <v>0</v>
      </c>
      <c r="AP89" s="318">
        <f>H89*(1-0)</f>
        <v>0</v>
      </c>
      <c r="AQ89" s="319" t="s">
        <v>85</v>
      </c>
      <c r="AV89" s="318">
        <f>AW89+AX89</f>
        <v>0</v>
      </c>
      <c r="AW89" s="318">
        <f>G89*AO89</f>
        <v>0</v>
      </c>
      <c r="AX89" s="318">
        <f>G89*AP89</f>
        <v>0</v>
      </c>
      <c r="AY89" s="320" t="s">
        <v>4685</v>
      </c>
      <c r="AZ89" s="320" t="s">
        <v>4686</v>
      </c>
      <c r="BA89" s="298" t="s">
        <v>4551</v>
      </c>
      <c r="BC89" s="318">
        <f>AW89+AX89</f>
        <v>0</v>
      </c>
      <c r="BD89" s="318">
        <f>H89/(100-BE89)*100</f>
        <v>0</v>
      </c>
      <c r="BE89" s="318">
        <v>0</v>
      </c>
      <c r="BF89" s="318">
        <f>M89</f>
        <v>0</v>
      </c>
      <c r="BH89" s="316">
        <f>G89*AO89</f>
        <v>0</v>
      </c>
      <c r="BI89" s="316">
        <f>G89*AP89</f>
        <v>0</v>
      </c>
      <c r="BJ89" s="316">
        <f>G89*H89</f>
        <v>0</v>
      </c>
      <c r="BK89" s="316" t="s">
        <v>815</v>
      </c>
      <c r="BL89" s="318">
        <v>90</v>
      </c>
    </row>
    <row r="90" spans="1:64">
      <c r="A90" s="329"/>
      <c r="B90" s="329"/>
      <c r="C90" s="329"/>
      <c r="D90" s="329"/>
      <c r="E90" s="329"/>
      <c r="F90" s="329"/>
      <c r="G90" s="329"/>
      <c r="H90" s="329"/>
      <c r="I90" s="451" t="s">
        <v>4691</v>
      </c>
      <c r="J90" s="452"/>
      <c r="K90" s="330">
        <f>K12+K20+K86</f>
        <v>0</v>
      </c>
      <c r="L90" s="329"/>
      <c r="M90" s="329"/>
      <c r="N90" s="329"/>
    </row>
    <row r="91" spans="1:64" ht="11.25" customHeight="1">
      <c r="A91" s="331" t="s">
        <v>41</v>
      </c>
    </row>
    <row r="92" spans="1:64">
      <c r="A92" s="439" t="s">
        <v>4953</v>
      </c>
      <c r="B92" s="440"/>
      <c r="C92" s="440"/>
      <c r="D92" s="440"/>
      <c r="E92" s="440"/>
      <c r="F92" s="440"/>
      <c r="G92" s="440"/>
      <c r="H92" s="440"/>
      <c r="I92" s="440"/>
      <c r="J92" s="440"/>
      <c r="K92" s="440"/>
      <c r="L92" s="440"/>
      <c r="M92" s="440"/>
      <c r="N92" s="440"/>
    </row>
  </sheetData>
  <mergeCells count="109">
    <mergeCell ref="A4:C5"/>
    <mergeCell ref="D4:E5"/>
    <mergeCell ref="F4:G5"/>
    <mergeCell ref="H4:H5"/>
    <mergeCell ref="I4:I5"/>
    <mergeCell ref="J4:N5"/>
    <mergeCell ref="A1:N1"/>
    <mergeCell ref="A2:C3"/>
    <mergeCell ref="D2:E3"/>
    <mergeCell ref="F2:G3"/>
    <mergeCell ref="H2:H3"/>
    <mergeCell ref="I2:I3"/>
    <mergeCell ref="J2:N3"/>
    <mergeCell ref="A8:C9"/>
    <mergeCell ref="D8:E9"/>
    <mergeCell ref="F8:G9"/>
    <mergeCell ref="H8:H9"/>
    <mergeCell ref="I8:I9"/>
    <mergeCell ref="J8:N9"/>
    <mergeCell ref="A6:C7"/>
    <mergeCell ref="D6:E7"/>
    <mergeCell ref="F6:G7"/>
    <mergeCell ref="H6:H7"/>
    <mergeCell ref="I6:I7"/>
    <mergeCell ref="J6:N7"/>
    <mergeCell ref="D14:E14"/>
    <mergeCell ref="D15:E15"/>
    <mergeCell ref="D16:E16"/>
    <mergeCell ref="D17:N17"/>
    <mergeCell ref="D18:E18"/>
    <mergeCell ref="D19:E19"/>
    <mergeCell ref="D10:E10"/>
    <mergeCell ref="I10:K10"/>
    <mergeCell ref="L10:M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N39"/>
    <mergeCell ref="D40:E40"/>
    <mergeCell ref="D41:E41"/>
    <mergeCell ref="D42:N42"/>
    <mergeCell ref="D43:E43"/>
    <mergeCell ref="D32:E32"/>
    <mergeCell ref="D33:E33"/>
    <mergeCell ref="D34:E34"/>
    <mergeCell ref="D35:E35"/>
    <mergeCell ref="D36:N36"/>
    <mergeCell ref="D37:E37"/>
    <mergeCell ref="D50:E50"/>
    <mergeCell ref="D51:E51"/>
    <mergeCell ref="D52:E52"/>
    <mergeCell ref="D53:N53"/>
    <mergeCell ref="D54:E54"/>
    <mergeCell ref="D55:E55"/>
    <mergeCell ref="D44:E44"/>
    <mergeCell ref="D45:E45"/>
    <mergeCell ref="D46:N46"/>
    <mergeCell ref="D47:E47"/>
    <mergeCell ref="D48:E48"/>
    <mergeCell ref="D49:E49"/>
    <mergeCell ref="D62:E62"/>
    <mergeCell ref="D63:E63"/>
    <mergeCell ref="D64:E64"/>
    <mergeCell ref="D65:E65"/>
    <mergeCell ref="D66:N66"/>
    <mergeCell ref="D67:E67"/>
    <mergeCell ref="D56:N56"/>
    <mergeCell ref="D57:E57"/>
    <mergeCell ref="D58:E58"/>
    <mergeCell ref="D59:E59"/>
    <mergeCell ref="D60:E60"/>
    <mergeCell ref="D61:E61"/>
    <mergeCell ref="D74:E74"/>
    <mergeCell ref="D75:E75"/>
    <mergeCell ref="D76:N76"/>
    <mergeCell ref="D77:E77"/>
    <mergeCell ref="D78:E78"/>
    <mergeCell ref="D79:N79"/>
    <mergeCell ref="D68:E68"/>
    <mergeCell ref="D69:N69"/>
    <mergeCell ref="D70:E70"/>
    <mergeCell ref="D71:E71"/>
    <mergeCell ref="D72:N72"/>
    <mergeCell ref="D73:E73"/>
    <mergeCell ref="D86:E86"/>
    <mergeCell ref="D87:E87"/>
    <mergeCell ref="D88:N88"/>
    <mergeCell ref="D89:E89"/>
    <mergeCell ref="I90:J90"/>
    <mergeCell ref="A92:N92"/>
    <mergeCell ref="D80:E80"/>
    <mergeCell ref="D81:E81"/>
    <mergeCell ref="D82:E82"/>
    <mergeCell ref="D83:E83"/>
    <mergeCell ref="D84:E84"/>
    <mergeCell ref="D85:E85"/>
  </mergeCells>
  <pageMargins left="0.39400000000000002" right="0.39400000000000002" top="0.59099999999999997" bottom="0.59099999999999997" header="0.5" footer="0.5"/>
  <pageSetup paperSize="9" scale="45"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4"/>
  <sheetViews>
    <sheetView showGridLines="0" workbookViewId="0">
      <selection activeCell="T30" sqref="T30:U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1" t="s">
        <v>6</v>
      </c>
      <c r="M2" s="412"/>
      <c r="N2" s="412"/>
      <c r="O2" s="412"/>
      <c r="P2" s="412"/>
      <c r="Q2" s="412"/>
      <c r="R2" s="412"/>
      <c r="S2" s="412"/>
      <c r="T2" s="412"/>
      <c r="U2" s="412"/>
      <c r="V2" s="412"/>
      <c r="AT2" s="19" t="s">
        <v>144</v>
      </c>
    </row>
    <row r="3" spans="1:46" s="1" customFormat="1" ht="6.95" customHeight="1">
      <c r="B3" s="20"/>
      <c r="C3" s="21"/>
      <c r="D3" s="21"/>
      <c r="E3" s="21"/>
      <c r="F3" s="21"/>
      <c r="G3" s="21"/>
      <c r="H3" s="21"/>
      <c r="I3" s="21"/>
      <c r="J3" s="21"/>
      <c r="K3" s="21"/>
      <c r="L3" s="22"/>
      <c r="AT3" s="19" t="s">
        <v>87</v>
      </c>
    </row>
    <row r="4" spans="1:46" s="1" customFormat="1" ht="24.95" customHeight="1">
      <c r="B4" s="22"/>
      <c r="D4" s="23" t="s">
        <v>145</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436" t="str">
        <f>'Rekapitulace stavby'!K6</f>
        <v>ZŠ P. HOLÉHO - PŘESTAVBA PLAVECKÉHO PAVILONU</v>
      </c>
      <c r="F7" s="437"/>
      <c r="G7" s="437"/>
      <c r="H7" s="437"/>
      <c r="L7" s="22"/>
    </row>
    <row r="8" spans="1:46" s="2" customFormat="1" ht="12" customHeight="1">
      <c r="A8" s="34"/>
      <c r="B8" s="35"/>
      <c r="C8" s="34"/>
      <c r="D8" s="29" t="s">
        <v>146</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432" t="s">
        <v>4289</v>
      </c>
      <c r="F9" s="435"/>
      <c r="G9" s="435"/>
      <c r="H9" s="435"/>
      <c r="I9" s="34"/>
      <c r="J9" s="34"/>
      <c r="K9" s="34"/>
      <c r="L9" s="91"/>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21. 9. 2022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27</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28</v>
      </c>
      <c r="F15" s="34"/>
      <c r="G15" s="34"/>
      <c r="H15" s="34"/>
      <c r="I15" s="29" t="s">
        <v>29</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30</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438" t="str">
        <f>'Rekapitulace stavby'!E14</f>
        <v>Vyplň údaj</v>
      </c>
      <c r="F18" s="424"/>
      <c r="G18" s="424"/>
      <c r="H18" s="424"/>
      <c r="I18" s="29" t="s">
        <v>29</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32</v>
      </c>
      <c r="E20" s="34"/>
      <c r="F20" s="34"/>
      <c r="G20" s="34"/>
      <c r="H20" s="34"/>
      <c r="I20" s="29" t="s">
        <v>26</v>
      </c>
      <c r="J20" s="27" t="s">
        <v>33</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34</v>
      </c>
      <c r="F21" s="34"/>
      <c r="G21" s="34"/>
      <c r="H21" s="34"/>
      <c r="I21" s="29" t="s">
        <v>29</v>
      </c>
      <c r="J21" s="27" t="s">
        <v>35</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37</v>
      </c>
      <c r="E23" s="34"/>
      <c r="F23" s="34"/>
      <c r="G23" s="34"/>
      <c r="H23" s="34"/>
      <c r="I23" s="29" t="s">
        <v>26</v>
      </c>
      <c r="J23" s="27" t="s">
        <v>38</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148</v>
      </c>
      <c r="F24" s="34"/>
      <c r="G24" s="34"/>
      <c r="H24" s="34"/>
      <c r="I24" s="29" t="s">
        <v>29</v>
      </c>
      <c r="J24" s="27" t="s">
        <v>3</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41</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428" t="s">
        <v>3</v>
      </c>
      <c r="F27" s="428"/>
      <c r="G27" s="428"/>
      <c r="H27" s="428"/>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43</v>
      </c>
      <c r="E30" s="34"/>
      <c r="F30" s="34"/>
      <c r="G30" s="34"/>
      <c r="H30" s="34"/>
      <c r="I30" s="34"/>
      <c r="J30" s="68">
        <f>ROUND(J82,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45</v>
      </c>
      <c r="G32" s="34"/>
      <c r="H32" s="34"/>
      <c r="I32" s="38" t="s">
        <v>44</v>
      </c>
      <c r="J32" s="38" t="s">
        <v>46</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47</v>
      </c>
      <c r="E33" s="29" t="s">
        <v>48</v>
      </c>
      <c r="F33" s="97">
        <f>ROUND((SUM(BE82:BE103)),  2)</f>
        <v>0</v>
      </c>
      <c r="G33" s="34"/>
      <c r="H33" s="34"/>
      <c r="I33" s="98">
        <v>0.21</v>
      </c>
      <c r="J33" s="97">
        <f>ROUND(((SUM(BE82:BE103))*I33),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49</v>
      </c>
      <c r="F34" s="97">
        <f>ROUND((SUM(BF82:BF103)),  2)</f>
        <v>0</v>
      </c>
      <c r="G34" s="34"/>
      <c r="H34" s="34"/>
      <c r="I34" s="98">
        <v>0.15</v>
      </c>
      <c r="J34" s="97">
        <f>ROUND(((SUM(BF82:BF103))*I34),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50</v>
      </c>
      <c r="F35" s="97">
        <f>ROUND((SUM(BG82:BG103)),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51</v>
      </c>
      <c r="F36" s="97">
        <f>ROUND((SUM(BH82:BH103)),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52</v>
      </c>
      <c r="F37" s="97">
        <f>ROUND((SUM(BI82:BI103)),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53</v>
      </c>
      <c r="E39" s="57"/>
      <c r="F39" s="57"/>
      <c r="G39" s="101" t="s">
        <v>54</v>
      </c>
      <c r="H39" s="102" t="s">
        <v>55</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149</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436" t="str">
        <f>E7</f>
        <v>ZŠ P. HOLÉHO - PŘESTAVBA PLAVECKÉHO PAVILONU</v>
      </c>
      <c r="F48" s="437"/>
      <c r="G48" s="437"/>
      <c r="H48" s="43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146</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432" t="str">
        <f>E9</f>
        <v>VON - vedlejší a ostatní náklady</v>
      </c>
      <c r="F50" s="435"/>
      <c r="G50" s="435"/>
      <c r="H50" s="4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Prokopa Holého 2632, Louny, 440 01</v>
      </c>
      <c r="G52" s="34"/>
      <c r="H52" s="34"/>
      <c r="I52" s="29" t="s">
        <v>23</v>
      </c>
      <c r="J52" s="52" t="str">
        <f>IF(J12="","",J12)</f>
        <v>21. 9. 2022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Louny</v>
      </c>
      <c r="G54" s="34"/>
      <c r="H54" s="34"/>
      <c r="I54" s="29" t="s">
        <v>32</v>
      </c>
      <c r="J54" s="32" t="str">
        <f>E21</f>
        <v>RYSIK Design s.r.o.</v>
      </c>
      <c r="K54" s="34"/>
      <c r="L54" s="91"/>
      <c r="S54" s="34"/>
      <c r="T54" s="34"/>
      <c r="U54" s="34"/>
      <c r="V54" s="34"/>
      <c r="W54" s="34"/>
      <c r="X54" s="34"/>
      <c r="Y54" s="34"/>
      <c r="Z54" s="34"/>
      <c r="AA54" s="34"/>
      <c r="AB54" s="34"/>
      <c r="AC54" s="34"/>
      <c r="AD54" s="34"/>
      <c r="AE54" s="34"/>
    </row>
    <row r="55" spans="1:47" s="2" customFormat="1" ht="25.7" customHeight="1">
      <c r="A55" s="34"/>
      <c r="B55" s="35"/>
      <c r="C55" s="29" t="s">
        <v>30</v>
      </c>
      <c r="D55" s="34"/>
      <c r="E55" s="34"/>
      <c r="F55" s="27" t="str">
        <f>IF(E18="","",E18)</f>
        <v>Vyplň údaj</v>
      </c>
      <c r="G55" s="34"/>
      <c r="H55" s="34"/>
      <c r="I55" s="29" t="s">
        <v>37</v>
      </c>
      <c r="J55" s="32" t="str">
        <f>E24</f>
        <v>ing. Kateřina Tumpachová</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150</v>
      </c>
      <c r="D57" s="99"/>
      <c r="E57" s="99"/>
      <c r="F57" s="99"/>
      <c r="G57" s="99"/>
      <c r="H57" s="99"/>
      <c r="I57" s="99"/>
      <c r="J57" s="106" t="s">
        <v>151</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75</v>
      </c>
      <c r="D59" s="34"/>
      <c r="E59" s="34"/>
      <c r="F59" s="34"/>
      <c r="G59" s="34"/>
      <c r="H59" s="34"/>
      <c r="I59" s="34"/>
      <c r="J59" s="68">
        <f>J82</f>
        <v>0</v>
      </c>
      <c r="K59" s="34"/>
      <c r="L59" s="91"/>
      <c r="S59" s="34"/>
      <c r="T59" s="34"/>
      <c r="U59" s="34"/>
      <c r="V59" s="34"/>
      <c r="W59" s="34"/>
      <c r="X59" s="34"/>
      <c r="Y59" s="34"/>
      <c r="Z59" s="34"/>
      <c r="AA59" s="34"/>
      <c r="AB59" s="34"/>
      <c r="AC59" s="34"/>
      <c r="AD59" s="34"/>
      <c r="AE59" s="34"/>
      <c r="AU59" s="19" t="s">
        <v>152</v>
      </c>
    </row>
    <row r="60" spans="1:47" s="9" customFormat="1" ht="24.95" customHeight="1">
      <c r="B60" s="108"/>
      <c r="D60" s="109" t="s">
        <v>327</v>
      </c>
      <c r="E60" s="110"/>
      <c r="F60" s="110"/>
      <c r="G60" s="110"/>
      <c r="H60" s="110"/>
      <c r="I60" s="110"/>
      <c r="J60" s="111">
        <f>J83</f>
        <v>0</v>
      </c>
      <c r="L60" s="108"/>
    </row>
    <row r="61" spans="1:47" s="10" customFormat="1" ht="19.899999999999999" customHeight="1">
      <c r="B61" s="112"/>
      <c r="D61" s="113" t="s">
        <v>328</v>
      </c>
      <c r="E61" s="114"/>
      <c r="F61" s="114"/>
      <c r="G61" s="114"/>
      <c r="H61" s="114"/>
      <c r="I61" s="114"/>
      <c r="J61" s="115">
        <f>J84</f>
        <v>0</v>
      </c>
      <c r="L61" s="112"/>
    </row>
    <row r="62" spans="1:47" s="10" customFormat="1" ht="19.899999999999999" customHeight="1">
      <c r="B62" s="112"/>
      <c r="D62" s="113" t="s">
        <v>803</v>
      </c>
      <c r="E62" s="114"/>
      <c r="F62" s="114"/>
      <c r="G62" s="114"/>
      <c r="H62" s="114"/>
      <c r="I62" s="114"/>
      <c r="J62" s="115">
        <f>J91</f>
        <v>0</v>
      </c>
      <c r="L62" s="112"/>
    </row>
    <row r="63" spans="1:47" s="2" customFormat="1" ht="21.75" customHeight="1">
      <c r="A63" s="34"/>
      <c r="B63" s="35"/>
      <c r="C63" s="34"/>
      <c r="D63" s="34"/>
      <c r="E63" s="34"/>
      <c r="F63" s="34"/>
      <c r="G63" s="34"/>
      <c r="H63" s="34"/>
      <c r="I63" s="34"/>
      <c r="J63" s="34"/>
      <c r="K63" s="34"/>
      <c r="L63" s="91"/>
      <c r="S63" s="34"/>
      <c r="T63" s="34"/>
      <c r="U63" s="34"/>
      <c r="V63" s="34"/>
      <c r="W63" s="34"/>
      <c r="X63" s="34"/>
      <c r="Y63" s="34"/>
      <c r="Z63" s="34"/>
      <c r="AA63" s="34"/>
      <c r="AB63" s="34"/>
      <c r="AC63" s="34"/>
      <c r="AD63" s="34"/>
      <c r="AE63" s="34"/>
    </row>
    <row r="64" spans="1:47" s="2" customFormat="1" ht="6.95" customHeight="1">
      <c r="A64" s="34"/>
      <c r="B64" s="44"/>
      <c r="C64" s="45"/>
      <c r="D64" s="45"/>
      <c r="E64" s="45"/>
      <c r="F64" s="45"/>
      <c r="G64" s="45"/>
      <c r="H64" s="45"/>
      <c r="I64" s="45"/>
      <c r="J64" s="45"/>
      <c r="K64" s="45"/>
      <c r="L64" s="91"/>
      <c r="S64" s="34"/>
      <c r="T64" s="34"/>
      <c r="U64" s="34"/>
      <c r="V64" s="34"/>
      <c r="W64" s="34"/>
      <c r="X64" s="34"/>
      <c r="Y64" s="34"/>
      <c r="Z64" s="34"/>
      <c r="AA64" s="34"/>
      <c r="AB64" s="34"/>
      <c r="AC64" s="34"/>
      <c r="AD64" s="34"/>
      <c r="AE64" s="34"/>
    </row>
    <row r="68" spans="1:31" s="2" customFormat="1" ht="6.95" customHeight="1">
      <c r="A68" s="34"/>
      <c r="B68" s="46"/>
      <c r="C68" s="47"/>
      <c r="D68" s="47"/>
      <c r="E68" s="47"/>
      <c r="F68" s="47"/>
      <c r="G68" s="47"/>
      <c r="H68" s="47"/>
      <c r="I68" s="47"/>
      <c r="J68" s="47"/>
      <c r="K68" s="47"/>
      <c r="L68" s="91"/>
      <c r="S68" s="34"/>
      <c r="T68" s="34"/>
      <c r="U68" s="34"/>
      <c r="V68" s="34"/>
      <c r="W68" s="34"/>
      <c r="X68" s="34"/>
      <c r="Y68" s="34"/>
      <c r="Z68" s="34"/>
      <c r="AA68" s="34"/>
      <c r="AB68" s="34"/>
      <c r="AC68" s="34"/>
      <c r="AD68" s="34"/>
      <c r="AE68" s="34"/>
    </row>
    <row r="69" spans="1:31" s="2" customFormat="1" ht="24.95" customHeight="1">
      <c r="A69" s="34"/>
      <c r="B69" s="35"/>
      <c r="C69" s="23" t="s">
        <v>162</v>
      </c>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12" customHeight="1">
      <c r="A71" s="34"/>
      <c r="B71" s="35"/>
      <c r="C71" s="29" t="s">
        <v>17</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16.5" customHeight="1">
      <c r="A72" s="34"/>
      <c r="B72" s="35"/>
      <c r="C72" s="34"/>
      <c r="D72" s="34"/>
      <c r="E72" s="436" t="str">
        <f>E7</f>
        <v>ZŠ P. HOLÉHO - PŘESTAVBA PLAVECKÉHO PAVILONU</v>
      </c>
      <c r="F72" s="437"/>
      <c r="G72" s="437"/>
      <c r="H72" s="437"/>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146</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432" t="str">
        <f>E9</f>
        <v>VON - vedlejší a ostatní náklady</v>
      </c>
      <c r="F74" s="435"/>
      <c r="G74" s="435"/>
      <c r="H74" s="435"/>
      <c r="I74" s="34"/>
      <c r="J74" s="34"/>
      <c r="K74" s="34"/>
      <c r="L74" s="91"/>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21</v>
      </c>
      <c r="D76" s="34"/>
      <c r="E76" s="34"/>
      <c r="F76" s="27" t="str">
        <f>F12</f>
        <v>Prokopa Holého 2632, Louny, 440 01</v>
      </c>
      <c r="G76" s="34"/>
      <c r="H76" s="34"/>
      <c r="I76" s="29" t="s">
        <v>23</v>
      </c>
      <c r="J76" s="52" t="str">
        <f>IF(J12="","",J12)</f>
        <v>21. 9. 2022</v>
      </c>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5.2" customHeight="1">
      <c r="A78" s="34"/>
      <c r="B78" s="35"/>
      <c r="C78" s="29" t="s">
        <v>25</v>
      </c>
      <c r="D78" s="34"/>
      <c r="E78" s="34"/>
      <c r="F78" s="27" t="str">
        <f>E15</f>
        <v>Město Louny</v>
      </c>
      <c r="G78" s="34"/>
      <c r="H78" s="34"/>
      <c r="I78" s="29" t="s">
        <v>32</v>
      </c>
      <c r="J78" s="32" t="str">
        <f>E21</f>
        <v>RYSIK Design s.r.o.</v>
      </c>
      <c r="K78" s="34"/>
      <c r="L78" s="91"/>
      <c r="S78" s="34"/>
      <c r="T78" s="34"/>
      <c r="U78" s="34"/>
      <c r="V78" s="34"/>
      <c r="W78" s="34"/>
      <c r="X78" s="34"/>
      <c r="Y78" s="34"/>
      <c r="Z78" s="34"/>
      <c r="AA78" s="34"/>
      <c r="AB78" s="34"/>
      <c r="AC78" s="34"/>
      <c r="AD78" s="34"/>
      <c r="AE78" s="34"/>
    </row>
    <row r="79" spans="1:31" s="2" customFormat="1" ht="25.7" customHeight="1">
      <c r="A79" s="34"/>
      <c r="B79" s="35"/>
      <c r="C79" s="29" t="s">
        <v>30</v>
      </c>
      <c r="D79" s="34"/>
      <c r="E79" s="34"/>
      <c r="F79" s="27" t="str">
        <f>IF(E18="","",E18)</f>
        <v>Vyplň údaj</v>
      </c>
      <c r="G79" s="34"/>
      <c r="H79" s="34"/>
      <c r="I79" s="29" t="s">
        <v>37</v>
      </c>
      <c r="J79" s="32" t="str">
        <f>E24</f>
        <v>ing. Kateřina Tumpachová</v>
      </c>
      <c r="K79" s="34"/>
      <c r="L79" s="91"/>
      <c r="S79" s="34"/>
      <c r="T79" s="34"/>
      <c r="U79" s="34"/>
      <c r="V79" s="34"/>
      <c r="W79" s="34"/>
      <c r="X79" s="34"/>
      <c r="Y79" s="34"/>
      <c r="Z79" s="34"/>
      <c r="AA79" s="34"/>
      <c r="AB79" s="34"/>
      <c r="AC79" s="34"/>
      <c r="AD79" s="34"/>
      <c r="AE79" s="34"/>
    </row>
    <row r="80" spans="1:31" s="2" customFormat="1" ht="10.3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11" customFormat="1" ht="29.25" customHeight="1">
      <c r="A81" s="116"/>
      <c r="B81" s="117"/>
      <c r="C81" s="118" t="s">
        <v>163</v>
      </c>
      <c r="D81" s="119" t="s">
        <v>62</v>
      </c>
      <c r="E81" s="119" t="s">
        <v>58</v>
      </c>
      <c r="F81" s="119" t="s">
        <v>59</v>
      </c>
      <c r="G81" s="119" t="s">
        <v>164</v>
      </c>
      <c r="H81" s="119" t="s">
        <v>165</v>
      </c>
      <c r="I81" s="119" t="s">
        <v>166</v>
      </c>
      <c r="J81" s="119" t="s">
        <v>151</v>
      </c>
      <c r="K81" s="120" t="s">
        <v>167</v>
      </c>
      <c r="L81" s="121"/>
      <c r="M81" s="59" t="s">
        <v>3</v>
      </c>
      <c r="N81" s="60" t="s">
        <v>47</v>
      </c>
      <c r="O81" s="60" t="s">
        <v>168</v>
      </c>
      <c r="P81" s="60" t="s">
        <v>169</v>
      </c>
      <c r="Q81" s="60" t="s">
        <v>170</v>
      </c>
      <c r="R81" s="60" t="s">
        <v>171</v>
      </c>
      <c r="S81" s="60" t="s">
        <v>172</v>
      </c>
      <c r="T81" s="61" t="s">
        <v>173</v>
      </c>
      <c r="U81" s="116"/>
      <c r="V81" s="116"/>
      <c r="W81" s="116"/>
      <c r="X81" s="116"/>
      <c r="Y81" s="116"/>
      <c r="Z81" s="116"/>
      <c r="AA81" s="116"/>
      <c r="AB81" s="116"/>
      <c r="AC81" s="116"/>
      <c r="AD81" s="116"/>
      <c r="AE81" s="116"/>
    </row>
    <row r="82" spans="1:65" s="2" customFormat="1" ht="22.9" customHeight="1">
      <c r="A82" s="34"/>
      <c r="B82" s="35"/>
      <c r="C82" s="66" t="s">
        <v>174</v>
      </c>
      <c r="D82" s="34"/>
      <c r="E82" s="34"/>
      <c r="F82" s="34"/>
      <c r="G82" s="34"/>
      <c r="H82" s="34"/>
      <c r="I82" s="34"/>
      <c r="J82" s="122">
        <f>BK82</f>
        <v>0</v>
      </c>
      <c r="K82" s="34"/>
      <c r="L82" s="35"/>
      <c r="M82" s="62"/>
      <c r="N82" s="53"/>
      <c r="O82" s="63"/>
      <c r="P82" s="123">
        <f>P83</f>
        <v>0</v>
      </c>
      <c r="Q82" s="63"/>
      <c r="R82" s="123">
        <f>R83</f>
        <v>0</v>
      </c>
      <c r="S82" s="63"/>
      <c r="T82" s="124">
        <f>T83</f>
        <v>0</v>
      </c>
      <c r="U82" s="34"/>
      <c r="V82" s="34"/>
      <c r="W82" s="34"/>
      <c r="X82" s="34"/>
      <c r="Y82" s="34"/>
      <c r="Z82" s="34"/>
      <c r="AA82" s="34"/>
      <c r="AB82" s="34"/>
      <c r="AC82" s="34"/>
      <c r="AD82" s="34"/>
      <c r="AE82" s="34"/>
      <c r="AT82" s="19" t="s">
        <v>76</v>
      </c>
      <c r="AU82" s="19" t="s">
        <v>152</v>
      </c>
      <c r="BK82" s="125">
        <f>BK83</f>
        <v>0</v>
      </c>
    </row>
    <row r="83" spans="1:65" s="12" customFormat="1" ht="25.9" customHeight="1">
      <c r="B83" s="126"/>
      <c r="D83" s="127" t="s">
        <v>76</v>
      </c>
      <c r="E83" s="128" t="s">
        <v>533</v>
      </c>
      <c r="F83" s="128" t="s">
        <v>534</v>
      </c>
      <c r="I83" s="129"/>
      <c r="J83" s="130">
        <f>BK83</f>
        <v>0</v>
      </c>
      <c r="L83" s="126"/>
      <c r="M83" s="131"/>
      <c r="N83" s="132"/>
      <c r="O83" s="132"/>
      <c r="P83" s="133">
        <f>P84+P91</f>
        <v>0</v>
      </c>
      <c r="Q83" s="132"/>
      <c r="R83" s="133">
        <f>R84+R91</f>
        <v>0</v>
      </c>
      <c r="S83" s="132"/>
      <c r="T83" s="134">
        <f>T84+T91</f>
        <v>0</v>
      </c>
      <c r="AR83" s="127" t="s">
        <v>200</v>
      </c>
      <c r="AT83" s="135" t="s">
        <v>76</v>
      </c>
      <c r="AU83" s="135" t="s">
        <v>77</v>
      </c>
      <c r="AY83" s="127" t="s">
        <v>177</v>
      </c>
      <c r="BK83" s="136">
        <f>BK84+BK91</f>
        <v>0</v>
      </c>
    </row>
    <row r="84" spans="1:65" s="12" customFormat="1" ht="22.9" customHeight="1">
      <c r="B84" s="126"/>
      <c r="D84" s="127" t="s">
        <v>76</v>
      </c>
      <c r="E84" s="137" t="s">
        <v>535</v>
      </c>
      <c r="F84" s="137" t="s">
        <v>536</v>
      </c>
      <c r="I84" s="129"/>
      <c r="J84" s="138">
        <f>BK84</f>
        <v>0</v>
      </c>
      <c r="L84" s="126"/>
      <c r="M84" s="131"/>
      <c r="N84" s="132"/>
      <c r="O84" s="132"/>
      <c r="P84" s="133">
        <f>SUM(P85:P90)</f>
        <v>0</v>
      </c>
      <c r="Q84" s="132"/>
      <c r="R84" s="133">
        <f>SUM(R85:R90)</f>
        <v>0</v>
      </c>
      <c r="S84" s="132"/>
      <c r="T84" s="134">
        <f>SUM(T85:T90)</f>
        <v>0</v>
      </c>
      <c r="AR84" s="127" t="s">
        <v>200</v>
      </c>
      <c r="AT84" s="135" t="s">
        <v>76</v>
      </c>
      <c r="AU84" s="135" t="s">
        <v>85</v>
      </c>
      <c r="AY84" s="127" t="s">
        <v>177</v>
      </c>
      <c r="BK84" s="136">
        <f>SUM(BK85:BK90)</f>
        <v>0</v>
      </c>
    </row>
    <row r="85" spans="1:65" s="2" customFormat="1" ht="16.5" customHeight="1">
      <c r="A85" s="34"/>
      <c r="B85" s="139"/>
      <c r="C85" s="140" t="s">
        <v>85</v>
      </c>
      <c r="D85" s="140" t="s">
        <v>180</v>
      </c>
      <c r="E85" s="141" t="s">
        <v>4290</v>
      </c>
      <c r="F85" s="142" t="s">
        <v>4291</v>
      </c>
      <c r="G85" s="143" t="s">
        <v>540</v>
      </c>
      <c r="H85" s="144">
        <v>1</v>
      </c>
      <c r="I85" s="145"/>
      <c r="J85" s="146">
        <f>ROUND(I85*H85,2)</f>
        <v>0</v>
      </c>
      <c r="K85" s="142" t="s">
        <v>184</v>
      </c>
      <c r="L85" s="35"/>
      <c r="M85" s="147" t="s">
        <v>3</v>
      </c>
      <c r="N85" s="148" t="s">
        <v>48</v>
      </c>
      <c r="O85" s="55"/>
      <c r="P85" s="149">
        <f>O85*H85</f>
        <v>0</v>
      </c>
      <c r="Q85" s="149">
        <v>0</v>
      </c>
      <c r="R85" s="149">
        <f>Q85*H85</f>
        <v>0</v>
      </c>
      <c r="S85" s="149">
        <v>0</v>
      </c>
      <c r="T85" s="150">
        <f>S85*H85</f>
        <v>0</v>
      </c>
      <c r="U85" s="34"/>
      <c r="V85" s="34"/>
      <c r="W85" s="34"/>
      <c r="X85" s="34"/>
      <c r="Y85" s="34"/>
      <c r="Z85" s="34"/>
      <c r="AA85" s="34"/>
      <c r="AB85" s="34"/>
      <c r="AC85" s="34"/>
      <c r="AD85" s="34"/>
      <c r="AE85" s="34"/>
      <c r="AR85" s="151" t="s">
        <v>541</v>
      </c>
      <c r="AT85" s="151" t="s">
        <v>180</v>
      </c>
      <c r="AU85" s="151" t="s">
        <v>87</v>
      </c>
      <c r="AY85" s="19" t="s">
        <v>177</v>
      </c>
      <c r="BE85" s="152">
        <f>IF(N85="základní",J85,0)</f>
        <v>0</v>
      </c>
      <c r="BF85" s="152">
        <f>IF(N85="snížená",J85,0)</f>
        <v>0</v>
      </c>
      <c r="BG85" s="152">
        <f>IF(N85="zákl. přenesená",J85,0)</f>
        <v>0</v>
      </c>
      <c r="BH85" s="152">
        <f>IF(N85="sníž. přenesená",J85,0)</f>
        <v>0</v>
      </c>
      <c r="BI85" s="152">
        <f>IF(N85="nulová",J85,0)</f>
        <v>0</v>
      </c>
      <c r="BJ85" s="19" t="s">
        <v>85</v>
      </c>
      <c r="BK85" s="152">
        <f>ROUND(I85*H85,2)</f>
        <v>0</v>
      </c>
      <c r="BL85" s="19" t="s">
        <v>541</v>
      </c>
      <c r="BM85" s="151" t="s">
        <v>4292</v>
      </c>
    </row>
    <row r="86" spans="1:65" s="2" customFormat="1">
      <c r="A86" s="34"/>
      <c r="B86" s="35"/>
      <c r="C86" s="34"/>
      <c r="D86" s="153" t="s">
        <v>187</v>
      </c>
      <c r="E86" s="34"/>
      <c r="F86" s="154" t="s">
        <v>4291</v>
      </c>
      <c r="G86" s="34"/>
      <c r="H86" s="34"/>
      <c r="I86" s="155"/>
      <c r="J86" s="34"/>
      <c r="K86" s="34"/>
      <c r="L86" s="35"/>
      <c r="M86" s="156"/>
      <c r="N86" s="157"/>
      <c r="O86" s="55"/>
      <c r="P86" s="55"/>
      <c r="Q86" s="55"/>
      <c r="R86" s="55"/>
      <c r="S86" s="55"/>
      <c r="T86" s="56"/>
      <c r="U86" s="34"/>
      <c r="V86" s="34"/>
      <c r="W86" s="34"/>
      <c r="X86" s="34"/>
      <c r="Y86" s="34"/>
      <c r="Z86" s="34"/>
      <c r="AA86" s="34"/>
      <c r="AB86" s="34"/>
      <c r="AC86" s="34"/>
      <c r="AD86" s="34"/>
      <c r="AE86" s="34"/>
      <c r="AT86" s="19" t="s">
        <v>187</v>
      </c>
      <c r="AU86" s="19" t="s">
        <v>87</v>
      </c>
    </row>
    <row r="87" spans="1:65" s="2" customFormat="1">
      <c r="A87" s="34"/>
      <c r="B87" s="35"/>
      <c r="C87" s="34"/>
      <c r="D87" s="158" t="s">
        <v>189</v>
      </c>
      <c r="E87" s="34"/>
      <c r="F87" s="159" t="s">
        <v>4293</v>
      </c>
      <c r="G87" s="34"/>
      <c r="H87" s="34"/>
      <c r="I87" s="155"/>
      <c r="J87" s="34"/>
      <c r="K87" s="34"/>
      <c r="L87" s="35"/>
      <c r="M87" s="156"/>
      <c r="N87" s="157"/>
      <c r="O87" s="55"/>
      <c r="P87" s="55"/>
      <c r="Q87" s="55"/>
      <c r="R87" s="55"/>
      <c r="S87" s="55"/>
      <c r="T87" s="56"/>
      <c r="U87" s="34"/>
      <c r="V87" s="34"/>
      <c r="W87" s="34"/>
      <c r="X87" s="34"/>
      <c r="Y87" s="34"/>
      <c r="Z87" s="34"/>
      <c r="AA87" s="34"/>
      <c r="AB87" s="34"/>
      <c r="AC87" s="34"/>
      <c r="AD87" s="34"/>
      <c r="AE87" s="34"/>
      <c r="AT87" s="19" t="s">
        <v>189</v>
      </c>
      <c r="AU87" s="19" t="s">
        <v>87</v>
      </c>
    </row>
    <row r="88" spans="1:65" s="2" customFormat="1" ht="16.5" customHeight="1">
      <c r="A88" s="34"/>
      <c r="B88" s="139"/>
      <c r="C88" s="140" t="s">
        <v>87</v>
      </c>
      <c r="D88" s="140" t="s">
        <v>180</v>
      </c>
      <c r="E88" s="141" t="s">
        <v>4294</v>
      </c>
      <c r="F88" s="142" t="s">
        <v>4295</v>
      </c>
      <c r="G88" s="143" t="s">
        <v>540</v>
      </c>
      <c r="H88" s="144">
        <v>1</v>
      </c>
      <c r="I88" s="145"/>
      <c r="J88" s="146">
        <f>ROUND(I88*H88,2)</f>
        <v>0</v>
      </c>
      <c r="K88" s="142" t="s">
        <v>184</v>
      </c>
      <c r="L88" s="35"/>
      <c r="M88" s="147" t="s">
        <v>3</v>
      </c>
      <c r="N88" s="148" t="s">
        <v>48</v>
      </c>
      <c r="O88" s="55"/>
      <c r="P88" s="149">
        <f>O88*H88</f>
        <v>0</v>
      </c>
      <c r="Q88" s="149">
        <v>0</v>
      </c>
      <c r="R88" s="149">
        <f>Q88*H88</f>
        <v>0</v>
      </c>
      <c r="S88" s="149">
        <v>0</v>
      </c>
      <c r="T88" s="150">
        <f>S88*H88</f>
        <v>0</v>
      </c>
      <c r="U88" s="34"/>
      <c r="V88" s="34"/>
      <c r="W88" s="34"/>
      <c r="X88" s="34"/>
      <c r="Y88" s="34"/>
      <c r="Z88" s="34"/>
      <c r="AA88" s="34"/>
      <c r="AB88" s="34"/>
      <c r="AC88" s="34"/>
      <c r="AD88" s="34"/>
      <c r="AE88" s="34"/>
      <c r="AR88" s="151" t="s">
        <v>541</v>
      </c>
      <c r="AT88" s="151" t="s">
        <v>180</v>
      </c>
      <c r="AU88" s="151" t="s">
        <v>87</v>
      </c>
      <c r="AY88" s="19" t="s">
        <v>177</v>
      </c>
      <c r="BE88" s="152">
        <f>IF(N88="základní",J88,0)</f>
        <v>0</v>
      </c>
      <c r="BF88" s="152">
        <f>IF(N88="snížená",J88,0)</f>
        <v>0</v>
      </c>
      <c r="BG88" s="152">
        <f>IF(N88="zákl. přenesená",J88,0)</f>
        <v>0</v>
      </c>
      <c r="BH88" s="152">
        <f>IF(N88="sníž. přenesená",J88,0)</f>
        <v>0</v>
      </c>
      <c r="BI88" s="152">
        <f>IF(N88="nulová",J88,0)</f>
        <v>0</v>
      </c>
      <c r="BJ88" s="19" t="s">
        <v>85</v>
      </c>
      <c r="BK88" s="152">
        <f>ROUND(I88*H88,2)</f>
        <v>0</v>
      </c>
      <c r="BL88" s="19" t="s">
        <v>541</v>
      </c>
      <c r="BM88" s="151" t="s">
        <v>4296</v>
      </c>
    </row>
    <row r="89" spans="1:65" s="2" customFormat="1">
      <c r="A89" s="34"/>
      <c r="B89" s="35"/>
      <c r="C89" s="34"/>
      <c r="D89" s="153" t="s">
        <v>187</v>
      </c>
      <c r="E89" s="34"/>
      <c r="F89" s="154" t="s">
        <v>4295</v>
      </c>
      <c r="G89" s="34"/>
      <c r="H89" s="34"/>
      <c r="I89" s="155"/>
      <c r="J89" s="34"/>
      <c r="K89" s="34"/>
      <c r="L89" s="35"/>
      <c r="M89" s="156"/>
      <c r="N89" s="157"/>
      <c r="O89" s="55"/>
      <c r="P89" s="55"/>
      <c r="Q89" s="55"/>
      <c r="R89" s="55"/>
      <c r="S89" s="55"/>
      <c r="T89" s="56"/>
      <c r="U89" s="34"/>
      <c r="V89" s="34"/>
      <c r="W89" s="34"/>
      <c r="X89" s="34"/>
      <c r="Y89" s="34"/>
      <c r="Z89" s="34"/>
      <c r="AA89" s="34"/>
      <c r="AB89" s="34"/>
      <c r="AC89" s="34"/>
      <c r="AD89" s="34"/>
      <c r="AE89" s="34"/>
      <c r="AT89" s="19" t="s">
        <v>187</v>
      </c>
      <c r="AU89" s="19" t="s">
        <v>87</v>
      </c>
    </row>
    <row r="90" spans="1:65" s="2" customFormat="1">
      <c r="A90" s="34"/>
      <c r="B90" s="35"/>
      <c r="C90" s="34"/>
      <c r="D90" s="158" t="s">
        <v>189</v>
      </c>
      <c r="E90" s="34"/>
      <c r="F90" s="159" t="s">
        <v>4297</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189</v>
      </c>
      <c r="AU90" s="19" t="s">
        <v>87</v>
      </c>
    </row>
    <row r="91" spans="1:65" s="12" customFormat="1" ht="22.9" customHeight="1">
      <c r="B91" s="126"/>
      <c r="D91" s="127" t="s">
        <v>76</v>
      </c>
      <c r="E91" s="137" t="s">
        <v>900</v>
      </c>
      <c r="F91" s="137" t="s">
        <v>901</v>
      </c>
      <c r="I91" s="129"/>
      <c r="J91" s="138">
        <f>BK91</f>
        <v>0</v>
      </c>
      <c r="L91" s="126"/>
      <c r="M91" s="131"/>
      <c r="N91" s="132"/>
      <c r="O91" s="132"/>
      <c r="P91" s="133">
        <f>SUM(P92:P103)</f>
        <v>0</v>
      </c>
      <c r="Q91" s="132"/>
      <c r="R91" s="133">
        <f>SUM(R92:R103)</f>
        <v>0</v>
      </c>
      <c r="S91" s="132"/>
      <c r="T91" s="134">
        <f>SUM(T92:T103)</f>
        <v>0</v>
      </c>
      <c r="AR91" s="127" t="s">
        <v>200</v>
      </c>
      <c r="AT91" s="135" t="s">
        <v>76</v>
      </c>
      <c r="AU91" s="135" t="s">
        <v>85</v>
      </c>
      <c r="AY91" s="127" t="s">
        <v>177</v>
      </c>
      <c r="BK91" s="136">
        <f>SUM(BK92:BK103)</f>
        <v>0</v>
      </c>
    </row>
    <row r="92" spans="1:65" s="2" customFormat="1" ht="16.5" customHeight="1">
      <c r="A92" s="34"/>
      <c r="B92" s="139"/>
      <c r="C92" s="140" t="s">
        <v>198</v>
      </c>
      <c r="D92" s="140" t="s">
        <v>180</v>
      </c>
      <c r="E92" s="141" t="s">
        <v>4298</v>
      </c>
      <c r="F92" s="142" t="s">
        <v>901</v>
      </c>
      <c r="G92" s="143" t="s">
        <v>540</v>
      </c>
      <c r="H92" s="144">
        <v>1</v>
      </c>
      <c r="I92" s="145"/>
      <c r="J92" s="146">
        <f>ROUND(I92*H92,2)</f>
        <v>0</v>
      </c>
      <c r="K92" s="142" t="s">
        <v>184</v>
      </c>
      <c r="L92" s="35"/>
      <c r="M92" s="147" t="s">
        <v>3</v>
      </c>
      <c r="N92" s="148" t="s">
        <v>48</v>
      </c>
      <c r="O92" s="55"/>
      <c r="P92" s="149">
        <f>O92*H92</f>
        <v>0</v>
      </c>
      <c r="Q92" s="149">
        <v>0</v>
      </c>
      <c r="R92" s="149">
        <f>Q92*H92</f>
        <v>0</v>
      </c>
      <c r="S92" s="149">
        <v>0</v>
      </c>
      <c r="T92" s="150">
        <f>S92*H92</f>
        <v>0</v>
      </c>
      <c r="U92" s="34"/>
      <c r="V92" s="34"/>
      <c r="W92" s="34"/>
      <c r="X92" s="34"/>
      <c r="Y92" s="34"/>
      <c r="Z92" s="34"/>
      <c r="AA92" s="34"/>
      <c r="AB92" s="34"/>
      <c r="AC92" s="34"/>
      <c r="AD92" s="34"/>
      <c r="AE92" s="34"/>
      <c r="AR92" s="151" t="s">
        <v>541</v>
      </c>
      <c r="AT92" s="151" t="s">
        <v>180</v>
      </c>
      <c r="AU92" s="151" t="s">
        <v>87</v>
      </c>
      <c r="AY92" s="19" t="s">
        <v>177</v>
      </c>
      <c r="BE92" s="152">
        <f>IF(N92="základní",J92,0)</f>
        <v>0</v>
      </c>
      <c r="BF92" s="152">
        <f>IF(N92="snížená",J92,0)</f>
        <v>0</v>
      </c>
      <c r="BG92" s="152">
        <f>IF(N92="zákl. přenesená",J92,0)</f>
        <v>0</v>
      </c>
      <c r="BH92" s="152">
        <f>IF(N92="sníž. přenesená",J92,0)</f>
        <v>0</v>
      </c>
      <c r="BI92" s="152">
        <f>IF(N92="nulová",J92,0)</f>
        <v>0</v>
      </c>
      <c r="BJ92" s="19" t="s">
        <v>85</v>
      </c>
      <c r="BK92" s="152">
        <f>ROUND(I92*H92,2)</f>
        <v>0</v>
      </c>
      <c r="BL92" s="19" t="s">
        <v>541</v>
      </c>
      <c r="BM92" s="151" t="s">
        <v>4299</v>
      </c>
    </row>
    <row r="93" spans="1:65" s="2" customFormat="1">
      <c r="A93" s="34"/>
      <c r="B93" s="35"/>
      <c r="C93" s="34"/>
      <c r="D93" s="153" t="s">
        <v>187</v>
      </c>
      <c r="E93" s="34"/>
      <c r="F93" s="154" t="s">
        <v>901</v>
      </c>
      <c r="G93" s="34"/>
      <c r="H93" s="34"/>
      <c r="I93" s="155"/>
      <c r="J93" s="34"/>
      <c r="K93" s="34"/>
      <c r="L93" s="35"/>
      <c r="M93" s="156"/>
      <c r="N93" s="157"/>
      <c r="O93" s="55"/>
      <c r="P93" s="55"/>
      <c r="Q93" s="55"/>
      <c r="R93" s="55"/>
      <c r="S93" s="55"/>
      <c r="T93" s="56"/>
      <c r="U93" s="34"/>
      <c r="V93" s="34"/>
      <c r="W93" s="34"/>
      <c r="X93" s="34"/>
      <c r="Y93" s="34"/>
      <c r="Z93" s="34"/>
      <c r="AA93" s="34"/>
      <c r="AB93" s="34"/>
      <c r="AC93" s="34"/>
      <c r="AD93" s="34"/>
      <c r="AE93" s="34"/>
      <c r="AT93" s="19" t="s">
        <v>187</v>
      </c>
      <c r="AU93" s="19" t="s">
        <v>87</v>
      </c>
    </row>
    <row r="94" spans="1:65" s="2" customFormat="1">
      <c r="A94" s="34"/>
      <c r="B94" s="35"/>
      <c r="C94" s="34"/>
      <c r="D94" s="158" t="s">
        <v>189</v>
      </c>
      <c r="E94" s="34"/>
      <c r="F94" s="159" t="s">
        <v>4300</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189</v>
      </c>
      <c r="AU94" s="19" t="s">
        <v>87</v>
      </c>
    </row>
    <row r="95" spans="1:65" s="2" customFormat="1" ht="16.5" customHeight="1">
      <c r="A95" s="34"/>
      <c r="B95" s="139"/>
      <c r="C95" s="140" t="s">
        <v>185</v>
      </c>
      <c r="D95" s="140" t="s">
        <v>180</v>
      </c>
      <c r="E95" s="141" t="s">
        <v>4301</v>
      </c>
      <c r="F95" s="142" t="s">
        <v>4302</v>
      </c>
      <c r="G95" s="143" t="s">
        <v>540</v>
      </c>
      <c r="H95" s="144">
        <v>1</v>
      </c>
      <c r="I95" s="145"/>
      <c r="J95" s="146">
        <f>ROUND(I95*H95,2)</f>
        <v>0</v>
      </c>
      <c r="K95" s="142" t="s">
        <v>184</v>
      </c>
      <c r="L95" s="35"/>
      <c r="M95" s="147" t="s">
        <v>3</v>
      </c>
      <c r="N95" s="148" t="s">
        <v>48</v>
      </c>
      <c r="O95" s="55"/>
      <c r="P95" s="149">
        <f>O95*H95</f>
        <v>0</v>
      </c>
      <c r="Q95" s="149">
        <v>0</v>
      </c>
      <c r="R95" s="149">
        <f>Q95*H95</f>
        <v>0</v>
      </c>
      <c r="S95" s="149">
        <v>0</v>
      </c>
      <c r="T95" s="150">
        <f>S95*H95</f>
        <v>0</v>
      </c>
      <c r="U95" s="34"/>
      <c r="V95" s="34"/>
      <c r="W95" s="34"/>
      <c r="X95" s="34"/>
      <c r="Y95" s="34"/>
      <c r="Z95" s="34"/>
      <c r="AA95" s="34"/>
      <c r="AB95" s="34"/>
      <c r="AC95" s="34"/>
      <c r="AD95" s="34"/>
      <c r="AE95" s="34"/>
      <c r="AR95" s="151" t="s">
        <v>541</v>
      </c>
      <c r="AT95" s="151" t="s">
        <v>180</v>
      </c>
      <c r="AU95" s="151" t="s">
        <v>87</v>
      </c>
      <c r="AY95" s="19" t="s">
        <v>177</v>
      </c>
      <c r="BE95" s="152">
        <f>IF(N95="základní",J95,0)</f>
        <v>0</v>
      </c>
      <c r="BF95" s="152">
        <f>IF(N95="snížená",J95,0)</f>
        <v>0</v>
      </c>
      <c r="BG95" s="152">
        <f>IF(N95="zákl. přenesená",J95,0)</f>
        <v>0</v>
      </c>
      <c r="BH95" s="152">
        <f>IF(N95="sníž. přenesená",J95,0)</f>
        <v>0</v>
      </c>
      <c r="BI95" s="152">
        <f>IF(N95="nulová",J95,0)</f>
        <v>0</v>
      </c>
      <c r="BJ95" s="19" t="s">
        <v>85</v>
      </c>
      <c r="BK95" s="152">
        <f>ROUND(I95*H95,2)</f>
        <v>0</v>
      </c>
      <c r="BL95" s="19" t="s">
        <v>541</v>
      </c>
      <c r="BM95" s="151" t="s">
        <v>4303</v>
      </c>
    </row>
    <row r="96" spans="1:65" s="2" customFormat="1">
      <c r="A96" s="34"/>
      <c r="B96" s="35"/>
      <c r="C96" s="34"/>
      <c r="D96" s="153" t="s">
        <v>187</v>
      </c>
      <c r="E96" s="34"/>
      <c r="F96" s="154" t="s">
        <v>4302</v>
      </c>
      <c r="G96" s="34"/>
      <c r="H96" s="34"/>
      <c r="I96" s="155"/>
      <c r="J96" s="34"/>
      <c r="K96" s="34"/>
      <c r="L96" s="35"/>
      <c r="M96" s="156"/>
      <c r="N96" s="157"/>
      <c r="O96" s="55"/>
      <c r="P96" s="55"/>
      <c r="Q96" s="55"/>
      <c r="R96" s="55"/>
      <c r="S96" s="55"/>
      <c r="T96" s="56"/>
      <c r="U96" s="34"/>
      <c r="V96" s="34"/>
      <c r="W96" s="34"/>
      <c r="X96" s="34"/>
      <c r="Y96" s="34"/>
      <c r="Z96" s="34"/>
      <c r="AA96" s="34"/>
      <c r="AB96" s="34"/>
      <c r="AC96" s="34"/>
      <c r="AD96" s="34"/>
      <c r="AE96" s="34"/>
      <c r="AT96" s="19" t="s">
        <v>187</v>
      </c>
      <c r="AU96" s="19" t="s">
        <v>87</v>
      </c>
    </row>
    <row r="97" spans="1:65" s="2" customFormat="1">
      <c r="A97" s="34"/>
      <c r="B97" s="35"/>
      <c r="C97" s="34"/>
      <c r="D97" s="158" t="s">
        <v>189</v>
      </c>
      <c r="E97" s="34"/>
      <c r="F97" s="159" t="s">
        <v>4304</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189</v>
      </c>
      <c r="AU97" s="19" t="s">
        <v>87</v>
      </c>
    </row>
    <row r="98" spans="1:65" s="2" customFormat="1" ht="16.5" customHeight="1">
      <c r="A98" s="34"/>
      <c r="B98" s="139"/>
      <c r="C98" s="140" t="s">
        <v>200</v>
      </c>
      <c r="D98" s="140" t="s">
        <v>180</v>
      </c>
      <c r="E98" s="141" t="s">
        <v>4305</v>
      </c>
      <c r="F98" s="142" t="s">
        <v>4306</v>
      </c>
      <c r="G98" s="143" t="s">
        <v>540</v>
      </c>
      <c r="H98" s="144">
        <v>1</v>
      </c>
      <c r="I98" s="145"/>
      <c r="J98" s="146">
        <f>ROUND(I98*H98,2)</f>
        <v>0</v>
      </c>
      <c r="K98" s="142" t="s">
        <v>184</v>
      </c>
      <c r="L98" s="35"/>
      <c r="M98" s="147" t="s">
        <v>3</v>
      </c>
      <c r="N98" s="148" t="s">
        <v>48</v>
      </c>
      <c r="O98" s="55"/>
      <c r="P98" s="149">
        <f>O98*H98</f>
        <v>0</v>
      </c>
      <c r="Q98" s="149">
        <v>0</v>
      </c>
      <c r="R98" s="149">
        <f>Q98*H98</f>
        <v>0</v>
      </c>
      <c r="S98" s="149">
        <v>0</v>
      </c>
      <c r="T98" s="150">
        <f>S98*H98</f>
        <v>0</v>
      </c>
      <c r="U98" s="34"/>
      <c r="V98" s="34"/>
      <c r="W98" s="34"/>
      <c r="X98" s="34"/>
      <c r="Y98" s="34"/>
      <c r="Z98" s="34"/>
      <c r="AA98" s="34"/>
      <c r="AB98" s="34"/>
      <c r="AC98" s="34"/>
      <c r="AD98" s="34"/>
      <c r="AE98" s="34"/>
      <c r="AR98" s="151" t="s">
        <v>541</v>
      </c>
      <c r="AT98" s="151" t="s">
        <v>180</v>
      </c>
      <c r="AU98" s="151" t="s">
        <v>87</v>
      </c>
      <c r="AY98" s="19" t="s">
        <v>177</v>
      </c>
      <c r="BE98" s="152">
        <f>IF(N98="základní",J98,0)</f>
        <v>0</v>
      </c>
      <c r="BF98" s="152">
        <f>IF(N98="snížená",J98,0)</f>
        <v>0</v>
      </c>
      <c r="BG98" s="152">
        <f>IF(N98="zákl. přenesená",J98,0)</f>
        <v>0</v>
      </c>
      <c r="BH98" s="152">
        <f>IF(N98="sníž. přenesená",J98,0)</f>
        <v>0</v>
      </c>
      <c r="BI98" s="152">
        <f>IF(N98="nulová",J98,0)</f>
        <v>0</v>
      </c>
      <c r="BJ98" s="19" t="s">
        <v>85</v>
      </c>
      <c r="BK98" s="152">
        <f>ROUND(I98*H98,2)</f>
        <v>0</v>
      </c>
      <c r="BL98" s="19" t="s">
        <v>541</v>
      </c>
      <c r="BM98" s="151" t="s">
        <v>4307</v>
      </c>
    </row>
    <row r="99" spans="1:65" s="2" customFormat="1">
      <c r="A99" s="34"/>
      <c r="B99" s="35"/>
      <c r="C99" s="34"/>
      <c r="D99" s="153" t="s">
        <v>187</v>
      </c>
      <c r="E99" s="34"/>
      <c r="F99" s="154" t="s">
        <v>4306</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187</v>
      </c>
      <c r="AU99" s="19" t="s">
        <v>87</v>
      </c>
    </row>
    <row r="100" spans="1:65" s="2" customFormat="1">
      <c r="A100" s="34"/>
      <c r="B100" s="35"/>
      <c r="C100" s="34"/>
      <c r="D100" s="158" t="s">
        <v>189</v>
      </c>
      <c r="E100" s="34"/>
      <c r="F100" s="159" t="s">
        <v>4308</v>
      </c>
      <c r="G100" s="34"/>
      <c r="H100" s="34"/>
      <c r="I100" s="155"/>
      <c r="J100" s="34"/>
      <c r="K100" s="34"/>
      <c r="L100" s="35"/>
      <c r="M100" s="156"/>
      <c r="N100" s="157"/>
      <c r="O100" s="55"/>
      <c r="P100" s="55"/>
      <c r="Q100" s="55"/>
      <c r="R100" s="55"/>
      <c r="S100" s="55"/>
      <c r="T100" s="56"/>
      <c r="U100" s="34"/>
      <c r="V100" s="34"/>
      <c r="W100" s="34"/>
      <c r="X100" s="34"/>
      <c r="Y100" s="34"/>
      <c r="Z100" s="34"/>
      <c r="AA100" s="34"/>
      <c r="AB100" s="34"/>
      <c r="AC100" s="34"/>
      <c r="AD100" s="34"/>
      <c r="AE100" s="34"/>
      <c r="AT100" s="19" t="s">
        <v>189</v>
      </c>
      <c r="AU100" s="19" t="s">
        <v>87</v>
      </c>
    </row>
    <row r="101" spans="1:65" s="2" customFormat="1" ht="16.5" customHeight="1">
      <c r="A101" s="34"/>
      <c r="B101" s="139"/>
      <c r="C101" s="140" t="s">
        <v>233</v>
      </c>
      <c r="D101" s="140" t="s">
        <v>180</v>
      </c>
      <c r="E101" s="141" t="s">
        <v>4309</v>
      </c>
      <c r="F101" s="142" t="s">
        <v>4310</v>
      </c>
      <c r="G101" s="143" t="s">
        <v>540</v>
      </c>
      <c r="H101" s="144">
        <v>2</v>
      </c>
      <c r="I101" s="145"/>
      <c r="J101" s="146">
        <f>ROUND(I101*H101,2)</f>
        <v>0</v>
      </c>
      <c r="K101" s="142" t="s">
        <v>184</v>
      </c>
      <c r="L101" s="35"/>
      <c r="M101" s="147" t="s">
        <v>3</v>
      </c>
      <c r="N101" s="148" t="s">
        <v>48</v>
      </c>
      <c r="O101" s="55"/>
      <c r="P101" s="149">
        <f>O101*H101</f>
        <v>0</v>
      </c>
      <c r="Q101" s="149">
        <v>0</v>
      </c>
      <c r="R101" s="149">
        <f>Q101*H101</f>
        <v>0</v>
      </c>
      <c r="S101" s="149">
        <v>0</v>
      </c>
      <c r="T101" s="150">
        <f>S101*H101</f>
        <v>0</v>
      </c>
      <c r="U101" s="34"/>
      <c r="V101" s="34"/>
      <c r="W101" s="34"/>
      <c r="X101" s="34"/>
      <c r="Y101" s="34"/>
      <c r="Z101" s="34"/>
      <c r="AA101" s="34"/>
      <c r="AB101" s="34"/>
      <c r="AC101" s="34"/>
      <c r="AD101" s="34"/>
      <c r="AE101" s="34"/>
      <c r="AR101" s="151" t="s">
        <v>541</v>
      </c>
      <c r="AT101" s="151" t="s">
        <v>180</v>
      </c>
      <c r="AU101" s="151" t="s">
        <v>87</v>
      </c>
      <c r="AY101" s="19" t="s">
        <v>177</v>
      </c>
      <c r="BE101" s="152">
        <f>IF(N101="základní",J101,0)</f>
        <v>0</v>
      </c>
      <c r="BF101" s="152">
        <f>IF(N101="snížená",J101,0)</f>
        <v>0</v>
      </c>
      <c r="BG101" s="152">
        <f>IF(N101="zákl. přenesená",J101,0)</f>
        <v>0</v>
      </c>
      <c r="BH101" s="152">
        <f>IF(N101="sníž. přenesená",J101,0)</f>
        <v>0</v>
      </c>
      <c r="BI101" s="152">
        <f>IF(N101="nulová",J101,0)</f>
        <v>0</v>
      </c>
      <c r="BJ101" s="19" t="s">
        <v>85</v>
      </c>
      <c r="BK101" s="152">
        <f>ROUND(I101*H101,2)</f>
        <v>0</v>
      </c>
      <c r="BL101" s="19" t="s">
        <v>541</v>
      </c>
      <c r="BM101" s="151" t="s">
        <v>4311</v>
      </c>
    </row>
    <row r="102" spans="1:65" s="2" customFormat="1">
      <c r="A102" s="34"/>
      <c r="B102" s="35"/>
      <c r="C102" s="34"/>
      <c r="D102" s="153" t="s">
        <v>187</v>
      </c>
      <c r="E102" s="34"/>
      <c r="F102" s="154" t="s">
        <v>4310</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187</v>
      </c>
      <c r="AU102" s="19" t="s">
        <v>87</v>
      </c>
    </row>
    <row r="103" spans="1:65" s="2" customFormat="1">
      <c r="A103" s="34"/>
      <c r="B103" s="35"/>
      <c r="C103" s="34"/>
      <c r="D103" s="158" t="s">
        <v>189</v>
      </c>
      <c r="E103" s="34"/>
      <c r="F103" s="159" t="s">
        <v>4312</v>
      </c>
      <c r="G103" s="34"/>
      <c r="H103" s="34"/>
      <c r="I103" s="155"/>
      <c r="J103" s="34"/>
      <c r="K103" s="34"/>
      <c r="L103" s="35"/>
      <c r="M103" s="205"/>
      <c r="N103" s="206"/>
      <c r="O103" s="207"/>
      <c r="P103" s="207"/>
      <c r="Q103" s="207"/>
      <c r="R103" s="207"/>
      <c r="S103" s="207"/>
      <c r="T103" s="208"/>
      <c r="U103" s="34"/>
      <c r="V103" s="34"/>
      <c r="W103" s="34"/>
      <c r="X103" s="34"/>
      <c r="Y103" s="34"/>
      <c r="Z103" s="34"/>
      <c r="AA103" s="34"/>
      <c r="AB103" s="34"/>
      <c r="AC103" s="34"/>
      <c r="AD103" s="34"/>
      <c r="AE103" s="34"/>
      <c r="AT103" s="19" t="s">
        <v>189</v>
      </c>
      <c r="AU103" s="19" t="s">
        <v>87</v>
      </c>
    </row>
    <row r="104" spans="1:65" s="2" customFormat="1" ht="6.95" customHeight="1">
      <c r="A104" s="34"/>
      <c r="B104" s="44"/>
      <c r="C104" s="45"/>
      <c r="D104" s="45"/>
      <c r="E104" s="45"/>
      <c r="F104" s="45"/>
      <c r="G104" s="45"/>
      <c r="H104" s="45"/>
      <c r="I104" s="45"/>
      <c r="J104" s="45"/>
      <c r="K104" s="45"/>
      <c r="L104" s="35"/>
      <c r="M104" s="34"/>
      <c r="O104" s="34"/>
      <c r="P104" s="34"/>
      <c r="Q104" s="34"/>
      <c r="R104" s="34"/>
      <c r="S104" s="34"/>
      <c r="T104" s="34"/>
      <c r="U104" s="34"/>
      <c r="V104" s="34"/>
      <c r="W104" s="34"/>
      <c r="X104" s="34"/>
      <c r="Y104" s="34"/>
      <c r="Z104" s="34"/>
      <c r="AA104" s="34"/>
      <c r="AB104" s="34"/>
      <c r="AC104" s="34"/>
      <c r="AD104" s="34"/>
      <c r="AE104" s="34"/>
    </row>
  </sheetData>
  <autoFilter ref="C81:K103"/>
  <mergeCells count="9">
    <mergeCell ref="E50:H50"/>
    <mergeCell ref="E72:H72"/>
    <mergeCell ref="E74:H74"/>
    <mergeCell ref="L2:V2"/>
    <mergeCell ref="E7:H7"/>
    <mergeCell ref="E9:H9"/>
    <mergeCell ref="E18:H18"/>
    <mergeCell ref="E27:H27"/>
    <mergeCell ref="E48:H48"/>
  </mergeCells>
  <hyperlinks>
    <hyperlink ref="F87" r:id="rId1"/>
    <hyperlink ref="F90" r:id="rId2"/>
    <hyperlink ref="F94" r:id="rId3"/>
    <hyperlink ref="F97" r:id="rId4"/>
    <hyperlink ref="F100" r:id="rId5"/>
    <hyperlink ref="F103" r:id="rId6"/>
  </hyperlinks>
  <pageMargins left="0.39374999999999999" right="0.39374999999999999" top="0.39374999999999999" bottom="0.39374999999999999" header="0" footer="0"/>
  <pageSetup paperSize="9" scale="84" fitToHeight="100" orientation="landscape" blackAndWhite="1" r:id="rId7"/>
  <headerFooter>
    <oddFooter>&amp;CStrana &amp;P z &amp;N</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election activeCell="T30" sqref="T30:U30"/>
    </sheetView>
  </sheetViews>
  <sheetFormatPr defaultRowHeight="11.2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s="1" customFormat="1" ht="37.5" customHeight="1"/>
    <row r="2" spans="2:11" s="1" customFormat="1" ht="7.5" customHeight="1">
      <c r="B2" s="210"/>
      <c r="C2" s="211"/>
      <c r="D2" s="211"/>
      <c r="E2" s="211"/>
      <c r="F2" s="211"/>
      <c r="G2" s="211"/>
      <c r="H2" s="211"/>
      <c r="I2" s="211"/>
      <c r="J2" s="211"/>
      <c r="K2" s="212"/>
    </row>
    <row r="3" spans="2:11" s="17" customFormat="1" ht="45" customHeight="1">
      <c r="B3" s="213"/>
      <c r="C3" s="483" t="s">
        <v>4313</v>
      </c>
      <c r="D3" s="483"/>
      <c r="E3" s="483"/>
      <c r="F3" s="483"/>
      <c r="G3" s="483"/>
      <c r="H3" s="483"/>
      <c r="I3" s="483"/>
      <c r="J3" s="483"/>
      <c r="K3" s="214"/>
    </row>
    <row r="4" spans="2:11" s="1" customFormat="1" ht="25.5" customHeight="1">
      <c r="B4" s="215"/>
      <c r="C4" s="484" t="s">
        <v>4314</v>
      </c>
      <c r="D4" s="484"/>
      <c r="E4" s="484"/>
      <c r="F4" s="484"/>
      <c r="G4" s="484"/>
      <c r="H4" s="484"/>
      <c r="I4" s="484"/>
      <c r="J4" s="484"/>
      <c r="K4" s="216"/>
    </row>
    <row r="5" spans="2:11" s="1" customFormat="1" ht="5.25" customHeight="1">
      <c r="B5" s="215"/>
      <c r="C5" s="217"/>
      <c r="D5" s="217"/>
      <c r="E5" s="217"/>
      <c r="F5" s="217"/>
      <c r="G5" s="217"/>
      <c r="H5" s="217"/>
      <c r="I5" s="217"/>
      <c r="J5" s="217"/>
      <c r="K5" s="216"/>
    </row>
    <row r="6" spans="2:11" s="1" customFormat="1" ht="15" customHeight="1">
      <c r="B6" s="215"/>
      <c r="C6" s="482" t="s">
        <v>4315</v>
      </c>
      <c r="D6" s="482"/>
      <c r="E6" s="482"/>
      <c r="F6" s="482"/>
      <c r="G6" s="482"/>
      <c r="H6" s="482"/>
      <c r="I6" s="482"/>
      <c r="J6" s="482"/>
      <c r="K6" s="216"/>
    </row>
    <row r="7" spans="2:11" s="1" customFormat="1" ht="15" customHeight="1">
      <c r="B7" s="219"/>
      <c r="C7" s="482" t="s">
        <v>4316</v>
      </c>
      <c r="D7" s="482"/>
      <c r="E7" s="482"/>
      <c r="F7" s="482"/>
      <c r="G7" s="482"/>
      <c r="H7" s="482"/>
      <c r="I7" s="482"/>
      <c r="J7" s="482"/>
      <c r="K7" s="216"/>
    </row>
    <row r="8" spans="2:11" s="1" customFormat="1" ht="12.75" customHeight="1">
      <c r="B8" s="219"/>
      <c r="C8" s="218"/>
      <c r="D8" s="218"/>
      <c r="E8" s="218"/>
      <c r="F8" s="218"/>
      <c r="G8" s="218"/>
      <c r="H8" s="218"/>
      <c r="I8" s="218"/>
      <c r="J8" s="218"/>
      <c r="K8" s="216"/>
    </row>
    <row r="9" spans="2:11" s="1" customFormat="1" ht="15" customHeight="1">
      <c r="B9" s="219"/>
      <c r="C9" s="482" t="s">
        <v>4317</v>
      </c>
      <c r="D9" s="482"/>
      <c r="E9" s="482"/>
      <c r="F9" s="482"/>
      <c r="G9" s="482"/>
      <c r="H9" s="482"/>
      <c r="I9" s="482"/>
      <c r="J9" s="482"/>
      <c r="K9" s="216"/>
    </row>
    <row r="10" spans="2:11" s="1" customFormat="1" ht="15" customHeight="1">
      <c r="B10" s="219"/>
      <c r="C10" s="218"/>
      <c r="D10" s="482" t="s">
        <v>4318</v>
      </c>
      <c r="E10" s="482"/>
      <c r="F10" s="482"/>
      <c r="G10" s="482"/>
      <c r="H10" s="482"/>
      <c r="I10" s="482"/>
      <c r="J10" s="482"/>
      <c r="K10" s="216"/>
    </row>
    <row r="11" spans="2:11" s="1" customFormat="1" ht="15" customHeight="1">
      <c r="B11" s="219"/>
      <c r="C11" s="220"/>
      <c r="D11" s="482" t="s">
        <v>4319</v>
      </c>
      <c r="E11" s="482"/>
      <c r="F11" s="482"/>
      <c r="G11" s="482"/>
      <c r="H11" s="482"/>
      <c r="I11" s="482"/>
      <c r="J11" s="482"/>
      <c r="K11" s="216"/>
    </row>
    <row r="12" spans="2:11" s="1" customFormat="1" ht="15" customHeight="1">
      <c r="B12" s="219"/>
      <c r="C12" s="220"/>
      <c r="D12" s="218"/>
      <c r="E12" s="218"/>
      <c r="F12" s="218"/>
      <c r="G12" s="218"/>
      <c r="H12" s="218"/>
      <c r="I12" s="218"/>
      <c r="J12" s="218"/>
      <c r="K12" s="216"/>
    </row>
    <row r="13" spans="2:11" s="1" customFormat="1" ht="15" customHeight="1">
      <c r="B13" s="219"/>
      <c r="C13" s="220"/>
      <c r="D13" s="221" t="s">
        <v>4320</v>
      </c>
      <c r="E13" s="218"/>
      <c r="F13" s="218"/>
      <c r="G13" s="218"/>
      <c r="H13" s="218"/>
      <c r="I13" s="218"/>
      <c r="J13" s="218"/>
      <c r="K13" s="216"/>
    </row>
    <row r="14" spans="2:11" s="1" customFormat="1" ht="12.75" customHeight="1">
      <c r="B14" s="219"/>
      <c r="C14" s="220"/>
      <c r="D14" s="220"/>
      <c r="E14" s="220"/>
      <c r="F14" s="220"/>
      <c r="G14" s="220"/>
      <c r="H14" s="220"/>
      <c r="I14" s="220"/>
      <c r="J14" s="220"/>
      <c r="K14" s="216"/>
    </row>
    <row r="15" spans="2:11" s="1" customFormat="1" ht="15" customHeight="1">
      <c r="B15" s="219"/>
      <c r="C15" s="220"/>
      <c r="D15" s="482" t="s">
        <v>4321</v>
      </c>
      <c r="E15" s="482"/>
      <c r="F15" s="482"/>
      <c r="G15" s="482"/>
      <c r="H15" s="482"/>
      <c r="I15" s="482"/>
      <c r="J15" s="482"/>
      <c r="K15" s="216"/>
    </row>
    <row r="16" spans="2:11" s="1" customFormat="1" ht="15" customHeight="1">
      <c r="B16" s="219"/>
      <c r="C16" s="220"/>
      <c r="D16" s="482" t="s">
        <v>4322</v>
      </c>
      <c r="E16" s="482"/>
      <c r="F16" s="482"/>
      <c r="G16" s="482"/>
      <c r="H16" s="482"/>
      <c r="I16" s="482"/>
      <c r="J16" s="482"/>
      <c r="K16" s="216"/>
    </row>
    <row r="17" spans="2:11" s="1" customFormat="1" ht="15" customHeight="1">
      <c r="B17" s="219"/>
      <c r="C17" s="220"/>
      <c r="D17" s="482" t="s">
        <v>4323</v>
      </c>
      <c r="E17" s="482"/>
      <c r="F17" s="482"/>
      <c r="G17" s="482"/>
      <c r="H17" s="482"/>
      <c r="I17" s="482"/>
      <c r="J17" s="482"/>
      <c r="K17" s="216"/>
    </row>
    <row r="18" spans="2:11" s="1" customFormat="1" ht="15" customHeight="1">
      <c r="B18" s="219"/>
      <c r="C18" s="220"/>
      <c r="D18" s="220"/>
      <c r="E18" s="222" t="s">
        <v>84</v>
      </c>
      <c r="F18" s="482" t="s">
        <v>4324</v>
      </c>
      <c r="G18" s="482"/>
      <c r="H18" s="482"/>
      <c r="I18" s="482"/>
      <c r="J18" s="482"/>
      <c r="K18" s="216"/>
    </row>
    <row r="19" spans="2:11" s="1" customFormat="1" ht="15" customHeight="1">
      <c r="B19" s="219"/>
      <c r="C19" s="220"/>
      <c r="D19" s="220"/>
      <c r="E19" s="222" t="s">
        <v>4325</v>
      </c>
      <c r="F19" s="482" t="s">
        <v>4326</v>
      </c>
      <c r="G19" s="482"/>
      <c r="H19" s="482"/>
      <c r="I19" s="482"/>
      <c r="J19" s="482"/>
      <c r="K19" s="216"/>
    </row>
    <row r="20" spans="2:11" s="1" customFormat="1" ht="15" customHeight="1">
      <c r="B20" s="219"/>
      <c r="C20" s="220"/>
      <c r="D20" s="220"/>
      <c r="E20" s="222" t="s">
        <v>4327</v>
      </c>
      <c r="F20" s="482" t="s">
        <v>4328</v>
      </c>
      <c r="G20" s="482"/>
      <c r="H20" s="482"/>
      <c r="I20" s="482"/>
      <c r="J20" s="482"/>
      <c r="K20" s="216"/>
    </row>
    <row r="21" spans="2:11" s="1" customFormat="1" ht="15" customHeight="1">
      <c r="B21" s="219"/>
      <c r="C21" s="220"/>
      <c r="D21" s="220"/>
      <c r="E21" s="222" t="s">
        <v>142</v>
      </c>
      <c r="F21" s="482" t="s">
        <v>4329</v>
      </c>
      <c r="G21" s="482"/>
      <c r="H21" s="482"/>
      <c r="I21" s="482"/>
      <c r="J21" s="482"/>
      <c r="K21" s="216"/>
    </row>
    <row r="22" spans="2:11" s="1" customFormat="1" ht="15" customHeight="1">
      <c r="B22" s="219"/>
      <c r="C22" s="220"/>
      <c r="D22" s="220"/>
      <c r="E22" s="222" t="s">
        <v>4330</v>
      </c>
      <c r="F22" s="482" t="s">
        <v>4331</v>
      </c>
      <c r="G22" s="482"/>
      <c r="H22" s="482"/>
      <c r="I22" s="482"/>
      <c r="J22" s="482"/>
      <c r="K22" s="216"/>
    </row>
    <row r="23" spans="2:11" s="1" customFormat="1" ht="15" customHeight="1">
      <c r="B23" s="219"/>
      <c r="C23" s="220"/>
      <c r="D23" s="220"/>
      <c r="E23" s="222" t="s">
        <v>4332</v>
      </c>
      <c r="F23" s="482" t="s">
        <v>4333</v>
      </c>
      <c r="G23" s="482"/>
      <c r="H23" s="482"/>
      <c r="I23" s="482"/>
      <c r="J23" s="482"/>
      <c r="K23" s="216"/>
    </row>
    <row r="24" spans="2:11" s="1" customFormat="1" ht="12.75" customHeight="1">
      <c r="B24" s="219"/>
      <c r="C24" s="220"/>
      <c r="D24" s="220"/>
      <c r="E24" s="220"/>
      <c r="F24" s="220"/>
      <c r="G24" s="220"/>
      <c r="H24" s="220"/>
      <c r="I24" s="220"/>
      <c r="J24" s="220"/>
      <c r="K24" s="216"/>
    </row>
    <row r="25" spans="2:11" s="1" customFormat="1" ht="15" customHeight="1">
      <c r="B25" s="219"/>
      <c r="C25" s="482" t="s">
        <v>4334</v>
      </c>
      <c r="D25" s="482"/>
      <c r="E25" s="482"/>
      <c r="F25" s="482"/>
      <c r="G25" s="482"/>
      <c r="H25" s="482"/>
      <c r="I25" s="482"/>
      <c r="J25" s="482"/>
      <c r="K25" s="216"/>
    </row>
    <row r="26" spans="2:11" s="1" customFormat="1" ht="15" customHeight="1">
      <c r="B26" s="219"/>
      <c r="C26" s="482" t="s">
        <v>4335</v>
      </c>
      <c r="D26" s="482"/>
      <c r="E26" s="482"/>
      <c r="F26" s="482"/>
      <c r="G26" s="482"/>
      <c r="H26" s="482"/>
      <c r="I26" s="482"/>
      <c r="J26" s="482"/>
      <c r="K26" s="216"/>
    </row>
    <row r="27" spans="2:11" s="1" customFormat="1" ht="15" customHeight="1">
      <c r="B27" s="219"/>
      <c r="C27" s="218"/>
      <c r="D27" s="482" t="s">
        <v>4336</v>
      </c>
      <c r="E27" s="482"/>
      <c r="F27" s="482"/>
      <c r="G27" s="482"/>
      <c r="H27" s="482"/>
      <c r="I27" s="482"/>
      <c r="J27" s="482"/>
      <c r="K27" s="216"/>
    </row>
    <row r="28" spans="2:11" s="1" customFormat="1" ht="15" customHeight="1">
      <c r="B28" s="219"/>
      <c r="C28" s="220"/>
      <c r="D28" s="482" t="s">
        <v>4337</v>
      </c>
      <c r="E28" s="482"/>
      <c r="F28" s="482"/>
      <c r="G28" s="482"/>
      <c r="H28" s="482"/>
      <c r="I28" s="482"/>
      <c r="J28" s="482"/>
      <c r="K28" s="216"/>
    </row>
    <row r="29" spans="2:11" s="1" customFormat="1" ht="12.75" customHeight="1">
      <c r="B29" s="219"/>
      <c r="C29" s="220"/>
      <c r="D29" s="220"/>
      <c r="E29" s="220"/>
      <c r="F29" s="220"/>
      <c r="G29" s="220"/>
      <c r="H29" s="220"/>
      <c r="I29" s="220"/>
      <c r="J29" s="220"/>
      <c r="K29" s="216"/>
    </row>
    <row r="30" spans="2:11" s="1" customFormat="1" ht="15" customHeight="1">
      <c r="B30" s="219"/>
      <c r="C30" s="220"/>
      <c r="D30" s="482" t="s">
        <v>4338</v>
      </c>
      <c r="E30" s="482"/>
      <c r="F30" s="482"/>
      <c r="G30" s="482"/>
      <c r="H30" s="482"/>
      <c r="I30" s="482"/>
      <c r="J30" s="482"/>
      <c r="K30" s="216"/>
    </row>
    <row r="31" spans="2:11" s="1" customFormat="1" ht="15" customHeight="1">
      <c r="B31" s="219"/>
      <c r="C31" s="220"/>
      <c r="D31" s="482" t="s">
        <v>4339</v>
      </c>
      <c r="E31" s="482"/>
      <c r="F31" s="482"/>
      <c r="G31" s="482"/>
      <c r="H31" s="482"/>
      <c r="I31" s="482"/>
      <c r="J31" s="482"/>
      <c r="K31" s="216"/>
    </row>
    <row r="32" spans="2:11" s="1" customFormat="1" ht="12.75" customHeight="1">
      <c r="B32" s="219"/>
      <c r="C32" s="220"/>
      <c r="D32" s="220"/>
      <c r="E32" s="220"/>
      <c r="F32" s="220"/>
      <c r="G32" s="220"/>
      <c r="H32" s="220"/>
      <c r="I32" s="220"/>
      <c r="J32" s="220"/>
      <c r="K32" s="216"/>
    </row>
    <row r="33" spans="2:11" s="1" customFormat="1" ht="15" customHeight="1">
      <c r="B33" s="219"/>
      <c r="C33" s="220"/>
      <c r="D33" s="482" t="s">
        <v>4340</v>
      </c>
      <c r="E33" s="482"/>
      <c r="F33" s="482"/>
      <c r="G33" s="482"/>
      <c r="H33" s="482"/>
      <c r="I33" s="482"/>
      <c r="J33" s="482"/>
      <c r="K33" s="216"/>
    </row>
    <row r="34" spans="2:11" s="1" customFormat="1" ht="15" customHeight="1">
      <c r="B34" s="219"/>
      <c r="C34" s="220"/>
      <c r="D34" s="482" t="s">
        <v>4341</v>
      </c>
      <c r="E34" s="482"/>
      <c r="F34" s="482"/>
      <c r="G34" s="482"/>
      <c r="H34" s="482"/>
      <c r="I34" s="482"/>
      <c r="J34" s="482"/>
      <c r="K34" s="216"/>
    </row>
    <row r="35" spans="2:11" s="1" customFormat="1" ht="15" customHeight="1">
      <c r="B35" s="219"/>
      <c r="C35" s="220"/>
      <c r="D35" s="482" t="s">
        <v>4342</v>
      </c>
      <c r="E35" s="482"/>
      <c r="F35" s="482"/>
      <c r="G35" s="482"/>
      <c r="H35" s="482"/>
      <c r="I35" s="482"/>
      <c r="J35" s="482"/>
      <c r="K35" s="216"/>
    </row>
    <row r="36" spans="2:11" s="1" customFormat="1" ht="15" customHeight="1">
      <c r="B36" s="219"/>
      <c r="C36" s="220"/>
      <c r="D36" s="218"/>
      <c r="E36" s="221" t="s">
        <v>163</v>
      </c>
      <c r="F36" s="218"/>
      <c r="G36" s="482" t="s">
        <v>4343</v>
      </c>
      <c r="H36" s="482"/>
      <c r="I36" s="482"/>
      <c r="J36" s="482"/>
      <c r="K36" s="216"/>
    </row>
    <row r="37" spans="2:11" s="1" customFormat="1" ht="30.75" customHeight="1">
      <c r="B37" s="219"/>
      <c r="C37" s="220"/>
      <c r="D37" s="218"/>
      <c r="E37" s="221" t="s">
        <v>4344</v>
      </c>
      <c r="F37" s="218"/>
      <c r="G37" s="482" t="s">
        <v>4345</v>
      </c>
      <c r="H37" s="482"/>
      <c r="I37" s="482"/>
      <c r="J37" s="482"/>
      <c r="K37" s="216"/>
    </row>
    <row r="38" spans="2:11" s="1" customFormat="1" ht="15" customHeight="1">
      <c r="B38" s="219"/>
      <c r="C38" s="220"/>
      <c r="D38" s="218"/>
      <c r="E38" s="221" t="s">
        <v>58</v>
      </c>
      <c r="F38" s="218"/>
      <c r="G38" s="482" t="s">
        <v>4346</v>
      </c>
      <c r="H38" s="482"/>
      <c r="I38" s="482"/>
      <c r="J38" s="482"/>
      <c r="K38" s="216"/>
    </row>
    <row r="39" spans="2:11" s="1" customFormat="1" ht="15" customHeight="1">
      <c r="B39" s="219"/>
      <c r="C39" s="220"/>
      <c r="D39" s="218"/>
      <c r="E39" s="221" t="s">
        <v>59</v>
      </c>
      <c r="F39" s="218"/>
      <c r="G39" s="482" t="s">
        <v>4347</v>
      </c>
      <c r="H39" s="482"/>
      <c r="I39" s="482"/>
      <c r="J39" s="482"/>
      <c r="K39" s="216"/>
    </row>
    <row r="40" spans="2:11" s="1" customFormat="1" ht="15" customHeight="1">
      <c r="B40" s="219"/>
      <c r="C40" s="220"/>
      <c r="D40" s="218"/>
      <c r="E40" s="221" t="s">
        <v>164</v>
      </c>
      <c r="F40" s="218"/>
      <c r="G40" s="482" t="s">
        <v>4348</v>
      </c>
      <c r="H40" s="482"/>
      <c r="I40" s="482"/>
      <c r="J40" s="482"/>
      <c r="K40" s="216"/>
    </row>
    <row r="41" spans="2:11" s="1" customFormat="1" ht="15" customHeight="1">
      <c r="B41" s="219"/>
      <c r="C41" s="220"/>
      <c r="D41" s="218"/>
      <c r="E41" s="221" t="s">
        <v>165</v>
      </c>
      <c r="F41" s="218"/>
      <c r="G41" s="482" t="s">
        <v>4349</v>
      </c>
      <c r="H41" s="482"/>
      <c r="I41" s="482"/>
      <c r="J41" s="482"/>
      <c r="K41" s="216"/>
    </row>
    <row r="42" spans="2:11" s="1" customFormat="1" ht="15" customHeight="1">
      <c r="B42" s="219"/>
      <c r="C42" s="220"/>
      <c r="D42" s="218"/>
      <c r="E42" s="221" t="s">
        <v>4350</v>
      </c>
      <c r="F42" s="218"/>
      <c r="G42" s="482" t="s">
        <v>4351</v>
      </c>
      <c r="H42" s="482"/>
      <c r="I42" s="482"/>
      <c r="J42" s="482"/>
      <c r="K42" s="216"/>
    </row>
    <row r="43" spans="2:11" s="1" customFormat="1" ht="15" customHeight="1">
      <c r="B43" s="219"/>
      <c r="C43" s="220"/>
      <c r="D43" s="218"/>
      <c r="E43" s="221"/>
      <c r="F43" s="218"/>
      <c r="G43" s="482" t="s">
        <v>4352</v>
      </c>
      <c r="H43" s="482"/>
      <c r="I43" s="482"/>
      <c r="J43" s="482"/>
      <c r="K43" s="216"/>
    </row>
    <row r="44" spans="2:11" s="1" customFormat="1" ht="15" customHeight="1">
      <c r="B44" s="219"/>
      <c r="C44" s="220"/>
      <c r="D44" s="218"/>
      <c r="E44" s="221" t="s">
        <v>4353</v>
      </c>
      <c r="F44" s="218"/>
      <c r="G44" s="482" t="s">
        <v>4354</v>
      </c>
      <c r="H44" s="482"/>
      <c r="I44" s="482"/>
      <c r="J44" s="482"/>
      <c r="K44" s="216"/>
    </row>
    <row r="45" spans="2:11" s="1" customFormat="1" ht="15" customHeight="1">
      <c r="B45" s="219"/>
      <c r="C45" s="220"/>
      <c r="D45" s="218"/>
      <c r="E45" s="221" t="s">
        <v>167</v>
      </c>
      <c r="F45" s="218"/>
      <c r="G45" s="482" t="s">
        <v>4355</v>
      </c>
      <c r="H45" s="482"/>
      <c r="I45" s="482"/>
      <c r="J45" s="482"/>
      <c r="K45" s="216"/>
    </row>
    <row r="46" spans="2:11" s="1" customFormat="1" ht="12.75" customHeight="1">
      <c r="B46" s="219"/>
      <c r="C46" s="220"/>
      <c r="D46" s="218"/>
      <c r="E46" s="218"/>
      <c r="F46" s="218"/>
      <c r="G46" s="218"/>
      <c r="H46" s="218"/>
      <c r="I46" s="218"/>
      <c r="J46" s="218"/>
      <c r="K46" s="216"/>
    </row>
    <row r="47" spans="2:11" s="1" customFormat="1" ht="15" customHeight="1">
      <c r="B47" s="219"/>
      <c r="C47" s="220"/>
      <c r="D47" s="482" t="s">
        <v>4356</v>
      </c>
      <c r="E47" s="482"/>
      <c r="F47" s="482"/>
      <c r="G47" s="482"/>
      <c r="H47" s="482"/>
      <c r="I47" s="482"/>
      <c r="J47" s="482"/>
      <c r="K47" s="216"/>
    </row>
    <row r="48" spans="2:11" s="1" customFormat="1" ht="15" customHeight="1">
      <c r="B48" s="219"/>
      <c r="C48" s="220"/>
      <c r="D48" s="220"/>
      <c r="E48" s="482" t="s">
        <v>4357</v>
      </c>
      <c r="F48" s="482"/>
      <c r="G48" s="482"/>
      <c r="H48" s="482"/>
      <c r="I48" s="482"/>
      <c r="J48" s="482"/>
      <c r="K48" s="216"/>
    </row>
    <row r="49" spans="2:11" s="1" customFormat="1" ht="15" customHeight="1">
      <c r="B49" s="219"/>
      <c r="C49" s="220"/>
      <c r="D49" s="220"/>
      <c r="E49" s="482" t="s">
        <v>4358</v>
      </c>
      <c r="F49" s="482"/>
      <c r="G49" s="482"/>
      <c r="H49" s="482"/>
      <c r="I49" s="482"/>
      <c r="J49" s="482"/>
      <c r="K49" s="216"/>
    </row>
    <row r="50" spans="2:11" s="1" customFormat="1" ht="15" customHeight="1">
      <c r="B50" s="219"/>
      <c r="C50" s="220"/>
      <c r="D50" s="220"/>
      <c r="E50" s="482" t="s">
        <v>4359</v>
      </c>
      <c r="F50" s="482"/>
      <c r="G50" s="482"/>
      <c r="H50" s="482"/>
      <c r="I50" s="482"/>
      <c r="J50" s="482"/>
      <c r="K50" s="216"/>
    </row>
    <row r="51" spans="2:11" s="1" customFormat="1" ht="15" customHeight="1">
      <c r="B51" s="219"/>
      <c r="C51" s="220"/>
      <c r="D51" s="482" t="s">
        <v>4360</v>
      </c>
      <c r="E51" s="482"/>
      <c r="F51" s="482"/>
      <c r="G51" s="482"/>
      <c r="H51" s="482"/>
      <c r="I51" s="482"/>
      <c r="J51" s="482"/>
      <c r="K51" s="216"/>
    </row>
    <row r="52" spans="2:11" s="1" customFormat="1" ht="25.5" customHeight="1">
      <c r="B52" s="215"/>
      <c r="C52" s="484" t="s">
        <v>4361</v>
      </c>
      <c r="D52" s="484"/>
      <c r="E52" s="484"/>
      <c r="F52" s="484"/>
      <c r="G52" s="484"/>
      <c r="H52" s="484"/>
      <c r="I52" s="484"/>
      <c r="J52" s="484"/>
      <c r="K52" s="216"/>
    </row>
    <row r="53" spans="2:11" s="1" customFormat="1" ht="5.25" customHeight="1">
      <c r="B53" s="215"/>
      <c r="C53" s="217"/>
      <c r="D53" s="217"/>
      <c r="E53" s="217"/>
      <c r="F53" s="217"/>
      <c r="G53" s="217"/>
      <c r="H53" s="217"/>
      <c r="I53" s="217"/>
      <c r="J53" s="217"/>
      <c r="K53" s="216"/>
    </row>
    <row r="54" spans="2:11" s="1" customFormat="1" ht="15" customHeight="1">
      <c r="B54" s="215"/>
      <c r="C54" s="482" t="s">
        <v>4362</v>
      </c>
      <c r="D54" s="482"/>
      <c r="E54" s="482"/>
      <c r="F54" s="482"/>
      <c r="G54" s="482"/>
      <c r="H54" s="482"/>
      <c r="I54" s="482"/>
      <c r="J54" s="482"/>
      <c r="K54" s="216"/>
    </row>
    <row r="55" spans="2:11" s="1" customFormat="1" ht="15" customHeight="1">
      <c r="B55" s="215"/>
      <c r="C55" s="482" t="s">
        <v>4363</v>
      </c>
      <c r="D55" s="482"/>
      <c r="E55" s="482"/>
      <c r="F55" s="482"/>
      <c r="G55" s="482"/>
      <c r="H55" s="482"/>
      <c r="I55" s="482"/>
      <c r="J55" s="482"/>
      <c r="K55" s="216"/>
    </row>
    <row r="56" spans="2:11" s="1" customFormat="1" ht="12.75" customHeight="1">
      <c r="B56" s="215"/>
      <c r="C56" s="218"/>
      <c r="D56" s="218"/>
      <c r="E56" s="218"/>
      <c r="F56" s="218"/>
      <c r="G56" s="218"/>
      <c r="H56" s="218"/>
      <c r="I56" s="218"/>
      <c r="J56" s="218"/>
      <c r="K56" s="216"/>
    </row>
    <row r="57" spans="2:11" s="1" customFormat="1" ht="15" customHeight="1">
      <c r="B57" s="215"/>
      <c r="C57" s="482" t="s">
        <v>4364</v>
      </c>
      <c r="D57" s="482"/>
      <c r="E57" s="482"/>
      <c r="F57" s="482"/>
      <c r="G57" s="482"/>
      <c r="H57" s="482"/>
      <c r="I57" s="482"/>
      <c r="J57" s="482"/>
      <c r="K57" s="216"/>
    </row>
    <row r="58" spans="2:11" s="1" customFormat="1" ht="15" customHeight="1">
      <c r="B58" s="215"/>
      <c r="C58" s="220"/>
      <c r="D58" s="482" t="s">
        <v>4365</v>
      </c>
      <c r="E58" s="482"/>
      <c r="F58" s="482"/>
      <c r="G58" s="482"/>
      <c r="H58" s="482"/>
      <c r="I58" s="482"/>
      <c r="J58" s="482"/>
      <c r="K58" s="216"/>
    </row>
    <row r="59" spans="2:11" s="1" customFormat="1" ht="15" customHeight="1">
      <c r="B59" s="215"/>
      <c r="C59" s="220"/>
      <c r="D59" s="482" t="s">
        <v>4366</v>
      </c>
      <c r="E59" s="482"/>
      <c r="F59" s="482"/>
      <c r="G59" s="482"/>
      <c r="H59" s="482"/>
      <c r="I59" s="482"/>
      <c r="J59" s="482"/>
      <c r="K59" s="216"/>
    </row>
    <row r="60" spans="2:11" s="1" customFormat="1" ht="15" customHeight="1">
      <c r="B60" s="215"/>
      <c r="C60" s="220"/>
      <c r="D60" s="482" t="s">
        <v>4367</v>
      </c>
      <c r="E60" s="482"/>
      <c r="F60" s="482"/>
      <c r="G60" s="482"/>
      <c r="H60" s="482"/>
      <c r="I60" s="482"/>
      <c r="J60" s="482"/>
      <c r="K60" s="216"/>
    </row>
    <row r="61" spans="2:11" s="1" customFormat="1" ht="15" customHeight="1">
      <c r="B61" s="215"/>
      <c r="C61" s="220"/>
      <c r="D61" s="482" t="s">
        <v>4368</v>
      </c>
      <c r="E61" s="482"/>
      <c r="F61" s="482"/>
      <c r="G61" s="482"/>
      <c r="H61" s="482"/>
      <c r="I61" s="482"/>
      <c r="J61" s="482"/>
      <c r="K61" s="216"/>
    </row>
    <row r="62" spans="2:11" s="1" customFormat="1" ht="15" customHeight="1">
      <c r="B62" s="215"/>
      <c r="C62" s="220"/>
      <c r="D62" s="486" t="s">
        <v>4369</v>
      </c>
      <c r="E62" s="486"/>
      <c r="F62" s="486"/>
      <c r="G62" s="486"/>
      <c r="H62" s="486"/>
      <c r="I62" s="486"/>
      <c r="J62" s="486"/>
      <c r="K62" s="216"/>
    </row>
    <row r="63" spans="2:11" s="1" customFormat="1" ht="15" customHeight="1">
      <c r="B63" s="215"/>
      <c r="C63" s="220"/>
      <c r="D63" s="482" t="s">
        <v>4370</v>
      </c>
      <c r="E63" s="482"/>
      <c r="F63" s="482"/>
      <c r="G63" s="482"/>
      <c r="H63" s="482"/>
      <c r="I63" s="482"/>
      <c r="J63" s="482"/>
      <c r="K63" s="216"/>
    </row>
    <row r="64" spans="2:11" s="1" customFormat="1" ht="12.75" customHeight="1">
      <c r="B64" s="215"/>
      <c r="C64" s="220"/>
      <c r="D64" s="220"/>
      <c r="E64" s="223"/>
      <c r="F64" s="220"/>
      <c r="G64" s="220"/>
      <c r="H64" s="220"/>
      <c r="I64" s="220"/>
      <c r="J64" s="220"/>
      <c r="K64" s="216"/>
    </row>
    <row r="65" spans="2:11" s="1" customFormat="1" ht="15" customHeight="1">
      <c r="B65" s="215"/>
      <c r="C65" s="220"/>
      <c r="D65" s="482" t="s">
        <v>4371</v>
      </c>
      <c r="E65" s="482"/>
      <c r="F65" s="482"/>
      <c r="G65" s="482"/>
      <c r="H65" s="482"/>
      <c r="I65" s="482"/>
      <c r="J65" s="482"/>
      <c r="K65" s="216"/>
    </row>
    <row r="66" spans="2:11" s="1" customFormat="1" ht="15" customHeight="1">
      <c r="B66" s="215"/>
      <c r="C66" s="220"/>
      <c r="D66" s="486" t="s">
        <v>4372</v>
      </c>
      <c r="E66" s="486"/>
      <c r="F66" s="486"/>
      <c r="G66" s="486"/>
      <c r="H66" s="486"/>
      <c r="I66" s="486"/>
      <c r="J66" s="486"/>
      <c r="K66" s="216"/>
    </row>
    <row r="67" spans="2:11" s="1" customFormat="1" ht="15" customHeight="1">
      <c r="B67" s="215"/>
      <c r="C67" s="220"/>
      <c r="D67" s="482" t="s">
        <v>4373</v>
      </c>
      <c r="E67" s="482"/>
      <c r="F67" s="482"/>
      <c r="G67" s="482"/>
      <c r="H67" s="482"/>
      <c r="I67" s="482"/>
      <c r="J67" s="482"/>
      <c r="K67" s="216"/>
    </row>
    <row r="68" spans="2:11" s="1" customFormat="1" ht="15" customHeight="1">
      <c r="B68" s="215"/>
      <c r="C68" s="220"/>
      <c r="D68" s="482" t="s">
        <v>4374</v>
      </c>
      <c r="E68" s="482"/>
      <c r="F68" s="482"/>
      <c r="G68" s="482"/>
      <c r="H68" s="482"/>
      <c r="I68" s="482"/>
      <c r="J68" s="482"/>
      <c r="K68" s="216"/>
    </row>
    <row r="69" spans="2:11" s="1" customFormat="1" ht="15" customHeight="1">
      <c r="B69" s="215"/>
      <c r="C69" s="220"/>
      <c r="D69" s="482" t="s">
        <v>4375</v>
      </c>
      <c r="E69" s="482"/>
      <c r="F69" s="482"/>
      <c r="G69" s="482"/>
      <c r="H69" s="482"/>
      <c r="I69" s="482"/>
      <c r="J69" s="482"/>
      <c r="K69" s="216"/>
    </row>
    <row r="70" spans="2:11" s="1" customFormat="1" ht="15" customHeight="1">
      <c r="B70" s="215"/>
      <c r="C70" s="220"/>
      <c r="D70" s="482" t="s">
        <v>4376</v>
      </c>
      <c r="E70" s="482"/>
      <c r="F70" s="482"/>
      <c r="G70" s="482"/>
      <c r="H70" s="482"/>
      <c r="I70" s="482"/>
      <c r="J70" s="482"/>
      <c r="K70" s="216"/>
    </row>
    <row r="71" spans="2:11" s="1" customFormat="1" ht="12.75" customHeight="1">
      <c r="B71" s="224"/>
      <c r="C71" s="225"/>
      <c r="D71" s="225"/>
      <c r="E71" s="225"/>
      <c r="F71" s="225"/>
      <c r="G71" s="225"/>
      <c r="H71" s="225"/>
      <c r="I71" s="225"/>
      <c r="J71" s="225"/>
      <c r="K71" s="226"/>
    </row>
    <row r="72" spans="2:11" s="1" customFormat="1" ht="18.75" customHeight="1">
      <c r="B72" s="227"/>
      <c r="C72" s="227"/>
      <c r="D72" s="227"/>
      <c r="E72" s="227"/>
      <c r="F72" s="227"/>
      <c r="G72" s="227"/>
      <c r="H72" s="227"/>
      <c r="I72" s="227"/>
      <c r="J72" s="227"/>
      <c r="K72" s="228"/>
    </row>
    <row r="73" spans="2:11" s="1" customFormat="1" ht="18.75" customHeight="1">
      <c r="B73" s="228"/>
      <c r="C73" s="228"/>
      <c r="D73" s="228"/>
      <c r="E73" s="228"/>
      <c r="F73" s="228"/>
      <c r="G73" s="228"/>
      <c r="H73" s="228"/>
      <c r="I73" s="228"/>
      <c r="J73" s="228"/>
      <c r="K73" s="228"/>
    </row>
    <row r="74" spans="2:11" s="1" customFormat="1" ht="7.5" customHeight="1">
      <c r="B74" s="229"/>
      <c r="C74" s="230"/>
      <c r="D74" s="230"/>
      <c r="E74" s="230"/>
      <c r="F74" s="230"/>
      <c r="G74" s="230"/>
      <c r="H74" s="230"/>
      <c r="I74" s="230"/>
      <c r="J74" s="230"/>
      <c r="K74" s="231"/>
    </row>
    <row r="75" spans="2:11" s="1" customFormat="1" ht="45" customHeight="1">
      <c r="B75" s="232"/>
      <c r="C75" s="485" t="s">
        <v>4377</v>
      </c>
      <c r="D75" s="485"/>
      <c r="E75" s="485"/>
      <c r="F75" s="485"/>
      <c r="G75" s="485"/>
      <c r="H75" s="485"/>
      <c r="I75" s="485"/>
      <c r="J75" s="485"/>
      <c r="K75" s="233"/>
    </row>
    <row r="76" spans="2:11" s="1" customFormat="1" ht="17.25" customHeight="1">
      <c r="B76" s="232"/>
      <c r="C76" s="234" t="s">
        <v>4378</v>
      </c>
      <c r="D76" s="234"/>
      <c r="E76" s="234"/>
      <c r="F76" s="234" t="s">
        <v>4379</v>
      </c>
      <c r="G76" s="235"/>
      <c r="H76" s="234" t="s">
        <v>59</v>
      </c>
      <c r="I76" s="234" t="s">
        <v>62</v>
      </c>
      <c r="J76" s="234" t="s">
        <v>4380</v>
      </c>
      <c r="K76" s="233"/>
    </row>
    <row r="77" spans="2:11" s="1" customFormat="1" ht="17.25" customHeight="1">
      <c r="B77" s="232"/>
      <c r="C77" s="236" t="s">
        <v>4381</v>
      </c>
      <c r="D77" s="236"/>
      <c r="E77" s="236"/>
      <c r="F77" s="237" t="s">
        <v>4382</v>
      </c>
      <c r="G77" s="238"/>
      <c r="H77" s="236"/>
      <c r="I77" s="236"/>
      <c r="J77" s="236" t="s">
        <v>4383</v>
      </c>
      <c r="K77" s="233"/>
    </row>
    <row r="78" spans="2:11" s="1" customFormat="1" ht="5.25" customHeight="1">
      <c r="B78" s="232"/>
      <c r="C78" s="239"/>
      <c r="D78" s="239"/>
      <c r="E78" s="239"/>
      <c r="F78" s="239"/>
      <c r="G78" s="240"/>
      <c r="H78" s="239"/>
      <c r="I78" s="239"/>
      <c r="J78" s="239"/>
      <c r="K78" s="233"/>
    </row>
    <row r="79" spans="2:11" s="1" customFormat="1" ht="15" customHeight="1">
      <c r="B79" s="232"/>
      <c r="C79" s="221" t="s">
        <v>58</v>
      </c>
      <c r="D79" s="241"/>
      <c r="E79" s="241"/>
      <c r="F79" s="242" t="s">
        <v>4384</v>
      </c>
      <c r="G79" s="243"/>
      <c r="H79" s="221" t="s">
        <v>4385</v>
      </c>
      <c r="I79" s="221" t="s">
        <v>4386</v>
      </c>
      <c r="J79" s="221">
        <v>20</v>
      </c>
      <c r="K79" s="233"/>
    </row>
    <row r="80" spans="2:11" s="1" customFormat="1" ht="15" customHeight="1">
      <c r="B80" s="232"/>
      <c r="C80" s="221" t="s">
        <v>4387</v>
      </c>
      <c r="D80" s="221"/>
      <c r="E80" s="221"/>
      <c r="F80" s="242" t="s">
        <v>4384</v>
      </c>
      <c r="G80" s="243"/>
      <c r="H80" s="221" t="s">
        <v>4388</v>
      </c>
      <c r="I80" s="221" t="s">
        <v>4386</v>
      </c>
      <c r="J80" s="221">
        <v>120</v>
      </c>
      <c r="K80" s="233"/>
    </row>
    <row r="81" spans="2:11" s="1" customFormat="1" ht="15" customHeight="1">
      <c r="B81" s="244"/>
      <c r="C81" s="221" t="s">
        <v>4389</v>
      </c>
      <c r="D81" s="221"/>
      <c r="E81" s="221"/>
      <c r="F81" s="242" t="s">
        <v>4390</v>
      </c>
      <c r="G81" s="243"/>
      <c r="H81" s="221" t="s">
        <v>4391</v>
      </c>
      <c r="I81" s="221" t="s">
        <v>4386</v>
      </c>
      <c r="J81" s="221">
        <v>50</v>
      </c>
      <c r="K81" s="233"/>
    </row>
    <row r="82" spans="2:11" s="1" customFormat="1" ht="15" customHeight="1">
      <c r="B82" s="244"/>
      <c r="C82" s="221" t="s">
        <v>4392</v>
      </c>
      <c r="D82" s="221"/>
      <c r="E82" s="221"/>
      <c r="F82" s="242" t="s">
        <v>4384</v>
      </c>
      <c r="G82" s="243"/>
      <c r="H82" s="221" t="s">
        <v>4393</v>
      </c>
      <c r="I82" s="221" t="s">
        <v>4394</v>
      </c>
      <c r="J82" s="221"/>
      <c r="K82" s="233"/>
    </row>
    <row r="83" spans="2:11" s="1" customFormat="1" ht="15" customHeight="1">
      <c r="B83" s="244"/>
      <c r="C83" s="245" t="s">
        <v>4395</v>
      </c>
      <c r="D83" s="245"/>
      <c r="E83" s="245"/>
      <c r="F83" s="246" t="s">
        <v>4390</v>
      </c>
      <c r="G83" s="245"/>
      <c r="H83" s="245" t="s">
        <v>4396</v>
      </c>
      <c r="I83" s="245" t="s">
        <v>4386</v>
      </c>
      <c r="J83" s="245">
        <v>15</v>
      </c>
      <c r="K83" s="233"/>
    </row>
    <row r="84" spans="2:11" s="1" customFormat="1" ht="15" customHeight="1">
      <c r="B84" s="244"/>
      <c r="C84" s="245" t="s">
        <v>4397</v>
      </c>
      <c r="D84" s="245"/>
      <c r="E84" s="245"/>
      <c r="F84" s="246" t="s">
        <v>4390</v>
      </c>
      <c r="G84" s="245"/>
      <c r="H84" s="245" t="s">
        <v>4398</v>
      </c>
      <c r="I84" s="245" t="s">
        <v>4386</v>
      </c>
      <c r="J84" s="245">
        <v>15</v>
      </c>
      <c r="K84" s="233"/>
    </row>
    <row r="85" spans="2:11" s="1" customFormat="1" ht="15" customHeight="1">
      <c r="B85" s="244"/>
      <c r="C85" s="245" t="s">
        <v>4399</v>
      </c>
      <c r="D85" s="245"/>
      <c r="E85" s="245"/>
      <c r="F85" s="246" t="s">
        <v>4390</v>
      </c>
      <c r="G85" s="245"/>
      <c r="H85" s="245" t="s">
        <v>4400</v>
      </c>
      <c r="I85" s="245" t="s">
        <v>4386</v>
      </c>
      <c r="J85" s="245">
        <v>20</v>
      </c>
      <c r="K85" s="233"/>
    </row>
    <row r="86" spans="2:11" s="1" customFormat="1" ht="15" customHeight="1">
      <c r="B86" s="244"/>
      <c r="C86" s="245" t="s">
        <v>4401</v>
      </c>
      <c r="D86" s="245"/>
      <c r="E86" s="245"/>
      <c r="F86" s="246" t="s">
        <v>4390</v>
      </c>
      <c r="G86" s="245"/>
      <c r="H86" s="245" t="s">
        <v>4402</v>
      </c>
      <c r="I86" s="245" t="s">
        <v>4386</v>
      </c>
      <c r="J86" s="245">
        <v>20</v>
      </c>
      <c r="K86" s="233"/>
    </row>
    <row r="87" spans="2:11" s="1" customFormat="1" ht="15" customHeight="1">
      <c r="B87" s="244"/>
      <c r="C87" s="221" t="s">
        <v>4403</v>
      </c>
      <c r="D87" s="221"/>
      <c r="E87" s="221"/>
      <c r="F87" s="242" t="s">
        <v>4390</v>
      </c>
      <c r="G87" s="243"/>
      <c r="H87" s="221" t="s">
        <v>4404</v>
      </c>
      <c r="I87" s="221" t="s">
        <v>4386</v>
      </c>
      <c r="J87" s="221">
        <v>50</v>
      </c>
      <c r="K87" s="233"/>
    </row>
    <row r="88" spans="2:11" s="1" customFormat="1" ht="15" customHeight="1">
      <c r="B88" s="244"/>
      <c r="C88" s="221" t="s">
        <v>4405</v>
      </c>
      <c r="D88" s="221"/>
      <c r="E88" s="221"/>
      <c r="F88" s="242" t="s">
        <v>4390</v>
      </c>
      <c r="G88" s="243"/>
      <c r="H88" s="221" t="s">
        <v>4406</v>
      </c>
      <c r="I88" s="221" t="s">
        <v>4386</v>
      </c>
      <c r="J88" s="221">
        <v>20</v>
      </c>
      <c r="K88" s="233"/>
    </row>
    <row r="89" spans="2:11" s="1" customFormat="1" ht="15" customHeight="1">
      <c r="B89" s="244"/>
      <c r="C89" s="221" t="s">
        <v>4407</v>
      </c>
      <c r="D89" s="221"/>
      <c r="E89" s="221"/>
      <c r="F89" s="242" t="s">
        <v>4390</v>
      </c>
      <c r="G89" s="243"/>
      <c r="H89" s="221" t="s">
        <v>4408</v>
      </c>
      <c r="I89" s="221" t="s">
        <v>4386</v>
      </c>
      <c r="J89" s="221">
        <v>20</v>
      </c>
      <c r="K89" s="233"/>
    </row>
    <row r="90" spans="2:11" s="1" customFormat="1" ht="15" customHeight="1">
      <c r="B90" s="244"/>
      <c r="C90" s="221" t="s">
        <v>4409</v>
      </c>
      <c r="D90" s="221"/>
      <c r="E90" s="221"/>
      <c r="F90" s="242" t="s">
        <v>4390</v>
      </c>
      <c r="G90" s="243"/>
      <c r="H90" s="221" t="s">
        <v>4410</v>
      </c>
      <c r="I90" s="221" t="s">
        <v>4386</v>
      </c>
      <c r="J90" s="221">
        <v>50</v>
      </c>
      <c r="K90" s="233"/>
    </row>
    <row r="91" spans="2:11" s="1" customFormat="1" ht="15" customHeight="1">
      <c r="B91" s="244"/>
      <c r="C91" s="221" t="s">
        <v>4411</v>
      </c>
      <c r="D91" s="221"/>
      <c r="E91" s="221"/>
      <c r="F91" s="242" t="s">
        <v>4390</v>
      </c>
      <c r="G91" s="243"/>
      <c r="H91" s="221" t="s">
        <v>4411</v>
      </c>
      <c r="I91" s="221" t="s">
        <v>4386</v>
      </c>
      <c r="J91" s="221">
        <v>50</v>
      </c>
      <c r="K91" s="233"/>
    </row>
    <row r="92" spans="2:11" s="1" customFormat="1" ht="15" customHeight="1">
      <c r="B92" s="244"/>
      <c r="C92" s="221" t="s">
        <v>4412</v>
      </c>
      <c r="D92" s="221"/>
      <c r="E92" s="221"/>
      <c r="F92" s="242" t="s">
        <v>4390</v>
      </c>
      <c r="G92" s="243"/>
      <c r="H92" s="221" t="s">
        <v>4413</v>
      </c>
      <c r="I92" s="221" t="s">
        <v>4386</v>
      </c>
      <c r="J92" s="221">
        <v>255</v>
      </c>
      <c r="K92" s="233"/>
    </row>
    <row r="93" spans="2:11" s="1" customFormat="1" ht="15" customHeight="1">
      <c r="B93" s="244"/>
      <c r="C93" s="221" t="s">
        <v>4414</v>
      </c>
      <c r="D93" s="221"/>
      <c r="E93" s="221"/>
      <c r="F93" s="242" t="s">
        <v>4384</v>
      </c>
      <c r="G93" s="243"/>
      <c r="H93" s="221" t="s">
        <v>4415</v>
      </c>
      <c r="I93" s="221" t="s">
        <v>4416</v>
      </c>
      <c r="J93" s="221"/>
      <c r="K93" s="233"/>
    </row>
    <row r="94" spans="2:11" s="1" customFormat="1" ht="15" customHeight="1">
      <c r="B94" s="244"/>
      <c r="C94" s="221" t="s">
        <v>4417</v>
      </c>
      <c r="D94" s="221"/>
      <c r="E94" s="221"/>
      <c r="F94" s="242" t="s">
        <v>4384</v>
      </c>
      <c r="G94" s="243"/>
      <c r="H94" s="221" t="s">
        <v>4418</v>
      </c>
      <c r="I94" s="221" t="s">
        <v>4419</v>
      </c>
      <c r="J94" s="221"/>
      <c r="K94" s="233"/>
    </row>
    <row r="95" spans="2:11" s="1" customFormat="1" ht="15" customHeight="1">
      <c r="B95" s="244"/>
      <c r="C95" s="221" t="s">
        <v>4420</v>
      </c>
      <c r="D95" s="221"/>
      <c r="E95" s="221"/>
      <c r="F95" s="242" t="s">
        <v>4384</v>
      </c>
      <c r="G95" s="243"/>
      <c r="H95" s="221" t="s">
        <v>4420</v>
      </c>
      <c r="I95" s="221" t="s">
        <v>4419</v>
      </c>
      <c r="J95" s="221"/>
      <c r="K95" s="233"/>
    </row>
    <row r="96" spans="2:11" s="1" customFormat="1" ht="15" customHeight="1">
      <c r="B96" s="244"/>
      <c r="C96" s="221" t="s">
        <v>43</v>
      </c>
      <c r="D96" s="221"/>
      <c r="E96" s="221"/>
      <c r="F96" s="242" t="s">
        <v>4384</v>
      </c>
      <c r="G96" s="243"/>
      <c r="H96" s="221" t="s">
        <v>4421</v>
      </c>
      <c r="I96" s="221" t="s">
        <v>4419</v>
      </c>
      <c r="J96" s="221"/>
      <c r="K96" s="233"/>
    </row>
    <row r="97" spans="2:11" s="1" customFormat="1" ht="15" customHeight="1">
      <c r="B97" s="244"/>
      <c r="C97" s="221" t="s">
        <v>53</v>
      </c>
      <c r="D97" s="221"/>
      <c r="E97" s="221"/>
      <c r="F97" s="242" t="s">
        <v>4384</v>
      </c>
      <c r="G97" s="243"/>
      <c r="H97" s="221" t="s">
        <v>4422</v>
      </c>
      <c r="I97" s="221" t="s">
        <v>4419</v>
      </c>
      <c r="J97" s="221"/>
      <c r="K97" s="233"/>
    </row>
    <row r="98" spans="2:11" s="1" customFormat="1" ht="15" customHeight="1">
      <c r="B98" s="247"/>
      <c r="C98" s="248"/>
      <c r="D98" s="248"/>
      <c r="E98" s="248"/>
      <c r="F98" s="248"/>
      <c r="G98" s="248"/>
      <c r="H98" s="248"/>
      <c r="I98" s="248"/>
      <c r="J98" s="248"/>
      <c r="K98" s="249"/>
    </row>
    <row r="99" spans="2:11" s="1" customFormat="1" ht="18.75" customHeight="1">
      <c r="B99" s="250"/>
      <c r="C99" s="251"/>
      <c r="D99" s="251"/>
      <c r="E99" s="251"/>
      <c r="F99" s="251"/>
      <c r="G99" s="251"/>
      <c r="H99" s="251"/>
      <c r="I99" s="251"/>
      <c r="J99" s="251"/>
      <c r="K99" s="250"/>
    </row>
    <row r="100" spans="2:11" s="1" customFormat="1" ht="18.75" customHeight="1">
      <c r="B100" s="228"/>
      <c r="C100" s="228"/>
      <c r="D100" s="228"/>
      <c r="E100" s="228"/>
      <c r="F100" s="228"/>
      <c r="G100" s="228"/>
      <c r="H100" s="228"/>
      <c r="I100" s="228"/>
      <c r="J100" s="228"/>
      <c r="K100" s="228"/>
    </row>
    <row r="101" spans="2:11" s="1" customFormat="1" ht="7.5" customHeight="1">
      <c r="B101" s="229"/>
      <c r="C101" s="230"/>
      <c r="D101" s="230"/>
      <c r="E101" s="230"/>
      <c r="F101" s="230"/>
      <c r="G101" s="230"/>
      <c r="H101" s="230"/>
      <c r="I101" s="230"/>
      <c r="J101" s="230"/>
      <c r="K101" s="231"/>
    </row>
    <row r="102" spans="2:11" s="1" customFormat="1" ht="45" customHeight="1">
      <c r="B102" s="232"/>
      <c r="C102" s="485" t="s">
        <v>4423</v>
      </c>
      <c r="D102" s="485"/>
      <c r="E102" s="485"/>
      <c r="F102" s="485"/>
      <c r="G102" s="485"/>
      <c r="H102" s="485"/>
      <c r="I102" s="485"/>
      <c r="J102" s="485"/>
      <c r="K102" s="233"/>
    </row>
    <row r="103" spans="2:11" s="1" customFormat="1" ht="17.25" customHeight="1">
      <c r="B103" s="232"/>
      <c r="C103" s="234" t="s">
        <v>4378</v>
      </c>
      <c r="D103" s="234"/>
      <c r="E103" s="234"/>
      <c r="F103" s="234" t="s">
        <v>4379</v>
      </c>
      <c r="G103" s="235"/>
      <c r="H103" s="234" t="s">
        <v>59</v>
      </c>
      <c r="I103" s="234" t="s">
        <v>62</v>
      </c>
      <c r="J103" s="234" t="s">
        <v>4380</v>
      </c>
      <c r="K103" s="233"/>
    </row>
    <row r="104" spans="2:11" s="1" customFormat="1" ht="17.25" customHeight="1">
      <c r="B104" s="232"/>
      <c r="C104" s="236" t="s">
        <v>4381</v>
      </c>
      <c r="D104" s="236"/>
      <c r="E104" s="236"/>
      <c r="F104" s="237" t="s">
        <v>4382</v>
      </c>
      <c r="G104" s="238"/>
      <c r="H104" s="236"/>
      <c r="I104" s="236"/>
      <c r="J104" s="236" t="s">
        <v>4383</v>
      </c>
      <c r="K104" s="233"/>
    </row>
    <row r="105" spans="2:11" s="1" customFormat="1" ht="5.25" customHeight="1">
      <c r="B105" s="232"/>
      <c r="C105" s="234"/>
      <c r="D105" s="234"/>
      <c r="E105" s="234"/>
      <c r="F105" s="234"/>
      <c r="G105" s="252"/>
      <c r="H105" s="234"/>
      <c r="I105" s="234"/>
      <c r="J105" s="234"/>
      <c r="K105" s="233"/>
    </row>
    <row r="106" spans="2:11" s="1" customFormat="1" ht="15" customHeight="1">
      <c r="B106" s="232"/>
      <c r="C106" s="221" t="s">
        <v>58</v>
      </c>
      <c r="D106" s="241"/>
      <c r="E106" s="241"/>
      <c r="F106" s="242" t="s">
        <v>4384</v>
      </c>
      <c r="G106" s="221"/>
      <c r="H106" s="221" t="s">
        <v>4424</v>
      </c>
      <c r="I106" s="221" t="s">
        <v>4386</v>
      </c>
      <c r="J106" s="221">
        <v>20</v>
      </c>
      <c r="K106" s="233"/>
    </row>
    <row r="107" spans="2:11" s="1" customFormat="1" ht="15" customHeight="1">
      <c r="B107" s="232"/>
      <c r="C107" s="221" t="s">
        <v>4387</v>
      </c>
      <c r="D107" s="221"/>
      <c r="E107" s="221"/>
      <c r="F107" s="242" t="s">
        <v>4384</v>
      </c>
      <c r="G107" s="221"/>
      <c r="H107" s="221" t="s">
        <v>4424</v>
      </c>
      <c r="I107" s="221" t="s">
        <v>4386</v>
      </c>
      <c r="J107" s="221">
        <v>120</v>
      </c>
      <c r="K107" s="233"/>
    </row>
    <row r="108" spans="2:11" s="1" customFormat="1" ht="15" customHeight="1">
      <c r="B108" s="244"/>
      <c r="C108" s="221" t="s">
        <v>4389</v>
      </c>
      <c r="D108" s="221"/>
      <c r="E108" s="221"/>
      <c r="F108" s="242" t="s">
        <v>4390</v>
      </c>
      <c r="G108" s="221"/>
      <c r="H108" s="221" t="s">
        <v>4424</v>
      </c>
      <c r="I108" s="221" t="s">
        <v>4386</v>
      </c>
      <c r="J108" s="221">
        <v>50</v>
      </c>
      <c r="K108" s="233"/>
    </row>
    <row r="109" spans="2:11" s="1" customFormat="1" ht="15" customHeight="1">
      <c r="B109" s="244"/>
      <c r="C109" s="221" t="s">
        <v>4392</v>
      </c>
      <c r="D109" s="221"/>
      <c r="E109" s="221"/>
      <c r="F109" s="242" t="s">
        <v>4384</v>
      </c>
      <c r="G109" s="221"/>
      <c r="H109" s="221" t="s">
        <v>4424</v>
      </c>
      <c r="I109" s="221" t="s">
        <v>4394</v>
      </c>
      <c r="J109" s="221"/>
      <c r="K109" s="233"/>
    </row>
    <row r="110" spans="2:11" s="1" customFormat="1" ht="15" customHeight="1">
      <c r="B110" s="244"/>
      <c r="C110" s="221" t="s">
        <v>4403</v>
      </c>
      <c r="D110" s="221"/>
      <c r="E110" s="221"/>
      <c r="F110" s="242" t="s">
        <v>4390</v>
      </c>
      <c r="G110" s="221"/>
      <c r="H110" s="221" t="s">
        <v>4424</v>
      </c>
      <c r="I110" s="221" t="s">
        <v>4386</v>
      </c>
      <c r="J110" s="221">
        <v>50</v>
      </c>
      <c r="K110" s="233"/>
    </row>
    <row r="111" spans="2:11" s="1" customFormat="1" ht="15" customHeight="1">
      <c r="B111" s="244"/>
      <c r="C111" s="221" t="s">
        <v>4411</v>
      </c>
      <c r="D111" s="221"/>
      <c r="E111" s="221"/>
      <c r="F111" s="242" t="s">
        <v>4390</v>
      </c>
      <c r="G111" s="221"/>
      <c r="H111" s="221" t="s">
        <v>4424</v>
      </c>
      <c r="I111" s="221" t="s">
        <v>4386</v>
      </c>
      <c r="J111" s="221">
        <v>50</v>
      </c>
      <c r="K111" s="233"/>
    </row>
    <row r="112" spans="2:11" s="1" customFormat="1" ht="15" customHeight="1">
      <c r="B112" s="244"/>
      <c r="C112" s="221" t="s">
        <v>4409</v>
      </c>
      <c r="D112" s="221"/>
      <c r="E112" s="221"/>
      <c r="F112" s="242" t="s">
        <v>4390</v>
      </c>
      <c r="G112" s="221"/>
      <c r="H112" s="221" t="s">
        <v>4424</v>
      </c>
      <c r="I112" s="221" t="s">
        <v>4386</v>
      </c>
      <c r="J112" s="221">
        <v>50</v>
      </c>
      <c r="K112" s="233"/>
    </row>
    <row r="113" spans="2:11" s="1" customFormat="1" ht="15" customHeight="1">
      <c r="B113" s="244"/>
      <c r="C113" s="221" t="s">
        <v>58</v>
      </c>
      <c r="D113" s="221"/>
      <c r="E113" s="221"/>
      <c r="F113" s="242" t="s">
        <v>4384</v>
      </c>
      <c r="G113" s="221"/>
      <c r="H113" s="221" t="s">
        <v>4425</v>
      </c>
      <c r="I113" s="221" t="s">
        <v>4386</v>
      </c>
      <c r="J113" s="221">
        <v>20</v>
      </c>
      <c r="K113" s="233"/>
    </row>
    <row r="114" spans="2:11" s="1" customFormat="1" ht="15" customHeight="1">
      <c r="B114" s="244"/>
      <c r="C114" s="221" t="s">
        <v>4426</v>
      </c>
      <c r="D114" s="221"/>
      <c r="E114" s="221"/>
      <c r="F114" s="242" t="s">
        <v>4384</v>
      </c>
      <c r="G114" s="221"/>
      <c r="H114" s="221" t="s">
        <v>4427</v>
      </c>
      <c r="I114" s="221" t="s">
        <v>4386</v>
      </c>
      <c r="J114" s="221">
        <v>120</v>
      </c>
      <c r="K114" s="233"/>
    </row>
    <row r="115" spans="2:11" s="1" customFormat="1" ht="15" customHeight="1">
      <c r="B115" s="244"/>
      <c r="C115" s="221" t="s">
        <v>43</v>
      </c>
      <c r="D115" s="221"/>
      <c r="E115" s="221"/>
      <c r="F115" s="242" t="s">
        <v>4384</v>
      </c>
      <c r="G115" s="221"/>
      <c r="H115" s="221" t="s">
        <v>4428</v>
      </c>
      <c r="I115" s="221" t="s">
        <v>4419</v>
      </c>
      <c r="J115" s="221"/>
      <c r="K115" s="233"/>
    </row>
    <row r="116" spans="2:11" s="1" customFormat="1" ht="15" customHeight="1">
      <c r="B116" s="244"/>
      <c r="C116" s="221" t="s">
        <v>53</v>
      </c>
      <c r="D116" s="221"/>
      <c r="E116" s="221"/>
      <c r="F116" s="242" t="s">
        <v>4384</v>
      </c>
      <c r="G116" s="221"/>
      <c r="H116" s="221" t="s">
        <v>4429</v>
      </c>
      <c r="I116" s="221" t="s">
        <v>4419</v>
      </c>
      <c r="J116" s="221"/>
      <c r="K116" s="233"/>
    </row>
    <row r="117" spans="2:11" s="1" customFormat="1" ht="15" customHeight="1">
      <c r="B117" s="244"/>
      <c r="C117" s="221" t="s">
        <v>62</v>
      </c>
      <c r="D117" s="221"/>
      <c r="E117" s="221"/>
      <c r="F117" s="242" t="s">
        <v>4384</v>
      </c>
      <c r="G117" s="221"/>
      <c r="H117" s="221" t="s">
        <v>4430</v>
      </c>
      <c r="I117" s="221" t="s">
        <v>4431</v>
      </c>
      <c r="J117" s="221"/>
      <c r="K117" s="233"/>
    </row>
    <row r="118" spans="2:11" s="1" customFormat="1" ht="15" customHeight="1">
      <c r="B118" s="247"/>
      <c r="C118" s="253"/>
      <c r="D118" s="253"/>
      <c r="E118" s="253"/>
      <c r="F118" s="253"/>
      <c r="G118" s="253"/>
      <c r="H118" s="253"/>
      <c r="I118" s="253"/>
      <c r="J118" s="253"/>
      <c r="K118" s="249"/>
    </row>
    <row r="119" spans="2:11" s="1" customFormat="1" ht="18.75" customHeight="1">
      <c r="B119" s="254"/>
      <c r="C119" s="255"/>
      <c r="D119" s="255"/>
      <c r="E119" s="255"/>
      <c r="F119" s="256"/>
      <c r="G119" s="255"/>
      <c r="H119" s="255"/>
      <c r="I119" s="255"/>
      <c r="J119" s="255"/>
      <c r="K119" s="254"/>
    </row>
    <row r="120" spans="2:11" s="1" customFormat="1" ht="18.75" customHeight="1">
      <c r="B120" s="228"/>
      <c r="C120" s="228"/>
      <c r="D120" s="228"/>
      <c r="E120" s="228"/>
      <c r="F120" s="228"/>
      <c r="G120" s="228"/>
      <c r="H120" s="228"/>
      <c r="I120" s="228"/>
      <c r="J120" s="228"/>
      <c r="K120" s="228"/>
    </row>
    <row r="121" spans="2:11" s="1" customFormat="1" ht="7.5" customHeight="1">
      <c r="B121" s="257"/>
      <c r="C121" s="258"/>
      <c r="D121" s="258"/>
      <c r="E121" s="258"/>
      <c r="F121" s="258"/>
      <c r="G121" s="258"/>
      <c r="H121" s="258"/>
      <c r="I121" s="258"/>
      <c r="J121" s="258"/>
      <c r="K121" s="259"/>
    </row>
    <row r="122" spans="2:11" s="1" customFormat="1" ht="45" customHeight="1">
      <c r="B122" s="260"/>
      <c r="C122" s="483" t="s">
        <v>4432</v>
      </c>
      <c r="D122" s="483"/>
      <c r="E122" s="483"/>
      <c r="F122" s="483"/>
      <c r="G122" s="483"/>
      <c r="H122" s="483"/>
      <c r="I122" s="483"/>
      <c r="J122" s="483"/>
      <c r="K122" s="261"/>
    </row>
    <row r="123" spans="2:11" s="1" customFormat="1" ht="17.25" customHeight="1">
      <c r="B123" s="262"/>
      <c r="C123" s="234" t="s">
        <v>4378</v>
      </c>
      <c r="D123" s="234"/>
      <c r="E123" s="234"/>
      <c r="F123" s="234" t="s">
        <v>4379</v>
      </c>
      <c r="G123" s="235"/>
      <c r="H123" s="234" t="s">
        <v>59</v>
      </c>
      <c r="I123" s="234" t="s">
        <v>62</v>
      </c>
      <c r="J123" s="234" t="s">
        <v>4380</v>
      </c>
      <c r="K123" s="263"/>
    </row>
    <row r="124" spans="2:11" s="1" customFormat="1" ht="17.25" customHeight="1">
      <c r="B124" s="262"/>
      <c r="C124" s="236" t="s">
        <v>4381</v>
      </c>
      <c r="D124" s="236"/>
      <c r="E124" s="236"/>
      <c r="F124" s="237" t="s">
        <v>4382</v>
      </c>
      <c r="G124" s="238"/>
      <c r="H124" s="236"/>
      <c r="I124" s="236"/>
      <c r="J124" s="236" t="s">
        <v>4383</v>
      </c>
      <c r="K124" s="263"/>
    </row>
    <row r="125" spans="2:11" s="1" customFormat="1" ht="5.25" customHeight="1">
      <c r="B125" s="264"/>
      <c r="C125" s="239"/>
      <c r="D125" s="239"/>
      <c r="E125" s="239"/>
      <c r="F125" s="239"/>
      <c r="G125" s="265"/>
      <c r="H125" s="239"/>
      <c r="I125" s="239"/>
      <c r="J125" s="239"/>
      <c r="K125" s="266"/>
    </row>
    <row r="126" spans="2:11" s="1" customFormat="1" ht="15" customHeight="1">
      <c r="B126" s="264"/>
      <c r="C126" s="221" t="s">
        <v>4387</v>
      </c>
      <c r="D126" s="241"/>
      <c r="E126" s="241"/>
      <c r="F126" s="242" t="s">
        <v>4384</v>
      </c>
      <c r="G126" s="221"/>
      <c r="H126" s="221" t="s">
        <v>4424</v>
      </c>
      <c r="I126" s="221" t="s">
        <v>4386</v>
      </c>
      <c r="J126" s="221">
        <v>120</v>
      </c>
      <c r="K126" s="267"/>
    </row>
    <row r="127" spans="2:11" s="1" customFormat="1" ht="15" customHeight="1">
      <c r="B127" s="264"/>
      <c r="C127" s="221" t="s">
        <v>4433</v>
      </c>
      <c r="D127" s="221"/>
      <c r="E127" s="221"/>
      <c r="F127" s="242" t="s">
        <v>4384</v>
      </c>
      <c r="G127" s="221"/>
      <c r="H127" s="221" t="s">
        <v>4434</v>
      </c>
      <c r="I127" s="221" t="s">
        <v>4386</v>
      </c>
      <c r="J127" s="221" t="s">
        <v>4435</v>
      </c>
      <c r="K127" s="267"/>
    </row>
    <row r="128" spans="2:11" s="1" customFormat="1" ht="15" customHeight="1">
      <c r="B128" s="264"/>
      <c r="C128" s="221" t="s">
        <v>4332</v>
      </c>
      <c r="D128" s="221"/>
      <c r="E128" s="221"/>
      <c r="F128" s="242" t="s">
        <v>4384</v>
      </c>
      <c r="G128" s="221"/>
      <c r="H128" s="221" t="s">
        <v>4436</v>
      </c>
      <c r="I128" s="221" t="s">
        <v>4386</v>
      </c>
      <c r="J128" s="221" t="s">
        <v>4435</v>
      </c>
      <c r="K128" s="267"/>
    </row>
    <row r="129" spans="2:11" s="1" customFormat="1" ht="15" customHeight="1">
      <c r="B129" s="264"/>
      <c r="C129" s="221" t="s">
        <v>4395</v>
      </c>
      <c r="D129" s="221"/>
      <c r="E129" s="221"/>
      <c r="F129" s="242" t="s">
        <v>4390</v>
      </c>
      <c r="G129" s="221"/>
      <c r="H129" s="221" t="s">
        <v>4396</v>
      </c>
      <c r="I129" s="221" t="s">
        <v>4386</v>
      </c>
      <c r="J129" s="221">
        <v>15</v>
      </c>
      <c r="K129" s="267"/>
    </row>
    <row r="130" spans="2:11" s="1" customFormat="1" ht="15" customHeight="1">
      <c r="B130" s="264"/>
      <c r="C130" s="245" t="s">
        <v>4397</v>
      </c>
      <c r="D130" s="245"/>
      <c r="E130" s="245"/>
      <c r="F130" s="246" t="s">
        <v>4390</v>
      </c>
      <c r="G130" s="245"/>
      <c r="H130" s="245" t="s">
        <v>4398</v>
      </c>
      <c r="I130" s="245" t="s">
        <v>4386</v>
      </c>
      <c r="J130" s="245">
        <v>15</v>
      </c>
      <c r="K130" s="267"/>
    </row>
    <row r="131" spans="2:11" s="1" customFormat="1" ht="15" customHeight="1">
      <c r="B131" s="264"/>
      <c r="C131" s="245" t="s">
        <v>4399</v>
      </c>
      <c r="D131" s="245"/>
      <c r="E131" s="245"/>
      <c r="F131" s="246" t="s">
        <v>4390</v>
      </c>
      <c r="G131" s="245"/>
      <c r="H131" s="245" t="s">
        <v>4400</v>
      </c>
      <c r="I131" s="245" t="s">
        <v>4386</v>
      </c>
      <c r="J131" s="245">
        <v>20</v>
      </c>
      <c r="K131" s="267"/>
    </row>
    <row r="132" spans="2:11" s="1" customFormat="1" ht="15" customHeight="1">
      <c r="B132" s="264"/>
      <c r="C132" s="245" t="s">
        <v>4401</v>
      </c>
      <c r="D132" s="245"/>
      <c r="E132" s="245"/>
      <c r="F132" s="246" t="s">
        <v>4390</v>
      </c>
      <c r="G132" s="245"/>
      <c r="H132" s="245" t="s">
        <v>4402</v>
      </c>
      <c r="I132" s="245" t="s">
        <v>4386</v>
      </c>
      <c r="J132" s="245">
        <v>20</v>
      </c>
      <c r="K132" s="267"/>
    </row>
    <row r="133" spans="2:11" s="1" customFormat="1" ht="15" customHeight="1">
      <c r="B133" s="264"/>
      <c r="C133" s="221" t="s">
        <v>4389</v>
      </c>
      <c r="D133" s="221"/>
      <c r="E133" s="221"/>
      <c r="F133" s="242" t="s">
        <v>4390</v>
      </c>
      <c r="G133" s="221"/>
      <c r="H133" s="221" t="s">
        <v>4424</v>
      </c>
      <c r="I133" s="221" t="s">
        <v>4386</v>
      </c>
      <c r="J133" s="221">
        <v>50</v>
      </c>
      <c r="K133" s="267"/>
    </row>
    <row r="134" spans="2:11" s="1" customFormat="1" ht="15" customHeight="1">
      <c r="B134" s="264"/>
      <c r="C134" s="221" t="s">
        <v>4403</v>
      </c>
      <c r="D134" s="221"/>
      <c r="E134" s="221"/>
      <c r="F134" s="242" t="s">
        <v>4390</v>
      </c>
      <c r="G134" s="221"/>
      <c r="H134" s="221" t="s">
        <v>4424</v>
      </c>
      <c r="I134" s="221" t="s">
        <v>4386</v>
      </c>
      <c r="J134" s="221">
        <v>50</v>
      </c>
      <c r="K134" s="267"/>
    </row>
    <row r="135" spans="2:11" s="1" customFormat="1" ht="15" customHeight="1">
      <c r="B135" s="264"/>
      <c r="C135" s="221" t="s">
        <v>4409</v>
      </c>
      <c r="D135" s="221"/>
      <c r="E135" s="221"/>
      <c r="F135" s="242" t="s">
        <v>4390</v>
      </c>
      <c r="G135" s="221"/>
      <c r="H135" s="221" t="s">
        <v>4424</v>
      </c>
      <c r="I135" s="221" t="s">
        <v>4386</v>
      </c>
      <c r="J135" s="221">
        <v>50</v>
      </c>
      <c r="K135" s="267"/>
    </row>
    <row r="136" spans="2:11" s="1" customFormat="1" ht="15" customHeight="1">
      <c r="B136" s="264"/>
      <c r="C136" s="221" t="s">
        <v>4411</v>
      </c>
      <c r="D136" s="221"/>
      <c r="E136" s="221"/>
      <c r="F136" s="242" t="s">
        <v>4390</v>
      </c>
      <c r="G136" s="221"/>
      <c r="H136" s="221" t="s">
        <v>4424</v>
      </c>
      <c r="I136" s="221" t="s">
        <v>4386</v>
      </c>
      <c r="J136" s="221">
        <v>50</v>
      </c>
      <c r="K136" s="267"/>
    </row>
    <row r="137" spans="2:11" s="1" customFormat="1" ht="15" customHeight="1">
      <c r="B137" s="264"/>
      <c r="C137" s="221" t="s">
        <v>4412</v>
      </c>
      <c r="D137" s="221"/>
      <c r="E137" s="221"/>
      <c r="F137" s="242" t="s">
        <v>4390</v>
      </c>
      <c r="G137" s="221"/>
      <c r="H137" s="221" t="s">
        <v>4437</v>
      </c>
      <c r="I137" s="221" t="s">
        <v>4386</v>
      </c>
      <c r="J137" s="221">
        <v>255</v>
      </c>
      <c r="K137" s="267"/>
    </row>
    <row r="138" spans="2:11" s="1" customFormat="1" ht="15" customHeight="1">
      <c r="B138" s="264"/>
      <c r="C138" s="221" t="s">
        <v>4414</v>
      </c>
      <c r="D138" s="221"/>
      <c r="E138" s="221"/>
      <c r="F138" s="242" t="s">
        <v>4384</v>
      </c>
      <c r="G138" s="221"/>
      <c r="H138" s="221" t="s">
        <v>4438</v>
      </c>
      <c r="I138" s="221" t="s">
        <v>4416</v>
      </c>
      <c r="J138" s="221"/>
      <c r="K138" s="267"/>
    </row>
    <row r="139" spans="2:11" s="1" customFormat="1" ht="15" customHeight="1">
      <c r="B139" s="264"/>
      <c r="C139" s="221" t="s">
        <v>4417</v>
      </c>
      <c r="D139" s="221"/>
      <c r="E139" s="221"/>
      <c r="F139" s="242" t="s">
        <v>4384</v>
      </c>
      <c r="G139" s="221"/>
      <c r="H139" s="221" t="s">
        <v>4439</v>
      </c>
      <c r="I139" s="221" t="s">
        <v>4419</v>
      </c>
      <c r="J139" s="221"/>
      <c r="K139" s="267"/>
    </row>
    <row r="140" spans="2:11" s="1" customFormat="1" ht="15" customHeight="1">
      <c r="B140" s="264"/>
      <c r="C140" s="221" t="s">
        <v>4420</v>
      </c>
      <c r="D140" s="221"/>
      <c r="E140" s="221"/>
      <c r="F140" s="242" t="s">
        <v>4384</v>
      </c>
      <c r="G140" s="221"/>
      <c r="H140" s="221" t="s">
        <v>4420</v>
      </c>
      <c r="I140" s="221" t="s">
        <v>4419</v>
      </c>
      <c r="J140" s="221"/>
      <c r="K140" s="267"/>
    </row>
    <row r="141" spans="2:11" s="1" customFormat="1" ht="15" customHeight="1">
      <c r="B141" s="264"/>
      <c r="C141" s="221" t="s">
        <v>43</v>
      </c>
      <c r="D141" s="221"/>
      <c r="E141" s="221"/>
      <c r="F141" s="242" t="s">
        <v>4384</v>
      </c>
      <c r="G141" s="221"/>
      <c r="H141" s="221" t="s">
        <v>4440</v>
      </c>
      <c r="I141" s="221" t="s">
        <v>4419</v>
      </c>
      <c r="J141" s="221"/>
      <c r="K141" s="267"/>
    </row>
    <row r="142" spans="2:11" s="1" customFormat="1" ht="15" customHeight="1">
      <c r="B142" s="264"/>
      <c r="C142" s="221" t="s">
        <v>4441</v>
      </c>
      <c r="D142" s="221"/>
      <c r="E142" s="221"/>
      <c r="F142" s="242" t="s">
        <v>4384</v>
      </c>
      <c r="G142" s="221"/>
      <c r="H142" s="221" t="s">
        <v>4442</v>
      </c>
      <c r="I142" s="221" t="s">
        <v>4419</v>
      </c>
      <c r="J142" s="221"/>
      <c r="K142" s="267"/>
    </row>
    <row r="143" spans="2:11" s="1" customFormat="1" ht="15" customHeight="1">
      <c r="B143" s="268"/>
      <c r="C143" s="269"/>
      <c r="D143" s="269"/>
      <c r="E143" s="269"/>
      <c r="F143" s="269"/>
      <c r="G143" s="269"/>
      <c r="H143" s="269"/>
      <c r="I143" s="269"/>
      <c r="J143" s="269"/>
      <c r="K143" s="270"/>
    </row>
    <row r="144" spans="2:11" s="1" customFormat="1" ht="18.75" customHeight="1">
      <c r="B144" s="255"/>
      <c r="C144" s="255"/>
      <c r="D144" s="255"/>
      <c r="E144" s="255"/>
      <c r="F144" s="256"/>
      <c r="G144" s="255"/>
      <c r="H144" s="255"/>
      <c r="I144" s="255"/>
      <c r="J144" s="255"/>
      <c r="K144" s="255"/>
    </row>
    <row r="145" spans="2:11" s="1" customFormat="1" ht="18.75" customHeight="1">
      <c r="B145" s="228"/>
      <c r="C145" s="228"/>
      <c r="D145" s="228"/>
      <c r="E145" s="228"/>
      <c r="F145" s="228"/>
      <c r="G145" s="228"/>
      <c r="H145" s="228"/>
      <c r="I145" s="228"/>
      <c r="J145" s="228"/>
      <c r="K145" s="228"/>
    </row>
    <row r="146" spans="2:11" s="1" customFormat="1" ht="7.5" customHeight="1">
      <c r="B146" s="229"/>
      <c r="C146" s="230"/>
      <c r="D146" s="230"/>
      <c r="E146" s="230"/>
      <c r="F146" s="230"/>
      <c r="G146" s="230"/>
      <c r="H146" s="230"/>
      <c r="I146" s="230"/>
      <c r="J146" s="230"/>
      <c r="K146" s="231"/>
    </row>
    <row r="147" spans="2:11" s="1" customFormat="1" ht="45" customHeight="1">
      <c r="B147" s="232"/>
      <c r="C147" s="485" t="s">
        <v>4443</v>
      </c>
      <c r="D147" s="485"/>
      <c r="E147" s="485"/>
      <c r="F147" s="485"/>
      <c r="G147" s="485"/>
      <c r="H147" s="485"/>
      <c r="I147" s="485"/>
      <c r="J147" s="485"/>
      <c r="K147" s="233"/>
    </row>
    <row r="148" spans="2:11" s="1" customFormat="1" ht="17.25" customHeight="1">
      <c r="B148" s="232"/>
      <c r="C148" s="234" t="s">
        <v>4378</v>
      </c>
      <c r="D148" s="234"/>
      <c r="E148" s="234"/>
      <c r="F148" s="234" t="s">
        <v>4379</v>
      </c>
      <c r="G148" s="235"/>
      <c r="H148" s="234" t="s">
        <v>59</v>
      </c>
      <c r="I148" s="234" t="s">
        <v>62</v>
      </c>
      <c r="J148" s="234" t="s">
        <v>4380</v>
      </c>
      <c r="K148" s="233"/>
    </row>
    <row r="149" spans="2:11" s="1" customFormat="1" ht="17.25" customHeight="1">
      <c r="B149" s="232"/>
      <c r="C149" s="236" t="s">
        <v>4381</v>
      </c>
      <c r="D149" s="236"/>
      <c r="E149" s="236"/>
      <c r="F149" s="237" t="s">
        <v>4382</v>
      </c>
      <c r="G149" s="238"/>
      <c r="H149" s="236"/>
      <c r="I149" s="236"/>
      <c r="J149" s="236" t="s">
        <v>4383</v>
      </c>
      <c r="K149" s="233"/>
    </row>
    <row r="150" spans="2:11" s="1" customFormat="1" ht="5.25" customHeight="1">
      <c r="B150" s="244"/>
      <c r="C150" s="239"/>
      <c r="D150" s="239"/>
      <c r="E150" s="239"/>
      <c r="F150" s="239"/>
      <c r="G150" s="240"/>
      <c r="H150" s="239"/>
      <c r="I150" s="239"/>
      <c r="J150" s="239"/>
      <c r="K150" s="267"/>
    </row>
    <row r="151" spans="2:11" s="1" customFormat="1" ht="15" customHeight="1">
      <c r="B151" s="244"/>
      <c r="C151" s="271" t="s">
        <v>4387</v>
      </c>
      <c r="D151" s="221"/>
      <c r="E151" s="221"/>
      <c r="F151" s="272" t="s">
        <v>4384</v>
      </c>
      <c r="G151" s="221"/>
      <c r="H151" s="271" t="s">
        <v>4424</v>
      </c>
      <c r="I151" s="271" t="s">
        <v>4386</v>
      </c>
      <c r="J151" s="271">
        <v>120</v>
      </c>
      <c r="K151" s="267"/>
    </row>
    <row r="152" spans="2:11" s="1" customFormat="1" ht="15" customHeight="1">
      <c r="B152" s="244"/>
      <c r="C152" s="271" t="s">
        <v>4433</v>
      </c>
      <c r="D152" s="221"/>
      <c r="E152" s="221"/>
      <c r="F152" s="272" t="s">
        <v>4384</v>
      </c>
      <c r="G152" s="221"/>
      <c r="H152" s="271" t="s">
        <v>4444</v>
      </c>
      <c r="I152" s="271" t="s">
        <v>4386</v>
      </c>
      <c r="J152" s="271" t="s">
        <v>4435</v>
      </c>
      <c r="K152" s="267"/>
    </row>
    <row r="153" spans="2:11" s="1" customFormat="1" ht="15" customHeight="1">
      <c r="B153" s="244"/>
      <c r="C153" s="271" t="s">
        <v>4332</v>
      </c>
      <c r="D153" s="221"/>
      <c r="E153" s="221"/>
      <c r="F153" s="272" t="s">
        <v>4384</v>
      </c>
      <c r="G153" s="221"/>
      <c r="H153" s="271" t="s">
        <v>4445</v>
      </c>
      <c r="I153" s="271" t="s">
        <v>4386</v>
      </c>
      <c r="J153" s="271" t="s">
        <v>4435</v>
      </c>
      <c r="K153" s="267"/>
    </row>
    <row r="154" spans="2:11" s="1" customFormat="1" ht="15" customHeight="1">
      <c r="B154" s="244"/>
      <c r="C154" s="271" t="s">
        <v>4389</v>
      </c>
      <c r="D154" s="221"/>
      <c r="E154" s="221"/>
      <c r="F154" s="272" t="s">
        <v>4390</v>
      </c>
      <c r="G154" s="221"/>
      <c r="H154" s="271" t="s">
        <v>4424</v>
      </c>
      <c r="I154" s="271" t="s">
        <v>4386</v>
      </c>
      <c r="J154" s="271">
        <v>50</v>
      </c>
      <c r="K154" s="267"/>
    </row>
    <row r="155" spans="2:11" s="1" customFormat="1" ht="15" customHeight="1">
      <c r="B155" s="244"/>
      <c r="C155" s="271" t="s">
        <v>4392</v>
      </c>
      <c r="D155" s="221"/>
      <c r="E155" s="221"/>
      <c r="F155" s="272" t="s">
        <v>4384</v>
      </c>
      <c r="G155" s="221"/>
      <c r="H155" s="271" t="s">
        <v>4424</v>
      </c>
      <c r="I155" s="271" t="s">
        <v>4394</v>
      </c>
      <c r="J155" s="271"/>
      <c r="K155" s="267"/>
    </row>
    <row r="156" spans="2:11" s="1" customFormat="1" ht="15" customHeight="1">
      <c r="B156" s="244"/>
      <c r="C156" s="271" t="s">
        <v>4403</v>
      </c>
      <c r="D156" s="221"/>
      <c r="E156" s="221"/>
      <c r="F156" s="272" t="s">
        <v>4390</v>
      </c>
      <c r="G156" s="221"/>
      <c r="H156" s="271" t="s">
        <v>4424</v>
      </c>
      <c r="I156" s="271" t="s">
        <v>4386</v>
      </c>
      <c r="J156" s="271">
        <v>50</v>
      </c>
      <c r="K156" s="267"/>
    </row>
    <row r="157" spans="2:11" s="1" customFormat="1" ht="15" customHeight="1">
      <c r="B157" s="244"/>
      <c r="C157" s="271" t="s">
        <v>4411</v>
      </c>
      <c r="D157" s="221"/>
      <c r="E157" s="221"/>
      <c r="F157" s="272" t="s">
        <v>4390</v>
      </c>
      <c r="G157" s="221"/>
      <c r="H157" s="271" t="s">
        <v>4424</v>
      </c>
      <c r="I157" s="271" t="s">
        <v>4386</v>
      </c>
      <c r="J157" s="271">
        <v>50</v>
      </c>
      <c r="K157" s="267"/>
    </row>
    <row r="158" spans="2:11" s="1" customFormat="1" ht="15" customHeight="1">
      <c r="B158" s="244"/>
      <c r="C158" s="271" t="s">
        <v>4409</v>
      </c>
      <c r="D158" s="221"/>
      <c r="E158" s="221"/>
      <c r="F158" s="272" t="s">
        <v>4390</v>
      </c>
      <c r="G158" s="221"/>
      <c r="H158" s="271" t="s">
        <v>4424</v>
      </c>
      <c r="I158" s="271" t="s">
        <v>4386</v>
      </c>
      <c r="J158" s="271">
        <v>50</v>
      </c>
      <c r="K158" s="267"/>
    </row>
    <row r="159" spans="2:11" s="1" customFormat="1" ht="15" customHeight="1">
      <c r="B159" s="244"/>
      <c r="C159" s="271" t="s">
        <v>150</v>
      </c>
      <c r="D159" s="221"/>
      <c r="E159" s="221"/>
      <c r="F159" s="272" t="s">
        <v>4384</v>
      </c>
      <c r="G159" s="221"/>
      <c r="H159" s="271" t="s">
        <v>4446</v>
      </c>
      <c r="I159" s="271" t="s">
        <v>4386</v>
      </c>
      <c r="J159" s="271" t="s">
        <v>4447</v>
      </c>
      <c r="K159" s="267"/>
    </row>
    <row r="160" spans="2:11" s="1" customFormat="1" ht="15" customHeight="1">
      <c r="B160" s="244"/>
      <c r="C160" s="271" t="s">
        <v>4448</v>
      </c>
      <c r="D160" s="221"/>
      <c r="E160" s="221"/>
      <c r="F160" s="272" t="s">
        <v>4384</v>
      </c>
      <c r="G160" s="221"/>
      <c r="H160" s="271" t="s">
        <v>4449</v>
      </c>
      <c r="I160" s="271" t="s">
        <v>4419</v>
      </c>
      <c r="J160" s="271"/>
      <c r="K160" s="267"/>
    </row>
    <row r="161" spans="2:11" s="1" customFormat="1" ht="15" customHeight="1">
      <c r="B161" s="273"/>
      <c r="C161" s="253"/>
      <c r="D161" s="253"/>
      <c r="E161" s="253"/>
      <c r="F161" s="253"/>
      <c r="G161" s="253"/>
      <c r="H161" s="253"/>
      <c r="I161" s="253"/>
      <c r="J161" s="253"/>
      <c r="K161" s="274"/>
    </row>
    <row r="162" spans="2:11" s="1" customFormat="1" ht="18.75" customHeight="1">
      <c r="B162" s="255"/>
      <c r="C162" s="265"/>
      <c r="D162" s="265"/>
      <c r="E162" s="265"/>
      <c r="F162" s="275"/>
      <c r="G162" s="265"/>
      <c r="H162" s="265"/>
      <c r="I162" s="265"/>
      <c r="J162" s="265"/>
      <c r="K162" s="255"/>
    </row>
    <row r="163" spans="2:11" s="1" customFormat="1" ht="18.75" customHeight="1">
      <c r="B163" s="228"/>
      <c r="C163" s="228"/>
      <c r="D163" s="228"/>
      <c r="E163" s="228"/>
      <c r="F163" s="228"/>
      <c r="G163" s="228"/>
      <c r="H163" s="228"/>
      <c r="I163" s="228"/>
      <c r="J163" s="228"/>
      <c r="K163" s="228"/>
    </row>
    <row r="164" spans="2:11" s="1" customFormat="1" ht="7.5" customHeight="1">
      <c r="B164" s="210"/>
      <c r="C164" s="211"/>
      <c r="D164" s="211"/>
      <c r="E164" s="211"/>
      <c r="F164" s="211"/>
      <c r="G164" s="211"/>
      <c r="H164" s="211"/>
      <c r="I164" s="211"/>
      <c r="J164" s="211"/>
      <c r="K164" s="212"/>
    </row>
    <row r="165" spans="2:11" s="1" customFormat="1" ht="45" customHeight="1">
      <c r="B165" s="213"/>
      <c r="C165" s="483" t="s">
        <v>4450</v>
      </c>
      <c r="D165" s="483"/>
      <c r="E165" s="483"/>
      <c r="F165" s="483"/>
      <c r="G165" s="483"/>
      <c r="H165" s="483"/>
      <c r="I165" s="483"/>
      <c r="J165" s="483"/>
      <c r="K165" s="214"/>
    </row>
    <row r="166" spans="2:11" s="1" customFormat="1" ht="17.25" customHeight="1">
      <c r="B166" s="213"/>
      <c r="C166" s="234" t="s">
        <v>4378</v>
      </c>
      <c r="D166" s="234"/>
      <c r="E166" s="234"/>
      <c r="F166" s="234" t="s">
        <v>4379</v>
      </c>
      <c r="G166" s="276"/>
      <c r="H166" s="277" t="s">
        <v>59</v>
      </c>
      <c r="I166" s="277" t="s">
        <v>62</v>
      </c>
      <c r="J166" s="234" t="s">
        <v>4380</v>
      </c>
      <c r="K166" s="214"/>
    </row>
    <row r="167" spans="2:11" s="1" customFormat="1" ht="17.25" customHeight="1">
      <c r="B167" s="215"/>
      <c r="C167" s="236" t="s">
        <v>4381</v>
      </c>
      <c r="D167" s="236"/>
      <c r="E167" s="236"/>
      <c r="F167" s="237" t="s">
        <v>4382</v>
      </c>
      <c r="G167" s="278"/>
      <c r="H167" s="279"/>
      <c r="I167" s="279"/>
      <c r="J167" s="236" t="s">
        <v>4383</v>
      </c>
      <c r="K167" s="216"/>
    </row>
    <row r="168" spans="2:11" s="1" customFormat="1" ht="5.25" customHeight="1">
      <c r="B168" s="244"/>
      <c r="C168" s="239"/>
      <c r="D168" s="239"/>
      <c r="E168" s="239"/>
      <c r="F168" s="239"/>
      <c r="G168" s="240"/>
      <c r="H168" s="239"/>
      <c r="I168" s="239"/>
      <c r="J168" s="239"/>
      <c r="K168" s="267"/>
    </row>
    <row r="169" spans="2:11" s="1" customFormat="1" ht="15" customHeight="1">
      <c r="B169" s="244"/>
      <c r="C169" s="221" t="s">
        <v>4387</v>
      </c>
      <c r="D169" s="221"/>
      <c r="E169" s="221"/>
      <c r="F169" s="242" t="s">
        <v>4384</v>
      </c>
      <c r="G169" s="221"/>
      <c r="H169" s="221" t="s">
        <v>4424</v>
      </c>
      <c r="I169" s="221" t="s">
        <v>4386</v>
      </c>
      <c r="J169" s="221">
        <v>120</v>
      </c>
      <c r="K169" s="267"/>
    </row>
    <row r="170" spans="2:11" s="1" customFormat="1" ht="15" customHeight="1">
      <c r="B170" s="244"/>
      <c r="C170" s="221" t="s">
        <v>4433</v>
      </c>
      <c r="D170" s="221"/>
      <c r="E170" s="221"/>
      <c r="F170" s="242" t="s">
        <v>4384</v>
      </c>
      <c r="G170" s="221"/>
      <c r="H170" s="221" t="s">
        <v>4434</v>
      </c>
      <c r="I170" s="221" t="s">
        <v>4386</v>
      </c>
      <c r="J170" s="221" t="s">
        <v>4435</v>
      </c>
      <c r="K170" s="267"/>
    </row>
    <row r="171" spans="2:11" s="1" customFormat="1" ht="15" customHeight="1">
      <c r="B171" s="244"/>
      <c r="C171" s="221" t="s">
        <v>4332</v>
      </c>
      <c r="D171" s="221"/>
      <c r="E171" s="221"/>
      <c r="F171" s="242" t="s">
        <v>4384</v>
      </c>
      <c r="G171" s="221"/>
      <c r="H171" s="221" t="s">
        <v>4451</v>
      </c>
      <c r="I171" s="221" t="s">
        <v>4386</v>
      </c>
      <c r="J171" s="221" t="s">
        <v>4435</v>
      </c>
      <c r="K171" s="267"/>
    </row>
    <row r="172" spans="2:11" s="1" customFormat="1" ht="15" customHeight="1">
      <c r="B172" s="244"/>
      <c r="C172" s="221" t="s">
        <v>4389</v>
      </c>
      <c r="D172" s="221"/>
      <c r="E172" s="221"/>
      <c r="F172" s="242" t="s">
        <v>4390</v>
      </c>
      <c r="G172" s="221"/>
      <c r="H172" s="221" t="s">
        <v>4451</v>
      </c>
      <c r="I172" s="221" t="s">
        <v>4386</v>
      </c>
      <c r="J172" s="221">
        <v>50</v>
      </c>
      <c r="K172" s="267"/>
    </row>
    <row r="173" spans="2:11" s="1" customFormat="1" ht="15" customHeight="1">
      <c r="B173" s="244"/>
      <c r="C173" s="221" t="s">
        <v>4392</v>
      </c>
      <c r="D173" s="221"/>
      <c r="E173" s="221"/>
      <c r="F173" s="242" t="s">
        <v>4384</v>
      </c>
      <c r="G173" s="221"/>
      <c r="H173" s="221" t="s">
        <v>4451</v>
      </c>
      <c r="I173" s="221" t="s">
        <v>4394</v>
      </c>
      <c r="J173" s="221"/>
      <c r="K173" s="267"/>
    </row>
    <row r="174" spans="2:11" s="1" customFormat="1" ht="15" customHeight="1">
      <c r="B174" s="244"/>
      <c r="C174" s="221" t="s">
        <v>4403</v>
      </c>
      <c r="D174" s="221"/>
      <c r="E174" s="221"/>
      <c r="F174" s="242" t="s">
        <v>4390</v>
      </c>
      <c r="G174" s="221"/>
      <c r="H174" s="221" t="s">
        <v>4451</v>
      </c>
      <c r="I174" s="221" t="s">
        <v>4386</v>
      </c>
      <c r="J174" s="221">
        <v>50</v>
      </c>
      <c r="K174" s="267"/>
    </row>
    <row r="175" spans="2:11" s="1" customFormat="1" ht="15" customHeight="1">
      <c r="B175" s="244"/>
      <c r="C175" s="221" t="s">
        <v>4411</v>
      </c>
      <c r="D175" s="221"/>
      <c r="E175" s="221"/>
      <c r="F175" s="242" t="s">
        <v>4390</v>
      </c>
      <c r="G175" s="221"/>
      <c r="H175" s="221" t="s">
        <v>4451</v>
      </c>
      <c r="I175" s="221" t="s">
        <v>4386</v>
      </c>
      <c r="J175" s="221">
        <v>50</v>
      </c>
      <c r="K175" s="267"/>
    </row>
    <row r="176" spans="2:11" s="1" customFormat="1" ht="15" customHeight="1">
      <c r="B176" s="244"/>
      <c r="C176" s="221" t="s">
        <v>4409</v>
      </c>
      <c r="D176" s="221"/>
      <c r="E176" s="221"/>
      <c r="F176" s="242" t="s">
        <v>4390</v>
      </c>
      <c r="G176" s="221"/>
      <c r="H176" s="221" t="s">
        <v>4451</v>
      </c>
      <c r="I176" s="221" t="s">
        <v>4386</v>
      </c>
      <c r="J176" s="221">
        <v>50</v>
      </c>
      <c r="K176" s="267"/>
    </row>
    <row r="177" spans="2:11" s="1" customFormat="1" ht="15" customHeight="1">
      <c r="B177" s="244"/>
      <c r="C177" s="221" t="s">
        <v>163</v>
      </c>
      <c r="D177" s="221"/>
      <c r="E177" s="221"/>
      <c r="F177" s="242" t="s">
        <v>4384</v>
      </c>
      <c r="G177" s="221"/>
      <c r="H177" s="221" t="s">
        <v>4452</v>
      </c>
      <c r="I177" s="221" t="s">
        <v>4453</v>
      </c>
      <c r="J177" s="221"/>
      <c r="K177" s="267"/>
    </row>
    <row r="178" spans="2:11" s="1" customFormat="1" ht="15" customHeight="1">
      <c r="B178" s="244"/>
      <c r="C178" s="221" t="s">
        <v>62</v>
      </c>
      <c r="D178" s="221"/>
      <c r="E178" s="221"/>
      <c r="F178" s="242" t="s">
        <v>4384</v>
      </c>
      <c r="G178" s="221"/>
      <c r="H178" s="221" t="s">
        <v>4454</v>
      </c>
      <c r="I178" s="221" t="s">
        <v>4455</v>
      </c>
      <c r="J178" s="221">
        <v>1</v>
      </c>
      <c r="K178" s="267"/>
    </row>
    <row r="179" spans="2:11" s="1" customFormat="1" ht="15" customHeight="1">
      <c r="B179" s="244"/>
      <c r="C179" s="221" t="s">
        <v>58</v>
      </c>
      <c r="D179" s="221"/>
      <c r="E179" s="221"/>
      <c r="F179" s="242" t="s">
        <v>4384</v>
      </c>
      <c r="G179" s="221"/>
      <c r="H179" s="221" t="s">
        <v>4456</v>
      </c>
      <c r="I179" s="221" t="s">
        <v>4386</v>
      </c>
      <c r="J179" s="221">
        <v>20</v>
      </c>
      <c r="K179" s="267"/>
    </row>
    <row r="180" spans="2:11" s="1" customFormat="1" ht="15" customHeight="1">
      <c r="B180" s="244"/>
      <c r="C180" s="221" t="s">
        <v>59</v>
      </c>
      <c r="D180" s="221"/>
      <c r="E180" s="221"/>
      <c r="F180" s="242" t="s">
        <v>4384</v>
      </c>
      <c r="G180" s="221"/>
      <c r="H180" s="221" t="s">
        <v>4457</v>
      </c>
      <c r="I180" s="221" t="s">
        <v>4386</v>
      </c>
      <c r="J180" s="221">
        <v>255</v>
      </c>
      <c r="K180" s="267"/>
    </row>
    <row r="181" spans="2:11" s="1" customFormat="1" ht="15" customHeight="1">
      <c r="B181" s="244"/>
      <c r="C181" s="221" t="s">
        <v>164</v>
      </c>
      <c r="D181" s="221"/>
      <c r="E181" s="221"/>
      <c r="F181" s="242" t="s">
        <v>4384</v>
      </c>
      <c r="G181" s="221"/>
      <c r="H181" s="221" t="s">
        <v>4348</v>
      </c>
      <c r="I181" s="221" t="s">
        <v>4386</v>
      </c>
      <c r="J181" s="221">
        <v>10</v>
      </c>
      <c r="K181" s="267"/>
    </row>
    <row r="182" spans="2:11" s="1" customFormat="1" ht="15" customHeight="1">
      <c r="B182" s="244"/>
      <c r="C182" s="221" t="s">
        <v>165</v>
      </c>
      <c r="D182" s="221"/>
      <c r="E182" s="221"/>
      <c r="F182" s="242" t="s">
        <v>4384</v>
      </c>
      <c r="G182" s="221"/>
      <c r="H182" s="221" t="s">
        <v>4458</v>
      </c>
      <c r="I182" s="221" t="s">
        <v>4419</v>
      </c>
      <c r="J182" s="221"/>
      <c r="K182" s="267"/>
    </row>
    <row r="183" spans="2:11" s="1" customFormat="1" ht="15" customHeight="1">
      <c r="B183" s="244"/>
      <c r="C183" s="221" t="s">
        <v>4459</v>
      </c>
      <c r="D183" s="221"/>
      <c r="E183" s="221"/>
      <c r="F183" s="242" t="s">
        <v>4384</v>
      </c>
      <c r="G183" s="221"/>
      <c r="H183" s="221" t="s">
        <v>4460</v>
      </c>
      <c r="I183" s="221" t="s">
        <v>4419</v>
      </c>
      <c r="J183" s="221"/>
      <c r="K183" s="267"/>
    </row>
    <row r="184" spans="2:11" s="1" customFormat="1" ht="15" customHeight="1">
      <c r="B184" s="244"/>
      <c r="C184" s="221" t="s">
        <v>4448</v>
      </c>
      <c r="D184" s="221"/>
      <c r="E184" s="221"/>
      <c r="F184" s="242" t="s">
        <v>4384</v>
      </c>
      <c r="G184" s="221"/>
      <c r="H184" s="221" t="s">
        <v>4461</v>
      </c>
      <c r="I184" s="221" t="s">
        <v>4419</v>
      </c>
      <c r="J184" s="221"/>
      <c r="K184" s="267"/>
    </row>
    <row r="185" spans="2:11" s="1" customFormat="1" ht="15" customHeight="1">
      <c r="B185" s="244"/>
      <c r="C185" s="221" t="s">
        <v>167</v>
      </c>
      <c r="D185" s="221"/>
      <c r="E185" s="221"/>
      <c r="F185" s="242" t="s">
        <v>4390</v>
      </c>
      <c r="G185" s="221"/>
      <c r="H185" s="221" t="s">
        <v>4462</v>
      </c>
      <c r="I185" s="221" t="s">
        <v>4386</v>
      </c>
      <c r="J185" s="221">
        <v>50</v>
      </c>
      <c r="K185" s="267"/>
    </row>
    <row r="186" spans="2:11" s="1" customFormat="1" ht="15" customHeight="1">
      <c r="B186" s="244"/>
      <c r="C186" s="221" t="s">
        <v>4463</v>
      </c>
      <c r="D186" s="221"/>
      <c r="E186" s="221"/>
      <c r="F186" s="242" t="s">
        <v>4390</v>
      </c>
      <c r="G186" s="221"/>
      <c r="H186" s="221" t="s">
        <v>4464</v>
      </c>
      <c r="I186" s="221" t="s">
        <v>4465</v>
      </c>
      <c r="J186" s="221"/>
      <c r="K186" s="267"/>
    </row>
    <row r="187" spans="2:11" s="1" customFormat="1" ht="15" customHeight="1">
      <c r="B187" s="244"/>
      <c r="C187" s="221" t="s">
        <v>4466</v>
      </c>
      <c r="D187" s="221"/>
      <c r="E187" s="221"/>
      <c r="F187" s="242" t="s">
        <v>4390</v>
      </c>
      <c r="G187" s="221"/>
      <c r="H187" s="221" t="s">
        <v>4467</v>
      </c>
      <c r="I187" s="221" t="s">
        <v>4465</v>
      </c>
      <c r="J187" s="221"/>
      <c r="K187" s="267"/>
    </row>
    <row r="188" spans="2:11" s="1" customFormat="1" ht="15" customHeight="1">
      <c r="B188" s="244"/>
      <c r="C188" s="221" t="s">
        <v>4468</v>
      </c>
      <c r="D188" s="221"/>
      <c r="E188" s="221"/>
      <c r="F188" s="242" t="s">
        <v>4390</v>
      </c>
      <c r="G188" s="221"/>
      <c r="H188" s="221" t="s">
        <v>4469</v>
      </c>
      <c r="I188" s="221" t="s">
        <v>4465</v>
      </c>
      <c r="J188" s="221"/>
      <c r="K188" s="267"/>
    </row>
    <row r="189" spans="2:11" s="1" customFormat="1" ht="15" customHeight="1">
      <c r="B189" s="244"/>
      <c r="C189" s="280" t="s">
        <v>4470</v>
      </c>
      <c r="D189" s="221"/>
      <c r="E189" s="221"/>
      <c r="F189" s="242" t="s">
        <v>4390</v>
      </c>
      <c r="G189" s="221"/>
      <c r="H189" s="221" t="s">
        <v>4471</v>
      </c>
      <c r="I189" s="221" t="s">
        <v>4472</v>
      </c>
      <c r="J189" s="281" t="s">
        <v>4473</v>
      </c>
      <c r="K189" s="267"/>
    </row>
    <row r="190" spans="2:11" s="1" customFormat="1" ht="15" customHeight="1">
      <c r="B190" s="244"/>
      <c r="C190" s="280" t="s">
        <v>47</v>
      </c>
      <c r="D190" s="221"/>
      <c r="E190" s="221"/>
      <c r="F190" s="242" t="s">
        <v>4384</v>
      </c>
      <c r="G190" s="221"/>
      <c r="H190" s="218" t="s">
        <v>4474</v>
      </c>
      <c r="I190" s="221" t="s">
        <v>4475</v>
      </c>
      <c r="J190" s="221"/>
      <c r="K190" s="267"/>
    </row>
    <row r="191" spans="2:11" s="1" customFormat="1" ht="15" customHeight="1">
      <c r="B191" s="244"/>
      <c r="C191" s="280" t="s">
        <v>4476</v>
      </c>
      <c r="D191" s="221"/>
      <c r="E191" s="221"/>
      <c r="F191" s="242" t="s">
        <v>4384</v>
      </c>
      <c r="G191" s="221"/>
      <c r="H191" s="221" t="s">
        <v>4477</v>
      </c>
      <c r="I191" s="221" t="s">
        <v>4419</v>
      </c>
      <c r="J191" s="221"/>
      <c r="K191" s="267"/>
    </row>
    <row r="192" spans="2:11" s="1" customFormat="1" ht="15" customHeight="1">
      <c r="B192" s="244"/>
      <c r="C192" s="280" t="s">
        <v>4478</v>
      </c>
      <c r="D192" s="221"/>
      <c r="E192" s="221"/>
      <c r="F192" s="242" t="s">
        <v>4384</v>
      </c>
      <c r="G192" s="221"/>
      <c r="H192" s="221" t="s">
        <v>4479</v>
      </c>
      <c r="I192" s="221" t="s">
        <v>4419</v>
      </c>
      <c r="J192" s="221"/>
      <c r="K192" s="267"/>
    </row>
    <row r="193" spans="2:11" s="1" customFormat="1" ht="15" customHeight="1">
      <c r="B193" s="244"/>
      <c r="C193" s="280" t="s">
        <v>4480</v>
      </c>
      <c r="D193" s="221"/>
      <c r="E193" s="221"/>
      <c r="F193" s="242" t="s">
        <v>4390</v>
      </c>
      <c r="G193" s="221"/>
      <c r="H193" s="221" t="s">
        <v>4481</v>
      </c>
      <c r="I193" s="221" t="s">
        <v>4419</v>
      </c>
      <c r="J193" s="221"/>
      <c r="K193" s="267"/>
    </row>
    <row r="194" spans="2:11" s="1" customFormat="1" ht="15" customHeight="1">
      <c r="B194" s="273"/>
      <c r="C194" s="282"/>
      <c r="D194" s="253"/>
      <c r="E194" s="253"/>
      <c r="F194" s="253"/>
      <c r="G194" s="253"/>
      <c r="H194" s="253"/>
      <c r="I194" s="253"/>
      <c r="J194" s="253"/>
      <c r="K194" s="274"/>
    </row>
    <row r="195" spans="2:11" s="1" customFormat="1" ht="18.75" customHeight="1">
      <c r="B195" s="255"/>
      <c r="C195" s="265"/>
      <c r="D195" s="265"/>
      <c r="E195" s="265"/>
      <c r="F195" s="275"/>
      <c r="G195" s="265"/>
      <c r="H195" s="265"/>
      <c r="I195" s="265"/>
      <c r="J195" s="265"/>
      <c r="K195" s="255"/>
    </row>
    <row r="196" spans="2:11" s="1" customFormat="1" ht="18.75" customHeight="1">
      <c r="B196" s="255"/>
      <c r="C196" s="265"/>
      <c r="D196" s="265"/>
      <c r="E196" s="265"/>
      <c r="F196" s="275"/>
      <c r="G196" s="265"/>
      <c r="H196" s="265"/>
      <c r="I196" s="265"/>
      <c r="J196" s="265"/>
      <c r="K196" s="255"/>
    </row>
    <row r="197" spans="2:11" s="1" customFormat="1" ht="18.75" customHeight="1">
      <c r="B197" s="228"/>
      <c r="C197" s="228"/>
      <c r="D197" s="228"/>
      <c r="E197" s="228"/>
      <c r="F197" s="228"/>
      <c r="G197" s="228"/>
      <c r="H197" s="228"/>
      <c r="I197" s="228"/>
      <c r="J197" s="228"/>
      <c r="K197" s="228"/>
    </row>
    <row r="198" spans="2:11" s="1" customFormat="1" ht="13.5">
      <c r="B198" s="210"/>
      <c r="C198" s="211"/>
      <c r="D198" s="211"/>
      <c r="E198" s="211"/>
      <c r="F198" s="211"/>
      <c r="G198" s="211"/>
      <c r="H198" s="211"/>
      <c r="I198" s="211"/>
      <c r="J198" s="211"/>
      <c r="K198" s="212"/>
    </row>
    <row r="199" spans="2:11" s="1" customFormat="1" ht="21">
      <c r="B199" s="213"/>
      <c r="C199" s="483" t="s">
        <v>4482</v>
      </c>
      <c r="D199" s="483"/>
      <c r="E199" s="483"/>
      <c r="F199" s="483"/>
      <c r="G199" s="483"/>
      <c r="H199" s="483"/>
      <c r="I199" s="483"/>
      <c r="J199" s="483"/>
      <c r="K199" s="214"/>
    </row>
    <row r="200" spans="2:11" s="1" customFormat="1" ht="25.5" customHeight="1">
      <c r="B200" s="213"/>
      <c r="C200" s="283" t="s">
        <v>4483</v>
      </c>
      <c r="D200" s="283"/>
      <c r="E200" s="283"/>
      <c r="F200" s="283" t="s">
        <v>4484</v>
      </c>
      <c r="G200" s="284"/>
      <c r="H200" s="489" t="s">
        <v>4485</v>
      </c>
      <c r="I200" s="489"/>
      <c r="J200" s="489"/>
      <c r="K200" s="214"/>
    </row>
    <row r="201" spans="2:11" s="1" customFormat="1" ht="5.25" customHeight="1">
      <c r="B201" s="244"/>
      <c r="C201" s="239"/>
      <c r="D201" s="239"/>
      <c r="E201" s="239"/>
      <c r="F201" s="239"/>
      <c r="G201" s="265"/>
      <c r="H201" s="239"/>
      <c r="I201" s="239"/>
      <c r="J201" s="239"/>
      <c r="K201" s="267"/>
    </row>
    <row r="202" spans="2:11" s="1" customFormat="1" ht="15" customHeight="1">
      <c r="B202" s="244"/>
      <c r="C202" s="221" t="s">
        <v>4475</v>
      </c>
      <c r="D202" s="221"/>
      <c r="E202" s="221"/>
      <c r="F202" s="242" t="s">
        <v>48</v>
      </c>
      <c r="G202" s="221"/>
      <c r="H202" s="488" t="s">
        <v>4486</v>
      </c>
      <c r="I202" s="488"/>
      <c r="J202" s="488"/>
      <c r="K202" s="267"/>
    </row>
    <row r="203" spans="2:11" s="1" customFormat="1" ht="15" customHeight="1">
      <c r="B203" s="244"/>
      <c r="C203" s="221"/>
      <c r="D203" s="221"/>
      <c r="E203" s="221"/>
      <c r="F203" s="242" t="s">
        <v>49</v>
      </c>
      <c r="G203" s="221"/>
      <c r="H203" s="488" t="s">
        <v>4487</v>
      </c>
      <c r="I203" s="488"/>
      <c r="J203" s="488"/>
      <c r="K203" s="267"/>
    </row>
    <row r="204" spans="2:11" s="1" customFormat="1" ht="15" customHeight="1">
      <c r="B204" s="244"/>
      <c r="C204" s="221"/>
      <c r="D204" s="221"/>
      <c r="E204" s="221"/>
      <c r="F204" s="242" t="s">
        <v>52</v>
      </c>
      <c r="G204" s="221"/>
      <c r="H204" s="488" t="s">
        <v>4488</v>
      </c>
      <c r="I204" s="488"/>
      <c r="J204" s="488"/>
      <c r="K204" s="267"/>
    </row>
    <row r="205" spans="2:11" s="1" customFormat="1" ht="15" customHeight="1">
      <c r="B205" s="244"/>
      <c r="C205" s="221"/>
      <c r="D205" s="221"/>
      <c r="E205" s="221"/>
      <c r="F205" s="242" t="s">
        <v>50</v>
      </c>
      <c r="G205" s="221"/>
      <c r="H205" s="488" t="s">
        <v>4489</v>
      </c>
      <c r="I205" s="488"/>
      <c r="J205" s="488"/>
      <c r="K205" s="267"/>
    </row>
    <row r="206" spans="2:11" s="1" customFormat="1" ht="15" customHeight="1">
      <c r="B206" s="244"/>
      <c r="C206" s="221"/>
      <c r="D206" s="221"/>
      <c r="E206" s="221"/>
      <c r="F206" s="242" t="s">
        <v>51</v>
      </c>
      <c r="G206" s="221"/>
      <c r="H206" s="488" t="s">
        <v>4490</v>
      </c>
      <c r="I206" s="488"/>
      <c r="J206" s="488"/>
      <c r="K206" s="267"/>
    </row>
    <row r="207" spans="2:11" s="1" customFormat="1" ht="15" customHeight="1">
      <c r="B207" s="244"/>
      <c r="C207" s="221"/>
      <c r="D207" s="221"/>
      <c r="E207" s="221"/>
      <c r="F207" s="242"/>
      <c r="G207" s="221"/>
      <c r="H207" s="221"/>
      <c r="I207" s="221"/>
      <c r="J207" s="221"/>
      <c r="K207" s="267"/>
    </row>
    <row r="208" spans="2:11" s="1" customFormat="1" ht="15" customHeight="1">
      <c r="B208" s="244"/>
      <c r="C208" s="221" t="s">
        <v>4431</v>
      </c>
      <c r="D208" s="221"/>
      <c r="E208" s="221"/>
      <c r="F208" s="242" t="s">
        <v>84</v>
      </c>
      <c r="G208" s="221"/>
      <c r="H208" s="488" t="s">
        <v>4491</v>
      </c>
      <c r="I208" s="488"/>
      <c r="J208" s="488"/>
      <c r="K208" s="267"/>
    </row>
    <row r="209" spans="2:11" s="1" customFormat="1" ht="15" customHeight="1">
      <c r="B209" s="244"/>
      <c r="C209" s="221"/>
      <c r="D209" s="221"/>
      <c r="E209" s="221"/>
      <c r="F209" s="242" t="s">
        <v>4327</v>
      </c>
      <c r="G209" s="221"/>
      <c r="H209" s="488" t="s">
        <v>4328</v>
      </c>
      <c r="I209" s="488"/>
      <c r="J209" s="488"/>
      <c r="K209" s="267"/>
    </row>
    <row r="210" spans="2:11" s="1" customFormat="1" ht="15" customHeight="1">
      <c r="B210" s="244"/>
      <c r="C210" s="221"/>
      <c r="D210" s="221"/>
      <c r="E210" s="221"/>
      <c r="F210" s="242" t="s">
        <v>4325</v>
      </c>
      <c r="G210" s="221"/>
      <c r="H210" s="488" t="s">
        <v>4492</v>
      </c>
      <c r="I210" s="488"/>
      <c r="J210" s="488"/>
      <c r="K210" s="267"/>
    </row>
    <row r="211" spans="2:11" s="1" customFormat="1" ht="15" customHeight="1">
      <c r="B211" s="285"/>
      <c r="C211" s="221"/>
      <c r="D211" s="221"/>
      <c r="E211" s="221"/>
      <c r="F211" s="242" t="s">
        <v>142</v>
      </c>
      <c r="G211" s="280"/>
      <c r="H211" s="487" t="s">
        <v>4329</v>
      </c>
      <c r="I211" s="487"/>
      <c r="J211" s="487"/>
      <c r="K211" s="286"/>
    </row>
    <row r="212" spans="2:11" s="1" customFormat="1" ht="15" customHeight="1">
      <c r="B212" s="285"/>
      <c r="C212" s="221"/>
      <c r="D212" s="221"/>
      <c r="E212" s="221"/>
      <c r="F212" s="242" t="s">
        <v>4330</v>
      </c>
      <c r="G212" s="280"/>
      <c r="H212" s="487" t="s">
        <v>4493</v>
      </c>
      <c r="I212" s="487"/>
      <c r="J212" s="487"/>
      <c r="K212" s="286"/>
    </row>
    <row r="213" spans="2:11" s="1" customFormat="1" ht="15" customHeight="1">
      <c r="B213" s="285"/>
      <c r="C213" s="221"/>
      <c r="D213" s="221"/>
      <c r="E213" s="221"/>
      <c r="F213" s="242"/>
      <c r="G213" s="280"/>
      <c r="H213" s="271"/>
      <c r="I213" s="271"/>
      <c r="J213" s="271"/>
      <c r="K213" s="286"/>
    </row>
    <row r="214" spans="2:11" s="1" customFormat="1" ht="15" customHeight="1">
      <c r="B214" s="285"/>
      <c r="C214" s="221" t="s">
        <v>4455</v>
      </c>
      <c r="D214" s="221"/>
      <c r="E214" s="221"/>
      <c r="F214" s="242">
        <v>1</v>
      </c>
      <c r="G214" s="280"/>
      <c r="H214" s="487" t="s">
        <v>4494</v>
      </c>
      <c r="I214" s="487"/>
      <c r="J214" s="487"/>
      <c r="K214" s="286"/>
    </row>
    <row r="215" spans="2:11" s="1" customFormat="1" ht="15" customHeight="1">
      <c r="B215" s="285"/>
      <c r="C215" s="221"/>
      <c r="D215" s="221"/>
      <c r="E215" s="221"/>
      <c r="F215" s="242">
        <v>2</v>
      </c>
      <c r="G215" s="280"/>
      <c r="H215" s="487" t="s">
        <v>4495</v>
      </c>
      <c r="I215" s="487"/>
      <c r="J215" s="487"/>
      <c r="K215" s="286"/>
    </row>
    <row r="216" spans="2:11" s="1" customFormat="1" ht="15" customHeight="1">
      <c r="B216" s="285"/>
      <c r="C216" s="221"/>
      <c r="D216" s="221"/>
      <c r="E216" s="221"/>
      <c r="F216" s="242">
        <v>3</v>
      </c>
      <c r="G216" s="280"/>
      <c r="H216" s="487" t="s">
        <v>4496</v>
      </c>
      <c r="I216" s="487"/>
      <c r="J216" s="487"/>
      <c r="K216" s="286"/>
    </row>
    <row r="217" spans="2:11" s="1" customFormat="1" ht="15" customHeight="1">
      <c r="B217" s="285"/>
      <c r="C217" s="221"/>
      <c r="D217" s="221"/>
      <c r="E217" s="221"/>
      <c r="F217" s="242">
        <v>4</v>
      </c>
      <c r="G217" s="280"/>
      <c r="H217" s="487" t="s">
        <v>4497</v>
      </c>
      <c r="I217" s="487"/>
      <c r="J217" s="487"/>
      <c r="K217" s="286"/>
    </row>
    <row r="218" spans="2:11" s="1" customFormat="1" ht="12.75" customHeight="1">
      <c r="B218" s="287"/>
      <c r="C218" s="288"/>
      <c r="D218" s="288"/>
      <c r="E218" s="288"/>
      <c r="F218" s="288"/>
      <c r="G218" s="288"/>
      <c r="H218" s="288"/>
      <c r="I218" s="288"/>
      <c r="J218" s="288"/>
      <c r="K218" s="289"/>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43</vt:i4>
      </vt:variant>
    </vt:vector>
  </HeadingPairs>
  <TitlesOfParts>
    <vt:vector size="68" baseType="lpstr">
      <vt:lpstr>Rekapitulace stavby</vt:lpstr>
      <vt:lpstr>E 1 - Vyklizení objektu, ...</vt:lpstr>
      <vt:lpstr>E 2 - Sanace betonové kon...</vt:lpstr>
      <vt:lpstr>E 3 - Vyzdění severního p...</vt:lpstr>
      <vt:lpstr>E 4 - Oddělení bourané a ...</vt:lpstr>
      <vt:lpstr>E 5 - Dozdívky a vybourán...</vt:lpstr>
      <vt:lpstr>E 6 - Provedení střechy p...</vt:lpstr>
      <vt:lpstr>E 7 - Vybourání stávající...</vt:lpstr>
      <vt:lpstr>E 8 - Provedení otvoru pr...</vt:lpstr>
      <vt:lpstr>E 9 - Hrubá stavba nové d...</vt:lpstr>
      <vt:lpstr>E10 - Vybourání dispozice...</vt:lpstr>
      <vt:lpstr>E11 - Hrubá stavba nové d...</vt:lpstr>
      <vt:lpstr>E12 - Osazení výplní pláš...</vt:lpstr>
      <vt:lpstr>E13 - Oprava a stavební ú...</vt:lpstr>
      <vt:lpstr>E14 - Dokončovací práce -...</vt:lpstr>
      <vt:lpstr>E15 - Vyrovnání terénu po...</vt:lpstr>
      <vt:lpstr>SO 2 - UT</vt:lpstr>
      <vt:lpstr>UT</vt:lpstr>
      <vt:lpstr>SO 3 - elektroinstalace</vt:lpstr>
      <vt:lpstr>elektro</vt:lpstr>
      <vt:lpstr>SO 4 - ZTI</vt:lpstr>
      <vt:lpstr>SO 5 - VZT</vt:lpstr>
      <vt:lpstr>VZT</vt:lpstr>
      <vt:lpstr>VON - vedlejší a ostatní ...</vt:lpstr>
      <vt:lpstr>Pokyny pro vyplnění</vt:lpstr>
      <vt:lpstr>'E 1 - Vyklizení objektu, ...'!Názvy_tisku</vt:lpstr>
      <vt:lpstr>'E 2 - Sanace betonové kon...'!Názvy_tisku</vt:lpstr>
      <vt:lpstr>'E 3 - Vyzdění severního p...'!Názvy_tisku</vt:lpstr>
      <vt:lpstr>'E 4 - Oddělení bourané a ...'!Názvy_tisku</vt:lpstr>
      <vt:lpstr>'E 5 - Dozdívky a vybourán...'!Názvy_tisku</vt:lpstr>
      <vt:lpstr>'E 6 - Provedení střechy p...'!Názvy_tisku</vt:lpstr>
      <vt:lpstr>'E 7 - Vybourání stávající...'!Názvy_tisku</vt:lpstr>
      <vt:lpstr>'E 8 - Provedení otvoru pr...'!Názvy_tisku</vt:lpstr>
      <vt:lpstr>'E 9 - Hrubá stavba nové d...'!Názvy_tisku</vt:lpstr>
      <vt:lpstr>'E10 - Vybourání dispozice...'!Názvy_tisku</vt:lpstr>
      <vt:lpstr>'E11 - Hrubá stavba nové d...'!Názvy_tisku</vt:lpstr>
      <vt:lpstr>'E12 - Osazení výplní pláš...'!Názvy_tisku</vt:lpstr>
      <vt:lpstr>'E13 - Oprava a stavební ú...'!Názvy_tisku</vt:lpstr>
      <vt:lpstr>'E14 - Dokončovací práce -...'!Názvy_tisku</vt:lpstr>
      <vt:lpstr>'E15 - Vyrovnání terénu po...'!Názvy_tisku</vt:lpstr>
      <vt:lpstr>'Rekapitulace stavby'!Názvy_tisku</vt:lpstr>
      <vt:lpstr>'SO 2 - UT'!Názvy_tisku</vt:lpstr>
      <vt:lpstr>'SO 3 - elektroinstalace'!Názvy_tisku</vt:lpstr>
      <vt:lpstr>'SO 4 - ZTI'!Názvy_tisku</vt:lpstr>
      <vt:lpstr>'SO 5 - VZT'!Názvy_tisku</vt:lpstr>
      <vt:lpstr>'VON - vedlejší a ostatní ...'!Názvy_tisku</vt:lpstr>
      <vt:lpstr>'E 1 - Vyklizení objektu, ...'!Oblast_tisku</vt:lpstr>
      <vt:lpstr>'E 2 - Sanace betonové kon...'!Oblast_tisku</vt:lpstr>
      <vt:lpstr>'E 3 - Vyzdění severního p...'!Oblast_tisku</vt:lpstr>
      <vt:lpstr>'E 4 - Oddělení bourané a ...'!Oblast_tisku</vt:lpstr>
      <vt:lpstr>'E 5 - Dozdívky a vybourán...'!Oblast_tisku</vt:lpstr>
      <vt:lpstr>'E 6 - Provedení střechy p...'!Oblast_tisku</vt:lpstr>
      <vt:lpstr>'E 7 - Vybourání stávající...'!Oblast_tisku</vt:lpstr>
      <vt:lpstr>'E 8 - Provedení otvoru pr...'!Oblast_tisku</vt:lpstr>
      <vt:lpstr>'E 9 - Hrubá stavba nové d...'!Oblast_tisku</vt:lpstr>
      <vt:lpstr>'E10 - Vybourání dispozice...'!Oblast_tisku</vt:lpstr>
      <vt:lpstr>'E11 - Hrubá stavba nové d...'!Oblast_tisku</vt:lpstr>
      <vt:lpstr>'E12 - Osazení výplní pláš...'!Oblast_tisku</vt:lpstr>
      <vt:lpstr>'E13 - Oprava a stavební ú...'!Oblast_tisku</vt:lpstr>
      <vt:lpstr>'E14 - Dokončovací práce -...'!Oblast_tisku</vt:lpstr>
      <vt:lpstr>'E15 - Vyrovnání terénu po...'!Oblast_tisku</vt:lpstr>
      <vt:lpstr>'Pokyny pro vyplnění'!Oblast_tisku</vt:lpstr>
      <vt:lpstr>'Rekapitulace stavby'!Oblast_tisku</vt:lpstr>
      <vt:lpstr>'SO 2 - UT'!Oblast_tisku</vt:lpstr>
      <vt:lpstr>'SO 3 - elektroinstalace'!Oblast_tisku</vt:lpstr>
      <vt:lpstr>'SO 4 - ZTI'!Oblast_tisku</vt:lpstr>
      <vt:lpstr>'SO 5 - VZT'!Oblast_tisku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Káťa</dc:creator>
  <cp:lastModifiedBy>Jitka Bažantová</cp:lastModifiedBy>
  <cp:lastPrinted>2022-10-17T11:14:00Z</cp:lastPrinted>
  <dcterms:created xsi:type="dcterms:W3CDTF">2022-10-17T11:05:29Z</dcterms:created>
  <dcterms:modified xsi:type="dcterms:W3CDTF">2024-01-10T12:16:32Z</dcterms:modified>
</cp:coreProperties>
</file>